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0"/>
  <workbookPr/>
  <mc:AlternateContent xmlns:mc="http://schemas.openxmlformats.org/markup-compatibility/2006">
    <mc:Choice Requires="x15">
      <x15ac:absPath xmlns:x15ac="http://schemas.microsoft.com/office/spreadsheetml/2010/11/ac" url="C:\Users\User\Desktop\DIFT 2026\Educación Gob-2026\PROYECTO DABEIBA-EL RETIRO\"/>
    </mc:Choice>
  </mc:AlternateContent>
  <xr:revisionPtr revIDLastSave="0" documentId="8_{9FC7A15F-DE64-4164-B91D-50EDE3270AA3}" xr6:coauthVersionLast="47" xr6:coauthVersionMax="47" xr10:uidLastSave="{00000000-0000-0000-0000-000000000000}"/>
  <bookViews>
    <workbookView xWindow="-120" yWindow="-120" windowWidth="20730" windowHeight="11160" tabRatio="950" xr2:uid="{00000000-000D-0000-FFFF-FFFF00000000}"/>
  </bookViews>
  <sheets>
    <sheet name="CAPITULOS" sheetId="2" r:id="rId1"/>
    <sheet name="ACTIVIDADES" sheetId="3" r:id="rId2"/>
    <sheet name="MEMORIAS" sheetId="4" r:id="rId3"/>
    <sheet name="APU" sheetId="5" r:id="rId4"/>
    <sheet name="APA" sheetId="6" r:id="rId5"/>
    <sheet name="INSUMOS" sheetId="7" r:id="rId6"/>
    <sheet name="EQUIPOS" sheetId="8" r:id="rId7"/>
    <sheet name="MANO DE OBRA" sheetId="9" r:id="rId8"/>
    <sheet name="TRANSPORTE" sheetId="10" r:id="rId9"/>
    <sheet name="FORM-AU" sheetId="11" r:id="rId10"/>
    <sheet name="PGIO" sheetId="13" r:id="rId11"/>
    <sheet name="POLIZAS" sheetId="15" r:id="rId12"/>
    <sheet name="ESTAMPILLAS" sheetId="16" r:id="rId13"/>
    <sheet name="FORM-INTER" sheetId="17" r:id="rId14"/>
    <sheet name="FACTOR XDOR" sheetId="18" r:id="rId15"/>
    <sheet name="POL INTERV" sheetId="19" r:id="rId16"/>
    <sheet name="CRONOGRAMA" sheetId="22" r:id="rId17"/>
  </sheets>
  <externalReferences>
    <externalReference r:id="rId18"/>
    <externalReference r:id="rId19"/>
    <externalReference r:id="rId20"/>
  </externalReferences>
  <definedNames>
    <definedName name="\a">#REF!</definedName>
    <definedName name="\b">#REF!</definedName>
    <definedName name="\c">#REF!</definedName>
    <definedName name="\eliminar">#REF!</definedName>
    <definedName name="\eliminar1">#REF!</definedName>
    <definedName name="\i">#REF!</definedName>
    <definedName name="\m">#REF!</definedName>
    <definedName name="\o">#REF!</definedName>
    <definedName name="\q">#REF!</definedName>
    <definedName name="\r">#REF!</definedName>
    <definedName name="\t">#REF!</definedName>
    <definedName name="\x">#REF!</definedName>
    <definedName name="\z">#REF!</definedName>
    <definedName name="_">#REF!</definedName>
    <definedName name="_________________________________apu1">#REF!</definedName>
    <definedName name="________________________________apu1">#REF!</definedName>
    <definedName name="_______________________________apu1">#REF!</definedName>
    <definedName name="______________________________apu1">#REF!</definedName>
    <definedName name="____________________________apu1">#REF!</definedName>
    <definedName name="___________________________apu1">#REF!</definedName>
    <definedName name="__________________________apu1">#REF!</definedName>
    <definedName name="_________________________apu1">#REF!</definedName>
    <definedName name="________________________apu1">#REF!</definedName>
    <definedName name="_______________________apu1">#REF!</definedName>
    <definedName name="_____________________apu1">#REF!</definedName>
    <definedName name="____________________apu1">#REF!</definedName>
    <definedName name="___________________apu1">#REF!</definedName>
    <definedName name="__________________apu1">#REF!</definedName>
    <definedName name="_________________apu1">#REF!</definedName>
    <definedName name="________________apu1">#REF!</definedName>
    <definedName name="_______________apu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#REF!</definedName>
    <definedName name="_____________apu1">#REF!</definedName>
    <definedName name="_____________cua1">#REF!</definedName>
    <definedName name="_____________DM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VPD1">#REF!</definedName>
    <definedName name="_____________VPI1">#REF!</definedName>
    <definedName name="_____________VRA1">#REF!</definedName>
    <definedName name="____________apu1">#REF!</definedName>
    <definedName name="____________cua1">#REF!</definedName>
    <definedName name="____________DMD1">#REF!</definedName>
    <definedName name="____________EXC6">#REF!</definedName>
    <definedName name="____________EXC7">#REF!</definedName>
    <definedName name="____________VPD1">#REF!</definedName>
    <definedName name="____________VPI1">#REF!</definedName>
    <definedName name="____________VRA1">#REF!</definedName>
    <definedName name="___________apu1">#REF!</definedName>
    <definedName name="___________cua1">#REF!</definedName>
    <definedName name="___________DMD1">#REF!</definedName>
    <definedName name="___________tab1">#REF!</definedName>
    <definedName name="___________tab2">#REF!</definedName>
    <definedName name="___________tab3">#REF!</definedName>
    <definedName name="___________TAB4">#REF!</definedName>
    <definedName name="___________VPD1">#REF!</definedName>
    <definedName name="___________VPI1">#REF!</definedName>
    <definedName name="___________VRA1">#REF!</definedName>
    <definedName name="__________apu1">#REF!</definedName>
    <definedName name="__________cua1">#REF!</definedName>
    <definedName name="__________DMD1">#REF!</definedName>
    <definedName name="__________MA2">#REF!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Rc">#REF!</definedName>
    <definedName name="__________tab1">#REF!</definedName>
    <definedName name="__________tab2">#REF!</definedName>
    <definedName name="__________tab3">#REF!</definedName>
    <definedName name="__________TAB4">#REF!</definedName>
    <definedName name="__________VPD1">#REF!</definedName>
    <definedName name="__________VPI1">#REF!</definedName>
    <definedName name="__________VRA1">#REF!</definedName>
    <definedName name="_________apu1">#REF!</definedName>
    <definedName name="_________cua1">#REF!</definedName>
    <definedName name="_________DMD1">#REF!</definedName>
    <definedName name="_________MA2">#REF!</definedName>
    <definedName name="_________PMT5671">#REF!</definedName>
    <definedName name="_________PMT5805">#REF!</definedName>
    <definedName name="_________PMT5806">#REF!</definedName>
    <definedName name="_________PMT5815">#REF!</definedName>
    <definedName name="_________PMT5820">#REF!</definedName>
    <definedName name="_________Rc">#REF!</definedName>
    <definedName name="_________VOL1" hidden="1">#REF!</definedName>
    <definedName name="_________VPD1">#REF!</definedName>
    <definedName name="_________VPI1">#REF!</definedName>
    <definedName name="_________VRA1">#REF!</definedName>
    <definedName name="________aiu2">#REF!</definedName>
    <definedName name="________apu1">#REF!</definedName>
    <definedName name="________cua1">#REF!</definedName>
    <definedName name="________DMD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MA2">#REF!</definedName>
    <definedName name="________r" localSheetId="16" hidden="1">{"TAB1",#N/A,TRUE,"GENERAL";"TAB2",#N/A,TRUE,"GENERAL";"TAB3",#N/A,TRUE,"GENERAL";"TAB4",#N/A,TRUE,"GENERAL";"TAB5",#N/A,TRUE,"GENERAL"}</definedName>
    <definedName name="________r" hidden="1">{"TAB1",#N/A,TRUE,"GENERAL";"TAB2",#N/A,TRUE,"GENERAL";"TAB3",#N/A,TRUE,"GENERAL";"TAB4",#N/A,TRUE,"GENERAL";"TAB5",#N/A,TRUE,"GENERAL"}</definedName>
    <definedName name="________r4r" localSheetId="16" hidden="1">{"via1",#N/A,TRUE,"general";"via2",#N/A,TRUE,"general";"via3",#N/A,TRUE,"general"}</definedName>
    <definedName name="________r4r" hidden="1">{"via1",#N/A,TRUE,"general";"via2",#N/A,TRUE,"general";"via3",#N/A,TRUE,"general"}</definedName>
    <definedName name="________Rc">#REF!</definedName>
    <definedName name="________VOL1" hidden="1">#REF!</definedName>
    <definedName name="________VPD1">#REF!</definedName>
    <definedName name="________VPI1">#REF!</definedName>
    <definedName name="________VRA1">#REF!</definedName>
    <definedName name="_______a1" localSheetId="16" hidden="1">{"TAB1",#N/A,TRUE,"GENERAL";"TAB2",#N/A,TRUE,"GENERAL";"TAB3",#N/A,TRUE,"GENERAL";"TAB4",#N/A,TRUE,"GENERAL";"TAB5",#N/A,TRUE,"GENERAL"}</definedName>
    <definedName name="_______a1" hidden="1">{"TAB1",#N/A,TRUE,"GENERAL";"TAB2",#N/A,TRUE,"GENERAL";"TAB3",#N/A,TRUE,"GENERAL";"TAB4",#N/A,TRUE,"GENERAL";"TAB5",#N/A,TRUE,"GENERAL"}</definedName>
    <definedName name="_______a3" localSheetId="16" hidden="1">{"TAB1",#N/A,TRUE,"GENERAL";"TAB2",#N/A,TRUE,"GENERAL";"TAB3",#N/A,TRUE,"GENERAL";"TAB4",#N/A,TRUE,"GENERAL";"TAB5",#N/A,TRUE,"GENERAL"}</definedName>
    <definedName name="_______a3" hidden="1">{"TAB1",#N/A,TRUE,"GENERAL";"TAB2",#N/A,TRUE,"GENERAL";"TAB3",#N/A,TRUE,"GENERAL";"TAB4",#N/A,TRUE,"GENERAL";"TAB5",#N/A,TRUE,"GENERAL"}</definedName>
    <definedName name="_______a4" localSheetId="16" hidden="1">{"via1",#N/A,TRUE,"general";"via2",#N/A,TRUE,"general";"via3",#N/A,TRUE,"general"}</definedName>
    <definedName name="_______a4" hidden="1">{"via1",#N/A,TRUE,"general";"via2",#N/A,TRUE,"general";"via3",#N/A,TRUE,"general"}</definedName>
    <definedName name="_______a5" localSheetId="16" hidden="1">{"TAB1",#N/A,TRUE,"GENERAL";"TAB2",#N/A,TRUE,"GENERAL";"TAB3",#N/A,TRUE,"GENERAL";"TAB4",#N/A,TRUE,"GENERAL";"TAB5",#N/A,TRUE,"GENERAL"}</definedName>
    <definedName name="_______a5" hidden="1">{"TAB1",#N/A,TRUE,"GENERAL";"TAB2",#N/A,TRUE,"GENERAL";"TAB3",#N/A,TRUE,"GENERAL";"TAB4",#N/A,TRUE,"GENERAL";"TAB5",#N/A,TRUE,"GENERAL"}</definedName>
    <definedName name="_______a6" localSheetId="16" hidden="1">{"TAB1",#N/A,TRUE,"GENERAL";"TAB2",#N/A,TRUE,"GENERAL";"TAB3",#N/A,TRUE,"GENERAL";"TAB4",#N/A,TRUE,"GENERAL";"TAB5",#N/A,TRUE,"GENERAL"}</definedName>
    <definedName name="_______a6" hidden="1">{"TAB1",#N/A,TRUE,"GENERAL";"TAB2",#N/A,TRUE,"GENERAL";"TAB3",#N/A,TRUE,"GENERAL";"TAB4",#N/A,TRUE,"GENERAL";"TAB5",#N/A,TRUE,"GENERAL"}</definedName>
    <definedName name="_______ALL4">#REF!</definedName>
    <definedName name="_______apu1">#REF!</definedName>
    <definedName name="_______b2" localSheetId="16" hidden="1">{"TAB1",#N/A,TRUE,"GENERAL";"TAB2",#N/A,TRUE,"GENERAL";"TAB3",#N/A,TRUE,"GENERAL";"TAB4",#N/A,TRUE,"GENERAL";"TAB5",#N/A,TRUE,"GENERAL"}</definedName>
    <definedName name="_______b2" hidden="1">{"TAB1",#N/A,TRUE,"GENERAL";"TAB2",#N/A,TRUE,"GENERAL";"TAB3",#N/A,TRUE,"GENERAL";"TAB4",#N/A,TRUE,"GENERAL";"TAB5",#N/A,TRUE,"GENERAL"}</definedName>
    <definedName name="_______b3" localSheetId="16" hidden="1">{"TAB1",#N/A,TRUE,"GENERAL";"TAB2",#N/A,TRUE,"GENERAL";"TAB3",#N/A,TRUE,"GENERAL";"TAB4",#N/A,TRUE,"GENERAL";"TAB5",#N/A,TRUE,"GENERAL"}</definedName>
    <definedName name="_______b3" hidden="1">{"TAB1",#N/A,TRUE,"GENERAL";"TAB2",#N/A,TRUE,"GENERAL";"TAB3",#N/A,TRUE,"GENERAL";"TAB4",#N/A,TRUE,"GENERAL";"TAB5",#N/A,TRUE,"GENERAL"}</definedName>
    <definedName name="_______b4" localSheetId="16" hidden="1">{"TAB1",#N/A,TRUE,"GENERAL";"TAB2",#N/A,TRUE,"GENERAL";"TAB3",#N/A,TRUE,"GENERAL";"TAB4",#N/A,TRUE,"GENERAL";"TAB5",#N/A,TRUE,"GENERAL"}</definedName>
    <definedName name="_______b4" hidden="1">{"TAB1",#N/A,TRUE,"GENERAL";"TAB2",#N/A,TRUE,"GENERAL";"TAB3",#N/A,TRUE,"GENERAL";"TAB4",#N/A,TRUE,"GENERAL";"TAB5",#N/A,TRUE,"GENERAL"}</definedName>
    <definedName name="_______b5" localSheetId="16" hidden="1">{"TAB1",#N/A,TRUE,"GENERAL";"TAB2",#N/A,TRUE,"GENERAL";"TAB3",#N/A,TRUE,"GENERAL";"TAB4",#N/A,TRUE,"GENERAL";"TAB5",#N/A,TRUE,"GENERAL"}</definedName>
    <definedName name="_______b5" hidden="1">{"TAB1",#N/A,TRUE,"GENERAL";"TAB2",#N/A,TRUE,"GENERAL";"TAB3",#N/A,TRUE,"GENERAL";"TAB4",#N/A,TRUE,"GENERAL";"TAB5",#N/A,TRUE,"GENERAL"}</definedName>
    <definedName name="_______b6" localSheetId="16" hidden="1">{"TAB1",#N/A,TRUE,"GENERAL";"TAB2",#N/A,TRUE,"GENERAL";"TAB3",#N/A,TRUE,"GENERAL";"TAB4",#N/A,TRUE,"GENERAL";"TAB5",#N/A,TRUE,"GENERAL"}</definedName>
    <definedName name="_______b6" hidden="1">{"TAB1",#N/A,TRUE,"GENERAL";"TAB2",#N/A,TRUE,"GENERAL";"TAB3",#N/A,TRUE,"GENERAL";"TAB4",#N/A,TRUE,"GENERAL";"TAB5",#N/A,TRUE,"GENERAL"}</definedName>
    <definedName name="_______b7" localSheetId="16" hidden="1">{"via1",#N/A,TRUE,"general";"via2",#N/A,TRUE,"general";"via3",#N/A,TRUE,"general"}</definedName>
    <definedName name="_______b7" hidden="1">{"via1",#N/A,TRUE,"general";"via2",#N/A,TRUE,"general";"via3",#N/A,TRUE,"general"}</definedName>
    <definedName name="_______b8" localSheetId="16" hidden="1">{"via1",#N/A,TRUE,"general";"via2",#N/A,TRUE,"general";"via3",#N/A,TRUE,"general"}</definedName>
    <definedName name="_______b8" hidden="1">{"via1",#N/A,TRUE,"general";"via2",#N/A,TRUE,"general";"via3",#N/A,TRUE,"general"}</definedName>
    <definedName name="_______bb9" localSheetId="16" hidden="1">{"TAB1",#N/A,TRUE,"GENERAL";"TAB2",#N/A,TRUE,"GENERAL";"TAB3",#N/A,TRUE,"GENERAL";"TAB4",#N/A,TRUE,"GENERAL";"TAB5",#N/A,TRUE,"GENERAL"}</definedName>
    <definedName name="_______bb9" hidden="1">{"TAB1",#N/A,TRUE,"GENERAL";"TAB2",#N/A,TRUE,"GENERAL";"TAB3",#N/A,TRUE,"GENERAL";"TAB4",#N/A,TRUE,"GENERAL";"TAB5",#N/A,TRUE,"GENERAL"}</definedName>
    <definedName name="_______bgb5" localSheetId="16" hidden="1">{"TAB1",#N/A,TRUE,"GENERAL";"TAB2",#N/A,TRUE,"GENERAL";"TAB3",#N/A,TRUE,"GENERAL";"TAB4",#N/A,TRUE,"GENERAL";"TAB5",#N/A,TRUE,"GENERAL"}</definedName>
    <definedName name="_______bgb5" hidden="1">{"TAB1",#N/A,TRUE,"GENERAL";"TAB2",#N/A,TRUE,"GENERAL";"TAB3",#N/A,TRUE,"GENERAL";"TAB4",#N/A,TRUE,"GENERAL";"TAB5",#N/A,TRUE,"GENERAL"}</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6" hidden="1">{"TAB1",#N/A,TRUE,"GENERAL";"TAB2",#N/A,TRUE,"GENERAL";"TAB3",#N/A,TRUE,"GENERAL";"TAB4",#N/A,TRUE,"GENERAL";"TAB5",#N/A,TRUE,"GENERAL"}</definedName>
    <definedName name="_______g2" hidden="1">{"TAB1",#N/A,TRUE,"GENERAL";"TAB2",#N/A,TRUE,"GENERAL";"TAB3",#N/A,TRUE,"GENERAL";"TAB4",#N/A,TRUE,"GENERAL";"TAB5",#N/A,TRUE,"GENERAL"}</definedName>
    <definedName name="_______g3" localSheetId="16" hidden="1">{"via1",#N/A,TRUE,"general";"via2",#N/A,TRUE,"general";"via3",#N/A,TRUE,"general"}</definedName>
    <definedName name="_______g3" hidden="1">{"via1",#N/A,TRUE,"general";"via2",#N/A,TRUE,"general";"via3",#N/A,TRUE,"general"}</definedName>
    <definedName name="_______g4" localSheetId="16" hidden="1">{"via1",#N/A,TRUE,"general";"via2",#N/A,TRUE,"general";"via3",#N/A,TRUE,"general"}</definedName>
    <definedName name="_______g4" hidden="1">{"via1",#N/A,TRUE,"general";"via2",#N/A,TRUE,"general";"via3",#N/A,TRUE,"general"}</definedName>
    <definedName name="_______g5" localSheetId="16" hidden="1">{"via1",#N/A,TRUE,"general";"via2",#N/A,TRUE,"general";"via3",#N/A,TRUE,"general"}</definedName>
    <definedName name="_______g5" hidden="1">{"via1",#N/A,TRUE,"general";"via2",#N/A,TRUE,"general";"via3",#N/A,TRUE,"general"}</definedName>
    <definedName name="_______g6" localSheetId="16" hidden="1">{"via1",#N/A,TRUE,"general";"via2",#N/A,TRUE,"general";"via3",#N/A,TRUE,"general"}</definedName>
    <definedName name="_______g6" hidden="1">{"via1",#N/A,TRUE,"general";"via2",#N/A,TRUE,"general";"via3",#N/A,TRUE,"general"}</definedName>
    <definedName name="_______g7" localSheetId="16" hidden="1">{"TAB1",#N/A,TRUE,"GENERAL";"TAB2",#N/A,TRUE,"GENERAL";"TAB3",#N/A,TRUE,"GENERAL";"TAB4",#N/A,TRUE,"GENERAL";"TAB5",#N/A,TRUE,"GENERAL"}</definedName>
    <definedName name="_______g7" hidden="1">{"TAB1",#N/A,TRUE,"GENERAL";"TAB2",#N/A,TRUE,"GENERAL";"TAB3",#N/A,TRUE,"GENERAL";"TAB4",#N/A,TRUE,"GENERAL";"TAB5",#N/A,TRUE,"GENERAL"}</definedName>
    <definedName name="_______GR1" localSheetId="16" hidden="1">{"TAB1",#N/A,TRUE,"GENERAL";"TAB2",#N/A,TRUE,"GENERAL";"TAB3",#N/A,TRUE,"GENERAL";"TAB4",#N/A,TRUE,"GENERAL";"TAB5",#N/A,TRUE,"GENERAL"}</definedName>
    <definedName name="_______GR1" hidden="1">{"TAB1",#N/A,TRUE,"GENERAL";"TAB2",#N/A,TRUE,"GENERAL";"TAB3",#N/A,TRUE,"GENERAL";"TAB4",#N/A,TRUE,"GENERAL";"TAB5",#N/A,TRUE,"GENERAL"}</definedName>
    <definedName name="_______gtr4" localSheetId="16" hidden="1">{"via1",#N/A,TRUE,"general";"via2",#N/A,TRUE,"general";"via3",#N/A,TRUE,"general"}</definedName>
    <definedName name="_______gtr4" hidden="1">{"via1",#N/A,TRUE,"general";"via2",#N/A,TRUE,"general";"via3",#N/A,TRUE,"general"}</definedName>
    <definedName name="_______h2" localSheetId="16" hidden="1">{"via1",#N/A,TRUE,"general";"via2",#N/A,TRUE,"general";"via3",#N/A,TRUE,"general"}</definedName>
    <definedName name="_______h2" hidden="1">{"via1",#N/A,TRUE,"general";"via2",#N/A,TRUE,"general";"via3",#N/A,TRUE,"general"}</definedName>
    <definedName name="_______h3" localSheetId="16" hidden="1">{"via1",#N/A,TRUE,"general";"via2",#N/A,TRUE,"general";"via3",#N/A,TRUE,"general"}</definedName>
    <definedName name="_______h3" hidden="1">{"via1",#N/A,TRUE,"general";"via2",#N/A,TRUE,"general";"via3",#N/A,TRUE,"general"}</definedName>
    <definedName name="_______h4" localSheetId="16" hidden="1">{"TAB1",#N/A,TRUE,"GENERAL";"TAB2",#N/A,TRUE,"GENERAL";"TAB3",#N/A,TRUE,"GENERAL";"TAB4",#N/A,TRUE,"GENERAL";"TAB5",#N/A,TRUE,"GENERAL"}</definedName>
    <definedName name="_______h4" hidden="1">{"TAB1",#N/A,TRUE,"GENERAL";"TAB2",#N/A,TRUE,"GENERAL";"TAB3",#N/A,TRUE,"GENERAL";"TAB4",#N/A,TRUE,"GENERAL";"TAB5",#N/A,TRUE,"GENERAL"}</definedName>
    <definedName name="_______h5" localSheetId="16" hidden="1">{"TAB1",#N/A,TRUE,"GENERAL";"TAB2",#N/A,TRUE,"GENERAL";"TAB3",#N/A,TRUE,"GENERAL";"TAB4",#N/A,TRUE,"GENERAL";"TAB5",#N/A,TRUE,"GENERAL"}</definedName>
    <definedName name="_______h5" hidden="1">{"TAB1",#N/A,TRUE,"GENERAL";"TAB2",#N/A,TRUE,"GENERAL";"TAB3",#N/A,TRUE,"GENERAL";"TAB4",#N/A,TRUE,"GENERAL";"TAB5",#N/A,TRUE,"GENERAL"}</definedName>
    <definedName name="_______h6" localSheetId="16" hidden="1">{"via1",#N/A,TRUE,"general";"via2",#N/A,TRUE,"general";"via3",#N/A,TRUE,"general"}</definedName>
    <definedName name="_______h6" hidden="1">{"via1",#N/A,TRUE,"general";"via2",#N/A,TRUE,"general";"via3",#N/A,TRUE,"general"}</definedName>
    <definedName name="_______h7" localSheetId="16" hidden="1">{"TAB1",#N/A,TRUE,"GENERAL";"TAB2",#N/A,TRUE,"GENERAL";"TAB3",#N/A,TRUE,"GENERAL";"TAB4",#N/A,TRUE,"GENERAL";"TAB5",#N/A,TRUE,"GENERAL"}</definedName>
    <definedName name="_______h7" hidden="1">{"TAB1",#N/A,TRUE,"GENERAL";"TAB2",#N/A,TRUE,"GENERAL";"TAB3",#N/A,TRUE,"GENERAL";"TAB4",#N/A,TRUE,"GENERAL";"TAB5",#N/A,TRUE,"GENERAL"}</definedName>
    <definedName name="_______h8" localSheetId="16" hidden="1">{"via1",#N/A,TRUE,"general";"via2",#N/A,TRUE,"general";"via3",#N/A,TRUE,"general"}</definedName>
    <definedName name="_______h8" hidden="1">{"via1",#N/A,TRUE,"general";"via2",#N/A,TRUE,"general";"via3",#N/A,TRUE,"general"}</definedName>
    <definedName name="_______hfh7" localSheetId="16" hidden="1">{"via1",#N/A,TRUE,"general";"via2",#N/A,TRUE,"general";"via3",#N/A,TRUE,"general"}</definedName>
    <definedName name="_______hfh7" hidden="1">{"via1",#N/A,TRUE,"general";"via2",#N/A,TRUE,"general";"via3",#N/A,TRUE,"general"}</definedName>
    <definedName name="_______i4" localSheetId="16" hidden="1">{"via1",#N/A,TRUE,"general";"via2",#N/A,TRUE,"general";"via3",#N/A,TRUE,"general"}</definedName>
    <definedName name="_______i4" hidden="1">{"via1",#N/A,TRUE,"general";"via2",#N/A,TRUE,"general";"via3",#N/A,TRUE,"general"}</definedName>
    <definedName name="_______i5" localSheetId="16" hidden="1">{"TAB1",#N/A,TRUE,"GENERAL";"TAB2",#N/A,TRUE,"GENERAL";"TAB3",#N/A,TRUE,"GENERAL";"TAB4",#N/A,TRUE,"GENERAL";"TAB5",#N/A,TRUE,"GENERAL"}</definedName>
    <definedName name="_______i5" hidden="1">{"TAB1",#N/A,TRUE,"GENERAL";"TAB2",#N/A,TRUE,"GENERAL";"TAB3",#N/A,TRUE,"GENERAL";"TAB4",#N/A,TRUE,"GENERAL";"TAB5",#N/A,TRUE,"GENERAL"}</definedName>
    <definedName name="_______i6" localSheetId="16" hidden="1">{"TAB1",#N/A,TRUE,"GENERAL";"TAB2",#N/A,TRUE,"GENERAL";"TAB3",#N/A,TRUE,"GENERAL";"TAB4",#N/A,TRUE,"GENERAL";"TAB5",#N/A,TRUE,"GENERAL"}</definedName>
    <definedName name="_______i6" hidden="1">{"TAB1",#N/A,TRUE,"GENERAL";"TAB2",#N/A,TRUE,"GENERAL";"TAB3",#N/A,TRUE,"GENERAL";"TAB4",#N/A,TRUE,"GENERAL";"TAB5",#N/A,TRUE,"GENERAL"}</definedName>
    <definedName name="_______i7" localSheetId="16" hidden="1">{"via1",#N/A,TRUE,"general";"via2",#N/A,TRUE,"general";"via3",#N/A,TRUE,"general"}</definedName>
    <definedName name="_______i7" hidden="1">{"via1",#N/A,TRUE,"general";"via2",#N/A,TRUE,"general";"via3",#N/A,TRUE,"general"}</definedName>
    <definedName name="_______i77" localSheetId="16" hidden="1">{"TAB1",#N/A,TRUE,"GENERAL";"TAB2",#N/A,TRUE,"GENERAL";"TAB3",#N/A,TRUE,"GENERAL";"TAB4",#N/A,TRUE,"GENERAL";"TAB5",#N/A,TRUE,"GENERAL"}</definedName>
    <definedName name="_______i77" hidden="1">{"TAB1",#N/A,TRUE,"GENERAL";"TAB2",#N/A,TRUE,"GENERAL";"TAB3",#N/A,TRUE,"GENERAL";"TAB4",#N/A,TRUE,"GENERAL";"TAB5",#N/A,TRUE,"GENERAL"}</definedName>
    <definedName name="_______i8" localSheetId="16" hidden="1">{"via1",#N/A,TRUE,"general";"via2",#N/A,TRUE,"general";"via3",#N/A,TRUE,"general"}</definedName>
    <definedName name="_______i8" hidden="1">{"via1",#N/A,TRUE,"general";"via2",#N/A,TRUE,"general";"via3",#N/A,TRUE,"general"}</definedName>
    <definedName name="_______i9" localSheetId="16" hidden="1">{"TAB1",#N/A,TRUE,"GENERAL";"TAB2",#N/A,TRUE,"GENERAL";"TAB3",#N/A,TRUE,"GENERAL";"TAB4",#N/A,TRUE,"GENERAL";"TAB5",#N/A,TRUE,"GENERAL"}</definedName>
    <definedName name="_______i9" hidden="1">{"TAB1",#N/A,TRUE,"GENERAL";"TAB2",#N/A,TRUE,"GENERAL";"TAB3",#N/A,TRUE,"GENERAL";"TAB4",#N/A,TRUE,"GENERAL";"TAB5",#N/A,TRUE,"GENERAL"}</definedName>
    <definedName name="_______k3" localSheetId="16" hidden="1">{"TAB1",#N/A,TRUE,"GENERAL";"TAB2",#N/A,TRUE,"GENERAL";"TAB3",#N/A,TRUE,"GENERAL";"TAB4",#N/A,TRUE,"GENERAL";"TAB5",#N/A,TRUE,"GENERAL"}</definedName>
    <definedName name="_______k3" hidden="1">{"TAB1",#N/A,TRUE,"GENERAL";"TAB2",#N/A,TRUE,"GENERAL";"TAB3",#N/A,TRUE,"GENERAL";"TAB4",#N/A,TRUE,"GENERAL";"TAB5",#N/A,TRUE,"GENERAL"}</definedName>
    <definedName name="_______k4" localSheetId="16" hidden="1">{"via1",#N/A,TRUE,"general";"via2",#N/A,TRUE,"general";"via3",#N/A,TRUE,"general"}</definedName>
    <definedName name="_______k4" hidden="1">{"via1",#N/A,TRUE,"general";"via2",#N/A,TRUE,"general";"via3",#N/A,TRUE,"general"}</definedName>
    <definedName name="_______k5" localSheetId="16" hidden="1">{"via1",#N/A,TRUE,"general";"via2",#N/A,TRUE,"general";"via3",#N/A,TRUE,"general"}</definedName>
    <definedName name="_______k5" hidden="1">{"via1",#N/A,TRUE,"general";"via2",#N/A,TRUE,"general";"via3",#N/A,TRUE,"general"}</definedName>
    <definedName name="_______k6" localSheetId="16" hidden="1">{"TAB1",#N/A,TRUE,"GENERAL";"TAB2",#N/A,TRUE,"GENERAL";"TAB3",#N/A,TRUE,"GENERAL";"TAB4",#N/A,TRUE,"GENERAL";"TAB5",#N/A,TRUE,"GENERAL"}</definedName>
    <definedName name="_______k6" hidden="1">{"TAB1",#N/A,TRUE,"GENERAL";"TAB2",#N/A,TRUE,"GENERAL";"TAB3",#N/A,TRUE,"GENERAL";"TAB4",#N/A,TRUE,"GENERAL";"TAB5",#N/A,TRUE,"GENERAL"}</definedName>
    <definedName name="_______k7" localSheetId="16" hidden="1">{"via1",#N/A,TRUE,"general";"via2",#N/A,TRUE,"general";"via3",#N/A,TRUE,"general"}</definedName>
    <definedName name="_______k7" hidden="1">{"via1",#N/A,TRUE,"general";"via2",#N/A,TRUE,"general";"via3",#N/A,TRUE,"general"}</definedName>
    <definedName name="_______k8" localSheetId="16" hidden="1">{"via1",#N/A,TRUE,"general";"via2",#N/A,TRUE,"general";"via3",#N/A,TRUE,"general"}</definedName>
    <definedName name="_______k8" hidden="1">{"via1",#N/A,TRUE,"general";"via2",#N/A,TRUE,"general";"via3",#N/A,TRUE,"general"}</definedName>
    <definedName name="_______k9" localSheetId="16" hidden="1">{"TAB1",#N/A,TRUE,"GENERAL";"TAB2",#N/A,TRUE,"GENERAL";"TAB3",#N/A,TRUE,"GENERAL";"TAB4",#N/A,TRUE,"GENERAL";"TAB5",#N/A,TRUE,"GENERAL"}</definedName>
    <definedName name="_______k9" hidden="1">{"TAB1",#N/A,TRUE,"GENERAL";"TAB2",#N/A,TRUE,"GENERAL";"TAB3",#N/A,TRUE,"GENERAL";"TAB4",#N/A,TRUE,"GENERAL";"TAB5",#N/A,TRUE,"GENERAL"}</definedName>
    <definedName name="_______kjk6" localSheetId="16" hidden="1">{"TAB1",#N/A,TRUE,"GENERAL";"TAB2",#N/A,TRUE,"GENERAL";"TAB3",#N/A,TRUE,"GENERAL";"TAB4",#N/A,TRUE,"GENERAL";"TAB5",#N/A,TRUE,"GENERAL"}</definedName>
    <definedName name="_______kjk6" hidden="1">{"TAB1",#N/A,TRUE,"GENERAL";"TAB2",#N/A,TRUE,"GENERAL";"TAB3",#N/A,TRUE,"GENERAL";"TAB4",#N/A,TRUE,"GENERAL";"TAB5",#N/A,TRUE,"GENERAL"}</definedName>
    <definedName name="_______m3" localSheetId="16" hidden="1">{"via1",#N/A,TRUE,"general";"via2",#N/A,TRUE,"general";"via3",#N/A,TRUE,"general"}</definedName>
    <definedName name="_______m3" hidden="1">{"via1",#N/A,TRUE,"general";"via2",#N/A,TRUE,"general";"via3",#N/A,TRUE,"general"}</definedName>
    <definedName name="_______m4" localSheetId="16" hidden="1">{"TAB1",#N/A,TRUE,"GENERAL";"TAB2",#N/A,TRUE,"GENERAL";"TAB3",#N/A,TRUE,"GENERAL";"TAB4",#N/A,TRUE,"GENERAL";"TAB5",#N/A,TRUE,"GENERAL"}</definedName>
    <definedName name="_______m4" hidden="1">{"TAB1",#N/A,TRUE,"GENERAL";"TAB2",#N/A,TRUE,"GENERAL";"TAB3",#N/A,TRUE,"GENERAL";"TAB4",#N/A,TRUE,"GENERAL";"TAB5",#N/A,TRUE,"GENERAL"}</definedName>
    <definedName name="_______m5" localSheetId="16" hidden="1">{"via1",#N/A,TRUE,"general";"via2",#N/A,TRUE,"general";"via3",#N/A,TRUE,"general"}</definedName>
    <definedName name="_______m5" hidden="1">{"via1",#N/A,TRUE,"general";"via2",#N/A,TRUE,"general";"via3",#N/A,TRUE,"general"}</definedName>
    <definedName name="_______m6" localSheetId="16" hidden="1">{"TAB1",#N/A,TRUE,"GENERAL";"TAB2",#N/A,TRUE,"GENERAL";"TAB3",#N/A,TRUE,"GENERAL";"TAB4",#N/A,TRUE,"GENERAL";"TAB5",#N/A,TRUE,"GENERAL"}</definedName>
    <definedName name="_______m6" hidden="1">{"TAB1",#N/A,TRUE,"GENERAL";"TAB2",#N/A,TRUE,"GENERAL";"TAB3",#N/A,TRUE,"GENERAL";"TAB4",#N/A,TRUE,"GENERAL";"TAB5",#N/A,TRUE,"GENERAL"}</definedName>
    <definedName name="_______m7" localSheetId="16" hidden="1">{"TAB1",#N/A,TRUE,"GENERAL";"TAB2",#N/A,TRUE,"GENERAL";"TAB3",#N/A,TRUE,"GENERAL";"TAB4",#N/A,TRUE,"GENERAL";"TAB5",#N/A,TRUE,"GENERAL"}</definedName>
    <definedName name="_______m7" hidden="1">{"TAB1",#N/A,TRUE,"GENERAL";"TAB2",#N/A,TRUE,"GENERAL";"TAB3",#N/A,TRUE,"GENERAL";"TAB4",#N/A,TRUE,"GENERAL";"TAB5",#N/A,TRUE,"GENERAL"}</definedName>
    <definedName name="_______m8" localSheetId="16" hidden="1">{"via1",#N/A,TRUE,"general";"via2",#N/A,TRUE,"general";"via3",#N/A,TRUE,"general"}</definedName>
    <definedName name="_______m8" hidden="1">{"via1",#N/A,TRUE,"general";"via2",#N/A,TRUE,"general";"via3",#N/A,TRUE,"general"}</definedName>
    <definedName name="_______m9" localSheetId="16" hidden="1">{"via1",#N/A,TRUE,"general";"via2",#N/A,TRUE,"general";"via3",#N/A,TRUE,"general"}</definedName>
    <definedName name="_______m9" hidden="1">{"via1",#N/A,TRUE,"general";"via2",#N/A,TRUE,"general";"via3",#N/A,TRUE,"general"}</definedName>
    <definedName name="_______MA2">#REF!</definedName>
    <definedName name="_______mor15">#REF!</definedName>
    <definedName name="_______n3" localSheetId="16" hidden="1">{"TAB1",#N/A,TRUE,"GENERAL";"TAB2",#N/A,TRUE,"GENERAL";"TAB3",#N/A,TRUE,"GENERAL";"TAB4",#N/A,TRUE,"GENERAL";"TAB5",#N/A,TRUE,"GENERAL"}</definedName>
    <definedName name="_______n3" hidden="1">{"TAB1",#N/A,TRUE,"GENERAL";"TAB2",#N/A,TRUE,"GENERAL";"TAB3",#N/A,TRUE,"GENERAL";"TAB4",#N/A,TRUE,"GENERAL";"TAB5",#N/A,TRUE,"GENERAL"}</definedName>
    <definedName name="_______n4" localSheetId="16" hidden="1">{"via1",#N/A,TRUE,"general";"via2",#N/A,TRUE,"general";"via3",#N/A,TRUE,"general"}</definedName>
    <definedName name="_______n4" hidden="1">{"via1",#N/A,TRUE,"general";"via2",#N/A,TRUE,"general";"via3",#N/A,TRUE,"general"}</definedName>
    <definedName name="_______n5" localSheetId="16" hidden="1">{"TAB1",#N/A,TRUE,"GENERAL";"TAB2",#N/A,TRUE,"GENERAL";"TAB3",#N/A,TRUE,"GENERAL";"TAB4",#N/A,TRUE,"GENERAL";"TAB5",#N/A,TRUE,"GENERAL"}</definedName>
    <definedName name="_______n5" hidden="1">{"TAB1",#N/A,TRUE,"GENERAL";"TAB2",#N/A,TRUE,"GENERAL";"TAB3",#N/A,TRUE,"GENERAL";"TAB4",#N/A,TRUE,"GENERAL";"TAB5",#N/A,TRUE,"GENERAL"}</definedName>
    <definedName name="_______nyn7" localSheetId="16" hidden="1">{"via1",#N/A,TRUE,"general";"via2",#N/A,TRUE,"general";"via3",#N/A,TRUE,"general"}</definedName>
    <definedName name="_______nyn7" hidden="1">{"via1",#N/A,TRUE,"general";"via2",#N/A,TRUE,"general";"via3",#N/A,TRUE,"general"}</definedName>
    <definedName name="_______o4" localSheetId="16" hidden="1">{"via1",#N/A,TRUE,"general";"via2",#N/A,TRUE,"general";"via3",#N/A,TRUE,"general"}</definedName>
    <definedName name="_______o4" hidden="1">{"via1",#N/A,TRUE,"general";"via2",#N/A,TRUE,"general";"via3",#N/A,TRUE,"general"}</definedName>
    <definedName name="_______o5" localSheetId="16" hidden="1">{"TAB1",#N/A,TRUE,"GENERAL";"TAB2",#N/A,TRUE,"GENERAL";"TAB3",#N/A,TRUE,"GENERAL";"TAB4",#N/A,TRUE,"GENERAL";"TAB5",#N/A,TRUE,"GENERAL"}</definedName>
    <definedName name="_______o5" hidden="1">{"TAB1",#N/A,TRUE,"GENERAL";"TAB2",#N/A,TRUE,"GENERAL";"TAB3",#N/A,TRUE,"GENERAL";"TAB4",#N/A,TRUE,"GENERAL";"TAB5",#N/A,TRUE,"GENERAL"}</definedName>
    <definedName name="_______o6" localSheetId="16" hidden="1">{"TAB1",#N/A,TRUE,"GENERAL";"TAB2",#N/A,TRUE,"GENERAL";"TAB3",#N/A,TRUE,"GENERAL";"TAB4",#N/A,TRUE,"GENERAL";"TAB5",#N/A,TRUE,"GENERAL"}</definedName>
    <definedName name="_______o6" hidden="1">{"TAB1",#N/A,TRUE,"GENERAL";"TAB2",#N/A,TRUE,"GENERAL";"TAB3",#N/A,TRUE,"GENERAL";"TAB4",#N/A,TRUE,"GENERAL";"TAB5",#N/A,TRUE,"GENERAL"}</definedName>
    <definedName name="_______o7" localSheetId="16" hidden="1">{"TAB1",#N/A,TRUE,"GENERAL";"TAB2",#N/A,TRUE,"GENERAL";"TAB3",#N/A,TRUE,"GENERAL";"TAB4",#N/A,TRUE,"GENERAL";"TAB5",#N/A,TRUE,"GENERAL"}</definedName>
    <definedName name="_______o7" hidden="1">{"TAB1",#N/A,TRUE,"GENERAL";"TAB2",#N/A,TRUE,"GENERAL";"TAB3",#N/A,TRUE,"GENERAL";"TAB4",#N/A,TRUE,"GENERAL";"TAB5",#N/A,TRUE,"GENERAL"}</definedName>
    <definedName name="_______o8" localSheetId="16" hidden="1">{"via1",#N/A,TRUE,"general";"via2",#N/A,TRUE,"general";"via3",#N/A,TRUE,"general"}</definedName>
    <definedName name="_______o8" hidden="1">{"via1",#N/A,TRUE,"general";"via2",#N/A,TRUE,"general";"via3",#N/A,TRUE,"general"}</definedName>
    <definedName name="_______o9" localSheetId="16" hidden="1">{"TAB1",#N/A,TRUE,"GENERAL";"TAB2",#N/A,TRUE,"GENERAL";"TAB3",#N/A,TRUE,"GENERAL";"TAB4",#N/A,TRUE,"GENERAL";"TAB5",#N/A,TRUE,"GENERAL"}</definedName>
    <definedName name="_______o9" hidden="1">{"TAB1",#N/A,TRUE,"GENERAL";"TAB2",#N/A,TRUE,"GENERAL";"TAB3",#N/A,TRUE,"GENERAL";"TAB4",#N/A,TRUE,"GENERAL";"TAB5",#N/A,TRUE,"GENERAL"}</definedName>
    <definedName name="_______p6" localSheetId="16" hidden="1">{"via1",#N/A,TRUE,"general";"via2",#N/A,TRUE,"general";"via3",#N/A,TRUE,"general"}</definedName>
    <definedName name="_______p6" hidden="1">{"via1",#N/A,TRUE,"general";"via2",#N/A,TRUE,"general";"via3",#N/A,TRUE,"general"}</definedName>
    <definedName name="_______p7" localSheetId="16" hidden="1">{"via1",#N/A,TRUE,"general";"via2",#N/A,TRUE,"general";"via3",#N/A,TRUE,"general"}</definedName>
    <definedName name="_______p7" hidden="1">{"via1",#N/A,TRUE,"general";"via2",#N/A,TRUE,"general";"via3",#N/A,TRUE,"general"}</definedName>
    <definedName name="_______p8" localSheetId="16" hidden="1">{"TAB1",#N/A,TRUE,"GENERAL";"TAB2",#N/A,TRUE,"GENERAL";"TAB3",#N/A,TRUE,"GENERAL";"TAB4",#N/A,TRUE,"GENERAL";"TAB5",#N/A,TRUE,"GENERAL"}</definedName>
    <definedName name="_______p8" hidden="1">{"TAB1",#N/A,TRUE,"GENERAL";"TAB2",#N/A,TRUE,"GENERAL";"TAB3",#N/A,TRUE,"GENERAL";"TAB4",#N/A,TRUE,"GENERAL";"TAB5",#N/A,TRUE,"GENERAL"}</definedName>
    <definedName name="_______PRE12">#REF!</definedName>
    <definedName name="_______r" localSheetId="16" hidden="1">{"TAB1",#N/A,TRUE,"GENERAL";"TAB2",#N/A,TRUE,"GENERAL";"TAB3",#N/A,TRUE,"GENERAL";"TAB4",#N/A,TRUE,"GENERAL";"TAB5",#N/A,TRUE,"GENERAL"}</definedName>
    <definedName name="_______r" hidden="1">{"TAB1",#N/A,TRUE,"GENERAL";"TAB2",#N/A,TRUE,"GENERAL";"TAB3",#N/A,TRUE,"GENERAL";"TAB4",#N/A,TRUE,"GENERAL";"TAB5",#N/A,TRUE,"GENERAL"}</definedName>
    <definedName name="_______r4r" localSheetId="16" hidden="1">{"via1",#N/A,TRUE,"general";"via2",#N/A,TRUE,"general";"via3",#N/A,TRUE,"general"}</definedName>
    <definedName name="_______r4r" hidden="1">{"via1",#N/A,TRUE,"general";"via2",#N/A,TRUE,"general";"via3",#N/A,TRUE,"general"}</definedName>
    <definedName name="_______Rc">#REF!</definedName>
    <definedName name="_______rtu6" localSheetId="16" hidden="1">{"via1",#N/A,TRUE,"general";"via2",#N/A,TRUE,"general";"via3",#N/A,TRUE,"general"}</definedName>
    <definedName name="_______rtu6" hidden="1">{"via1",#N/A,TRUE,"general";"via2",#N/A,TRUE,"general";"via3",#N/A,TRUE,"general"}</definedName>
    <definedName name="_______s1" localSheetId="16" hidden="1">{"via1",#N/A,TRUE,"general";"via2",#N/A,TRUE,"general";"via3",#N/A,TRUE,"general"}</definedName>
    <definedName name="_______s1" hidden="1">{"via1",#N/A,TRUE,"general";"via2",#N/A,TRUE,"general";"via3",#N/A,TRUE,"general"}</definedName>
    <definedName name="_______s2" localSheetId="16" hidden="1">{"TAB1",#N/A,TRUE,"GENERAL";"TAB2",#N/A,TRUE,"GENERAL";"TAB3",#N/A,TRUE,"GENERAL";"TAB4",#N/A,TRUE,"GENERAL";"TAB5",#N/A,TRUE,"GENERAL"}</definedName>
    <definedName name="_______s2" hidden="1">{"TAB1",#N/A,TRUE,"GENERAL";"TAB2",#N/A,TRUE,"GENERAL";"TAB3",#N/A,TRUE,"GENERAL";"TAB4",#N/A,TRUE,"GENERAL";"TAB5",#N/A,TRUE,"GENERAL"}</definedName>
    <definedName name="_______s3" localSheetId="16" hidden="1">{"TAB1",#N/A,TRUE,"GENERAL";"TAB2",#N/A,TRUE,"GENERAL";"TAB3",#N/A,TRUE,"GENERAL";"TAB4",#N/A,TRUE,"GENERAL";"TAB5",#N/A,TRUE,"GENERAL"}</definedName>
    <definedName name="_______s3" hidden="1">{"TAB1",#N/A,TRUE,"GENERAL";"TAB2",#N/A,TRUE,"GENERAL";"TAB3",#N/A,TRUE,"GENERAL";"TAB4",#N/A,TRUE,"GENERAL";"TAB5",#N/A,TRUE,"GENERAL"}</definedName>
    <definedName name="_______s4" localSheetId="16" hidden="1">{"via1",#N/A,TRUE,"general";"via2",#N/A,TRUE,"general";"via3",#N/A,TRUE,"general"}</definedName>
    <definedName name="_______s4" hidden="1">{"via1",#N/A,TRUE,"general";"via2",#N/A,TRUE,"general";"via3",#N/A,TRUE,"general"}</definedName>
    <definedName name="_______s5" localSheetId="16" hidden="1">{"via1",#N/A,TRUE,"general";"via2",#N/A,TRUE,"general";"via3",#N/A,TRUE,"general"}</definedName>
    <definedName name="_______s5" hidden="1">{"via1",#N/A,TRUE,"general";"via2",#N/A,TRUE,"general";"via3",#N/A,TRUE,"general"}</definedName>
    <definedName name="_______s6" localSheetId="16" hidden="1">{"TAB1",#N/A,TRUE,"GENERAL";"TAB2",#N/A,TRUE,"GENERAL";"TAB3",#N/A,TRUE,"GENERAL";"TAB4",#N/A,TRUE,"GENERAL";"TAB5",#N/A,TRUE,"GENERAL"}</definedName>
    <definedName name="_______s6" hidden="1">{"TAB1",#N/A,TRUE,"GENERAL";"TAB2",#N/A,TRUE,"GENERAL";"TAB3",#N/A,TRUE,"GENERAL";"TAB4",#N/A,TRUE,"GENERAL";"TAB5",#N/A,TRUE,"GENERAL"}</definedName>
    <definedName name="_______s7" localSheetId="16" hidden="1">{"via1",#N/A,TRUE,"general";"via2",#N/A,TRUE,"general";"via3",#N/A,TRUE,"general"}</definedName>
    <definedName name="_______s7" hidden="1">{"via1",#N/A,TRUE,"general";"via2",#N/A,TRUE,"general";"via3",#N/A,TRUE,"general"}</definedName>
    <definedName name="_______t3" localSheetId="16" hidden="1">{"TAB1",#N/A,TRUE,"GENERAL";"TAB2",#N/A,TRUE,"GENERAL";"TAB3",#N/A,TRUE,"GENERAL";"TAB4",#N/A,TRUE,"GENERAL";"TAB5",#N/A,TRUE,"GENERAL"}</definedName>
    <definedName name="_______t3" hidden="1">{"TAB1",#N/A,TRUE,"GENERAL";"TAB2",#N/A,TRUE,"GENERAL";"TAB3",#N/A,TRUE,"GENERAL";"TAB4",#N/A,TRUE,"GENERAL";"TAB5",#N/A,TRUE,"GENERAL"}</definedName>
    <definedName name="_______t4" localSheetId="16" hidden="1">{"via1",#N/A,TRUE,"general";"via2",#N/A,TRUE,"general";"via3",#N/A,TRUE,"general"}</definedName>
    <definedName name="_______t4" hidden="1">{"via1",#N/A,TRUE,"general";"via2",#N/A,TRUE,"general";"via3",#N/A,TRUE,"general"}</definedName>
    <definedName name="_______t5" localSheetId="16" hidden="1">{"TAB1",#N/A,TRUE,"GENERAL";"TAB2",#N/A,TRUE,"GENERAL";"TAB3",#N/A,TRUE,"GENERAL";"TAB4",#N/A,TRUE,"GENERAL";"TAB5",#N/A,TRUE,"GENERAL"}</definedName>
    <definedName name="_______t5" hidden="1">{"TAB1",#N/A,TRUE,"GENERAL";"TAB2",#N/A,TRUE,"GENERAL";"TAB3",#N/A,TRUE,"GENERAL";"TAB4",#N/A,TRUE,"GENERAL";"TAB5",#N/A,TRUE,"GENERAL"}</definedName>
    <definedName name="_______t6" localSheetId="16" hidden="1">{"via1",#N/A,TRUE,"general";"via2",#N/A,TRUE,"general";"via3",#N/A,TRUE,"general"}</definedName>
    <definedName name="_______t6" hidden="1">{"via1",#N/A,TRUE,"general";"via2",#N/A,TRUE,"general";"via3",#N/A,TRUE,"general"}</definedName>
    <definedName name="_______t66" localSheetId="16" hidden="1">{"TAB1",#N/A,TRUE,"GENERAL";"TAB2",#N/A,TRUE,"GENERAL";"TAB3",#N/A,TRUE,"GENERAL";"TAB4",#N/A,TRUE,"GENERAL";"TAB5",#N/A,TRUE,"GENERAL"}</definedName>
    <definedName name="_______t66" hidden="1">{"TAB1",#N/A,TRUE,"GENERAL";"TAB2",#N/A,TRUE,"GENERAL";"TAB3",#N/A,TRUE,"GENERAL";"TAB4",#N/A,TRUE,"GENERAL";"TAB5",#N/A,TRUE,"GENERAL"}</definedName>
    <definedName name="_______t7" localSheetId="16" hidden="1">{"via1",#N/A,TRUE,"general";"via2",#N/A,TRUE,"general";"via3",#N/A,TRUE,"general"}</definedName>
    <definedName name="_______t7" hidden="1">{"via1",#N/A,TRUE,"general";"via2",#N/A,TRUE,"general";"via3",#N/A,TRUE,"general"}</definedName>
    <definedName name="_______t77" localSheetId="16" hidden="1">{"TAB1",#N/A,TRUE,"GENERAL";"TAB2",#N/A,TRUE,"GENERAL";"TAB3",#N/A,TRUE,"GENERAL";"TAB4",#N/A,TRUE,"GENERAL";"TAB5",#N/A,TRUE,"GENERAL"}</definedName>
    <definedName name="_______t77" hidden="1">{"TAB1",#N/A,TRUE,"GENERAL";"TAB2",#N/A,TRUE,"GENERAL";"TAB3",#N/A,TRUE,"GENERAL";"TAB4",#N/A,TRUE,"GENERAL";"TAB5",#N/A,TRUE,"GENERAL"}</definedName>
    <definedName name="_______t8" localSheetId="16" hidden="1">{"TAB1",#N/A,TRUE,"GENERAL";"TAB2",#N/A,TRUE,"GENERAL";"TAB3",#N/A,TRUE,"GENERAL";"TAB4",#N/A,TRUE,"GENERAL";"TAB5",#N/A,TRUE,"GENERAL"}</definedName>
    <definedName name="_______t8" hidden="1">{"TAB1",#N/A,TRUE,"GENERAL";"TAB2",#N/A,TRUE,"GENERAL";"TAB3",#N/A,TRUE,"GENERAL";"TAB4",#N/A,TRUE,"GENERAL";"TAB5",#N/A,TRUE,"GENERAL"}</definedName>
    <definedName name="_______t88" localSheetId="16" hidden="1">{"via1",#N/A,TRUE,"general";"via2",#N/A,TRUE,"general";"via3",#N/A,TRUE,"general"}</definedName>
    <definedName name="_______t88" hidden="1">{"via1",#N/A,TRUE,"general";"via2",#N/A,TRUE,"general";"via3",#N/A,TRUE,"general"}</definedName>
    <definedName name="_______t9" localSheetId="16" hidden="1">{"TAB1",#N/A,TRUE,"GENERAL";"TAB2",#N/A,TRUE,"GENERAL";"TAB3",#N/A,TRUE,"GENERAL";"TAB4",#N/A,TRUE,"GENERAL";"TAB5",#N/A,TRUE,"GENERAL"}</definedName>
    <definedName name="_______t9" hidden="1">{"TAB1",#N/A,TRUE,"GENERAL";"TAB2",#N/A,TRUE,"GENERAL";"TAB3",#N/A,TRUE,"GENERAL";"TAB4",#N/A,TRUE,"GENERAL";"TAB5",#N/A,TRUE,"GENERAL"}</definedName>
    <definedName name="_______t99" localSheetId="16" hidden="1">{"via1",#N/A,TRUE,"general";"via2",#N/A,TRUE,"general";"via3",#N/A,TRUE,"general"}</definedName>
    <definedName name="_______t99" hidden="1">{"via1",#N/A,TRUE,"general";"via2",#N/A,TRUE,"general";"via3",#N/A,TRUE,"general"}</definedName>
    <definedName name="_______u4" localSheetId="16" hidden="1">{"TAB1",#N/A,TRUE,"GENERAL";"TAB2",#N/A,TRUE,"GENERAL";"TAB3",#N/A,TRUE,"GENERAL";"TAB4",#N/A,TRUE,"GENERAL";"TAB5",#N/A,TRUE,"GENERAL"}</definedName>
    <definedName name="_______u4" hidden="1">{"TAB1",#N/A,TRUE,"GENERAL";"TAB2",#N/A,TRUE,"GENERAL";"TAB3",#N/A,TRUE,"GENERAL";"TAB4",#N/A,TRUE,"GENERAL";"TAB5",#N/A,TRUE,"GENERAL"}</definedName>
    <definedName name="_______u5" localSheetId="16" hidden="1">{"TAB1",#N/A,TRUE,"GENERAL";"TAB2",#N/A,TRUE,"GENERAL";"TAB3",#N/A,TRUE,"GENERAL";"TAB4",#N/A,TRUE,"GENERAL";"TAB5",#N/A,TRUE,"GENERAL"}</definedName>
    <definedName name="_______u5" hidden="1">{"TAB1",#N/A,TRUE,"GENERAL";"TAB2",#N/A,TRUE,"GENERAL";"TAB3",#N/A,TRUE,"GENERAL";"TAB4",#N/A,TRUE,"GENERAL";"TAB5",#N/A,TRUE,"GENERAL"}</definedName>
    <definedName name="_______u6" localSheetId="16" hidden="1">{"TAB1",#N/A,TRUE,"GENERAL";"TAB2",#N/A,TRUE,"GENERAL";"TAB3",#N/A,TRUE,"GENERAL";"TAB4",#N/A,TRUE,"GENERAL";"TAB5",#N/A,TRUE,"GENERAL"}</definedName>
    <definedName name="_______u6" hidden="1">{"TAB1",#N/A,TRUE,"GENERAL";"TAB2",#N/A,TRUE,"GENERAL";"TAB3",#N/A,TRUE,"GENERAL";"TAB4",#N/A,TRUE,"GENERAL";"TAB5",#N/A,TRUE,"GENERAL"}</definedName>
    <definedName name="_______u7" localSheetId="16" hidden="1">{"via1",#N/A,TRUE,"general";"via2",#N/A,TRUE,"general";"via3",#N/A,TRUE,"general"}</definedName>
    <definedName name="_______u7" hidden="1">{"via1",#N/A,TRUE,"general";"via2",#N/A,TRUE,"general";"via3",#N/A,TRUE,"general"}</definedName>
    <definedName name="_______u8" localSheetId="16" hidden="1">{"TAB1",#N/A,TRUE,"GENERAL";"TAB2",#N/A,TRUE,"GENERAL";"TAB3",#N/A,TRUE,"GENERAL";"TAB4",#N/A,TRUE,"GENERAL";"TAB5",#N/A,TRUE,"GENERAL"}</definedName>
    <definedName name="_______u8" hidden="1">{"TAB1",#N/A,TRUE,"GENERAL";"TAB2",#N/A,TRUE,"GENERAL";"TAB3",#N/A,TRUE,"GENERAL";"TAB4",#N/A,TRUE,"GENERAL";"TAB5",#N/A,TRUE,"GENERAL"}</definedName>
    <definedName name="_______u9" localSheetId="16" hidden="1">{"TAB1",#N/A,TRUE,"GENERAL";"TAB2",#N/A,TRUE,"GENERAL";"TAB3",#N/A,TRUE,"GENERAL";"TAB4",#N/A,TRUE,"GENERAL";"TAB5",#N/A,TRUE,"GENERAL"}</definedName>
    <definedName name="_______u9" hidden="1">{"TAB1",#N/A,TRUE,"GENERAL";"TAB2",#N/A,TRUE,"GENERAL";"TAB3",#N/A,TRUE,"GENERAL";"TAB4",#N/A,TRUE,"GENERAL";"TAB5",#N/A,TRUE,"GENERAL"}</definedName>
    <definedName name="_______ur7" localSheetId="16" hidden="1">{"TAB1",#N/A,TRUE,"GENERAL";"TAB2",#N/A,TRUE,"GENERAL";"TAB3",#N/A,TRUE,"GENERAL";"TAB4",#N/A,TRUE,"GENERAL";"TAB5",#N/A,TRUE,"GENERAL"}</definedName>
    <definedName name="_______ur7" hidden="1">{"TAB1",#N/A,TRUE,"GENERAL";"TAB2",#N/A,TRUE,"GENERAL";"TAB3",#N/A,TRUE,"GENERAL";"TAB4",#N/A,TRUE,"GENERAL";"TAB5",#N/A,TRUE,"GENERAL"}</definedName>
    <definedName name="_______v2" localSheetId="16" hidden="1">{"via1",#N/A,TRUE,"general";"via2",#N/A,TRUE,"general";"via3",#N/A,TRUE,"general"}</definedName>
    <definedName name="_______v2" hidden="1">{"via1",#N/A,TRUE,"general";"via2",#N/A,TRUE,"general";"via3",#N/A,TRUE,"general"}</definedName>
    <definedName name="_______v3" localSheetId="16" hidden="1">{"TAB1",#N/A,TRUE,"GENERAL";"TAB2",#N/A,TRUE,"GENERAL";"TAB3",#N/A,TRUE,"GENERAL";"TAB4",#N/A,TRUE,"GENERAL";"TAB5",#N/A,TRUE,"GENERAL"}</definedName>
    <definedName name="_______v3" hidden="1">{"TAB1",#N/A,TRUE,"GENERAL";"TAB2",#N/A,TRUE,"GENERAL";"TAB3",#N/A,TRUE,"GENERAL";"TAB4",#N/A,TRUE,"GENERAL";"TAB5",#N/A,TRUE,"GENERAL"}</definedName>
    <definedName name="_______v4" localSheetId="16" hidden="1">{"TAB1",#N/A,TRUE,"GENERAL";"TAB2",#N/A,TRUE,"GENERAL";"TAB3",#N/A,TRUE,"GENERAL";"TAB4",#N/A,TRUE,"GENERAL";"TAB5",#N/A,TRUE,"GENERAL"}</definedName>
    <definedName name="_______v4" hidden="1">{"TAB1",#N/A,TRUE,"GENERAL";"TAB2",#N/A,TRUE,"GENERAL";"TAB3",#N/A,TRUE,"GENERAL";"TAB4",#N/A,TRUE,"GENERAL";"TAB5",#N/A,TRUE,"GENERAL"}</definedName>
    <definedName name="_______v5" localSheetId="16" hidden="1">{"TAB1",#N/A,TRUE,"GENERAL";"TAB2",#N/A,TRUE,"GENERAL";"TAB3",#N/A,TRUE,"GENERAL";"TAB4",#N/A,TRUE,"GENERAL";"TAB5",#N/A,TRUE,"GENERAL"}</definedName>
    <definedName name="_______v5" hidden="1">{"TAB1",#N/A,TRUE,"GENERAL";"TAB2",#N/A,TRUE,"GENERAL";"TAB3",#N/A,TRUE,"GENERAL";"TAB4",#N/A,TRUE,"GENERAL";"TAB5",#N/A,TRUE,"GENERAL"}</definedName>
    <definedName name="_______v6" localSheetId="16" hidden="1">{"TAB1",#N/A,TRUE,"GENERAL";"TAB2",#N/A,TRUE,"GENERAL";"TAB3",#N/A,TRUE,"GENERAL";"TAB4",#N/A,TRUE,"GENERAL";"TAB5",#N/A,TRUE,"GENERAL"}</definedName>
    <definedName name="_______v6" hidden="1">{"TAB1",#N/A,TRUE,"GENERAL";"TAB2",#N/A,TRUE,"GENERAL";"TAB3",#N/A,TRUE,"GENERAL";"TAB4",#N/A,TRUE,"GENERAL";"TAB5",#N/A,TRUE,"GENERAL"}</definedName>
    <definedName name="_______v7" localSheetId="16" hidden="1">{"via1",#N/A,TRUE,"general";"via2",#N/A,TRUE,"general";"via3",#N/A,TRUE,"general"}</definedName>
    <definedName name="_______v7" hidden="1">{"via1",#N/A,TRUE,"general";"via2",#N/A,TRUE,"general";"via3",#N/A,TRUE,"general"}</definedName>
    <definedName name="_______v8" localSheetId="16" hidden="1">{"TAB1",#N/A,TRUE,"GENERAL";"TAB2",#N/A,TRUE,"GENERAL";"TAB3",#N/A,TRUE,"GENERAL";"TAB4",#N/A,TRUE,"GENERAL";"TAB5",#N/A,TRUE,"GENERAL"}</definedName>
    <definedName name="_______v8" hidden="1">{"TAB1",#N/A,TRUE,"GENERAL";"TAB2",#N/A,TRUE,"GENERAL";"TAB3",#N/A,TRUE,"GENERAL";"TAB4",#N/A,TRUE,"GENERAL";"TAB5",#N/A,TRUE,"GENERAL"}</definedName>
    <definedName name="_______v9" localSheetId="16" hidden="1">{"TAB1",#N/A,TRUE,"GENERAL";"TAB2",#N/A,TRUE,"GENERAL";"TAB3",#N/A,TRUE,"GENERAL";"TAB4",#N/A,TRUE,"GENERAL";"TAB5",#N/A,TRUE,"GENERAL"}</definedName>
    <definedName name="_______v9" hidden="1">{"TAB1",#N/A,TRUE,"GENERAL";"TAB2",#N/A,TRUE,"GENERAL";"TAB3",#N/A,TRUE,"GENERAL";"TAB4",#N/A,TRUE,"GENERAL";"TAB5",#N/A,TRUE,"GENERAL"}</definedName>
    <definedName name="_______vfv4" localSheetId="16" hidden="1">{"via1",#N/A,TRUE,"general";"via2",#N/A,TRUE,"general";"via3",#N/A,TRUE,"general"}</definedName>
    <definedName name="_______vfv4" hidden="1">{"via1",#N/A,TRUE,"general";"via2",#N/A,TRUE,"general";"via3",#N/A,TRUE,"general"}</definedName>
    <definedName name="_______VOL1" hidden="1">#REF!</definedName>
    <definedName name="_______VPD1">#REF!</definedName>
    <definedName name="_______VPI1">#REF!</definedName>
    <definedName name="_______VRA1">#REF!</definedName>
    <definedName name="_______x1" localSheetId="16" hidden="1">{"TAB1",#N/A,TRUE,"GENERAL";"TAB2",#N/A,TRUE,"GENERAL";"TAB3",#N/A,TRUE,"GENERAL";"TAB4",#N/A,TRUE,"GENERAL";"TAB5",#N/A,TRUE,"GENERAL"}</definedName>
    <definedName name="_______x1" hidden="1">{"TAB1",#N/A,TRUE,"GENERAL";"TAB2",#N/A,TRUE,"GENERAL";"TAB3",#N/A,TRUE,"GENERAL";"TAB4",#N/A,TRUE,"GENERAL";"TAB5",#N/A,TRUE,"GENERAL"}</definedName>
    <definedName name="_______x2" localSheetId="16" hidden="1">{"via1",#N/A,TRUE,"general";"via2",#N/A,TRUE,"general";"via3",#N/A,TRUE,"general"}</definedName>
    <definedName name="_______x2" hidden="1">{"via1",#N/A,TRUE,"general";"via2",#N/A,TRUE,"general";"via3",#N/A,TRUE,"general"}</definedName>
    <definedName name="_______x3" localSheetId="16" hidden="1">{"via1",#N/A,TRUE,"general";"via2",#N/A,TRUE,"general";"via3",#N/A,TRUE,"general"}</definedName>
    <definedName name="_______x3" hidden="1">{"via1",#N/A,TRUE,"general";"via2",#N/A,TRUE,"general";"via3",#N/A,TRUE,"general"}</definedName>
    <definedName name="_______x4" localSheetId="16" hidden="1">{"via1",#N/A,TRUE,"general";"via2",#N/A,TRUE,"general";"via3",#N/A,TRUE,"general"}</definedName>
    <definedName name="_______x4" hidden="1">{"via1",#N/A,TRUE,"general";"via2",#N/A,TRUE,"general";"via3",#N/A,TRUE,"general"}</definedName>
    <definedName name="_______x5" localSheetId="16" hidden="1">{"TAB1",#N/A,TRUE,"GENERAL";"TAB2",#N/A,TRUE,"GENERAL";"TAB3",#N/A,TRUE,"GENERAL";"TAB4",#N/A,TRUE,"GENERAL";"TAB5",#N/A,TRUE,"GENERAL"}</definedName>
    <definedName name="_______x5" hidden="1">{"TAB1",#N/A,TRUE,"GENERAL";"TAB2",#N/A,TRUE,"GENERAL";"TAB3",#N/A,TRUE,"GENERAL";"TAB4",#N/A,TRUE,"GENERAL";"TAB5",#N/A,TRUE,"GENERAL"}</definedName>
    <definedName name="_______x6" localSheetId="16" hidden="1">{"TAB1",#N/A,TRUE,"GENERAL";"TAB2",#N/A,TRUE,"GENERAL";"TAB3",#N/A,TRUE,"GENERAL";"TAB4",#N/A,TRUE,"GENERAL";"TAB5",#N/A,TRUE,"GENERAL"}</definedName>
    <definedName name="_______x6" hidden="1">{"TAB1",#N/A,TRUE,"GENERAL";"TAB2",#N/A,TRUE,"GENERAL";"TAB3",#N/A,TRUE,"GENERAL";"TAB4",#N/A,TRUE,"GENERAL";"TAB5",#N/A,TRUE,"GENERAL"}</definedName>
    <definedName name="_______x7" localSheetId="16" hidden="1">{"TAB1",#N/A,TRUE,"GENERAL";"TAB2",#N/A,TRUE,"GENERAL";"TAB3",#N/A,TRUE,"GENERAL";"TAB4",#N/A,TRUE,"GENERAL";"TAB5",#N/A,TRUE,"GENERAL"}</definedName>
    <definedName name="_______x7" hidden="1">{"TAB1",#N/A,TRUE,"GENERAL";"TAB2",#N/A,TRUE,"GENERAL";"TAB3",#N/A,TRUE,"GENERAL";"TAB4",#N/A,TRUE,"GENERAL";"TAB5",#N/A,TRUE,"GENERAL"}</definedName>
    <definedName name="_______x8" localSheetId="16" hidden="1">{"via1",#N/A,TRUE,"general";"via2",#N/A,TRUE,"general";"via3",#N/A,TRUE,"general"}</definedName>
    <definedName name="_______x8" hidden="1">{"via1",#N/A,TRUE,"general";"via2",#N/A,TRUE,"general";"via3",#N/A,TRUE,"general"}</definedName>
    <definedName name="_______x9" localSheetId="16" hidden="1">{"TAB1",#N/A,TRUE,"GENERAL";"TAB2",#N/A,TRUE,"GENERAL";"TAB3",#N/A,TRUE,"GENERAL";"TAB4",#N/A,TRUE,"GENERAL";"TAB5",#N/A,TRUE,"GENERAL"}</definedName>
    <definedName name="_______x9" hidden="1">{"TAB1",#N/A,TRUE,"GENERAL";"TAB2",#N/A,TRUE,"GENERAL";"TAB3",#N/A,TRUE,"GENERAL";"TAB4",#N/A,TRUE,"GENERAL";"TAB5",#N/A,TRUE,"GENERAL"}</definedName>
    <definedName name="_______y2" localSheetId="16" hidden="1">{"TAB1",#N/A,TRUE,"GENERAL";"TAB2",#N/A,TRUE,"GENERAL";"TAB3",#N/A,TRUE,"GENERAL";"TAB4",#N/A,TRUE,"GENERAL";"TAB5",#N/A,TRUE,"GENERAL"}</definedName>
    <definedName name="_______y2" hidden="1">{"TAB1",#N/A,TRUE,"GENERAL";"TAB2",#N/A,TRUE,"GENERAL";"TAB3",#N/A,TRUE,"GENERAL";"TAB4",#N/A,TRUE,"GENERAL";"TAB5",#N/A,TRUE,"GENERAL"}</definedName>
    <definedName name="_______y3" localSheetId="16" hidden="1">{"via1",#N/A,TRUE,"general";"via2",#N/A,TRUE,"general";"via3",#N/A,TRUE,"general"}</definedName>
    <definedName name="_______y3" hidden="1">{"via1",#N/A,TRUE,"general";"via2",#N/A,TRUE,"general";"via3",#N/A,TRUE,"general"}</definedName>
    <definedName name="_______y4" localSheetId="16" hidden="1">{"via1",#N/A,TRUE,"general";"via2",#N/A,TRUE,"general";"via3",#N/A,TRUE,"general"}</definedName>
    <definedName name="_______y4" hidden="1">{"via1",#N/A,TRUE,"general";"via2",#N/A,TRUE,"general";"via3",#N/A,TRUE,"general"}</definedName>
    <definedName name="_______y5" localSheetId="16" hidden="1">{"TAB1",#N/A,TRUE,"GENERAL";"TAB2",#N/A,TRUE,"GENERAL";"TAB3",#N/A,TRUE,"GENERAL";"TAB4",#N/A,TRUE,"GENERAL";"TAB5",#N/A,TRUE,"GENERAL"}</definedName>
    <definedName name="_______y5" hidden="1">{"TAB1",#N/A,TRUE,"GENERAL";"TAB2",#N/A,TRUE,"GENERAL";"TAB3",#N/A,TRUE,"GENERAL";"TAB4",#N/A,TRUE,"GENERAL";"TAB5",#N/A,TRUE,"GENERAL"}</definedName>
    <definedName name="_______y6" localSheetId="16" hidden="1">{"via1",#N/A,TRUE,"general";"via2",#N/A,TRUE,"general";"via3",#N/A,TRUE,"general"}</definedName>
    <definedName name="_______y6" hidden="1">{"via1",#N/A,TRUE,"general";"via2",#N/A,TRUE,"general";"via3",#N/A,TRUE,"general"}</definedName>
    <definedName name="_______y7" localSheetId="16" hidden="1">{"via1",#N/A,TRUE,"general";"via2",#N/A,TRUE,"general";"via3",#N/A,TRUE,"general"}</definedName>
    <definedName name="_______y7" hidden="1">{"via1",#N/A,TRUE,"general";"via2",#N/A,TRUE,"general";"via3",#N/A,TRUE,"general"}</definedName>
    <definedName name="_______y8" localSheetId="16" hidden="1">{"via1",#N/A,TRUE,"general";"via2",#N/A,TRUE,"general";"via3",#N/A,TRUE,"general"}</definedName>
    <definedName name="_______y8" hidden="1">{"via1",#N/A,TRUE,"general";"via2",#N/A,TRUE,"general";"via3",#N/A,TRUE,"general"}</definedName>
    <definedName name="_______y9" localSheetId="16" hidden="1">{"TAB1",#N/A,TRUE,"GENERAL";"TAB2",#N/A,TRUE,"GENERAL";"TAB3",#N/A,TRUE,"GENERAL";"TAB4",#N/A,TRUE,"GENERAL";"TAB5",#N/A,TRUE,"GENERAL"}</definedName>
    <definedName name="_______y9" hidden="1">{"TAB1",#N/A,TRUE,"GENERAL";"TAB2",#N/A,TRUE,"GENERAL";"TAB3",#N/A,TRUE,"GENERAL";"TAB4",#N/A,TRUE,"GENERAL";"TAB5",#N/A,TRUE,"GENERAL"}</definedName>
    <definedName name="_______z1" localSheetId="16" hidden="1">{"TAB1",#N/A,TRUE,"GENERAL";"TAB2",#N/A,TRUE,"GENERAL";"TAB3",#N/A,TRUE,"GENERAL";"TAB4",#N/A,TRUE,"GENERAL";"TAB5",#N/A,TRUE,"GENERAL"}</definedName>
    <definedName name="_______z1" hidden="1">{"TAB1",#N/A,TRUE,"GENERAL";"TAB2",#N/A,TRUE,"GENERAL";"TAB3",#N/A,TRUE,"GENERAL";"TAB4",#N/A,TRUE,"GENERAL";"TAB5",#N/A,TRUE,"GENERAL"}</definedName>
    <definedName name="_______z2" localSheetId="16" hidden="1">{"via1",#N/A,TRUE,"general";"via2",#N/A,TRUE,"general";"via3",#N/A,TRUE,"general"}</definedName>
    <definedName name="_______z2" hidden="1">{"via1",#N/A,TRUE,"general";"via2",#N/A,TRUE,"general";"via3",#N/A,TRUE,"general"}</definedName>
    <definedName name="_______z3" localSheetId="16" hidden="1">{"via1",#N/A,TRUE,"general";"via2",#N/A,TRUE,"general";"via3",#N/A,TRUE,"general"}</definedName>
    <definedName name="_______z3" hidden="1">{"via1",#N/A,TRUE,"general";"via2",#N/A,TRUE,"general";"via3",#N/A,TRUE,"general"}</definedName>
    <definedName name="_______z4" localSheetId="16" hidden="1">{"TAB1",#N/A,TRUE,"GENERAL";"TAB2",#N/A,TRUE,"GENERAL";"TAB3",#N/A,TRUE,"GENERAL";"TAB4",#N/A,TRUE,"GENERAL";"TAB5",#N/A,TRUE,"GENERAL"}</definedName>
    <definedName name="_______z4" hidden="1">{"TAB1",#N/A,TRUE,"GENERAL";"TAB2",#N/A,TRUE,"GENERAL";"TAB3",#N/A,TRUE,"GENERAL";"TAB4",#N/A,TRUE,"GENERAL";"TAB5",#N/A,TRUE,"GENERAL"}</definedName>
    <definedName name="_______z5" localSheetId="16" hidden="1">{"via1",#N/A,TRUE,"general";"via2",#N/A,TRUE,"general";"via3",#N/A,TRUE,"general"}</definedName>
    <definedName name="_______z5" hidden="1">{"via1",#N/A,TRUE,"general";"via2",#N/A,TRUE,"general";"via3",#N/A,TRUE,"general"}</definedName>
    <definedName name="_______z6" localSheetId="16" hidden="1">{"TAB1",#N/A,TRUE,"GENERAL";"TAB2",#N/A,TRUE,"GENERAL";"TAB3",#N/A,TRUE,"GENERAL";"TAB4",#N/A,TRUE,"GENERAL";"TAB5",#N/A,TRUE,"GENERAL"}</definedName>
    <definedName name="_______z6" hidden="1">{"TAB1",#N/A,TRUE,"GENERAL";"TAB2",#N/A,TRUE,"GENERAL";"TAB3",#N/A,TRUE,"GENERAL";"TAB4",#N/A,TRUE,"GENERAL";"TAB5",#N/A,TRUE,"GENERAL"}</definedName>
    <definedName name="______a1" localSheetId="16" hidden="1">{"TAB1",#N/A,TRUE,"GENERAL";"TAB2",#N/A,TRUE,"GENERAL";"TAB3",#N/A,TRUE,"GENERAL";"TAB4",#N/A,TRUE,"GENERAL";"TAB5",#N/A,TRUE,"GENERAL"}</definedName>
    <definedName name="______a1" hidden="1">{"TAB1",#N/A,TRUE,"GENERAL";"TAB2",#N/A,TRUE,"GENERAL";"TAB3",#N/A,TRUE,"GENERAL";"TAB4",#N/A,TRUE,"GENERAL";"TAB5",#N/A,TRUE,"GENERAL"}</definedName>
    <definedName name="______a3" localSheetId="16"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16" hidden="1">{"via1",#N/A,TRUE,"general";"via2",#N/A,TRUE,"general";"via3",#N/A,TRUE,"general"}</definedName>
    <definedName name="______a4" hidden="1">{"via1",#N/A,TRUE,"general";"via2",#N/A,TRUE,"general";"via3",#N/A,TRUE,"general"}</definedName>
    <definedName name="______a5" localSheetId="16" hidden="1">{"TAB1",#N/A,TRUE,"GENERAL";"TAB2",#N/A,TRUE,"GENERAL";"TAB3",#N/A,TRUE,"GENERAL";"TAB4",#N/A,TRUE,"GENERAL";"TAB5",#N/A,TRUE,"GENERAL"}</definedName>
    <definedName name="______a5" hidden="1">{"TAB1",#N/A,TRUE,"GENERAL";"TAB2",#N/A,TRUE,"GENERAL";"TAB3",#N/A,TRUE,"GENERAL";"TAB4",#N/A,TRUE,"GENERAL";"TAB5",#N/A,TRUE,"GENERAL"}</definedName>
    <definedName name="______a6" localSheetId="16" hidden="1">{"TAB1",#N/A,TRUE,"GENERAL";"TAB2",#N/A,TRUE,"GENERAL";"TAB3",#N/A,TRUE,"GENERAL";"TAB4",#N/A,TRUE,"GENERAL";"TAB5",#N/A,TRUE,"GENERAL"}</definedName>
    <definedName name="______a6" hidden="1">{"TAB1",#N/A,TRUE,"GENERAL";"TAB2",#N/A,TRUE,"GENERAL";"TAB3",#N/A,TRUE,"GENERAL";"TAB4",#N/A,TRUE,"GENERAL";"TAB5",#N/A,TRUE,"GENERAL"}</definedName>
    <definedName name="______apu1">#REF!</definedName>
    <definedName name="______b2" localSheetId="16" hidden="1">{"TAB1",#N/A,TRUE,"GENERAL";"TAB2",#N/A,TRUE,"GENERAL";"TAB3",#N/A,TRUE,"GENERAL";"TAB4",#N/A,TRUE,"GENERAL";"TAB5",#N/A,TRUE,"GENERAL"}</definedName>
    <definedName name="______b2" hidden="1">{"TAB1",#N/A,TRUE,"GENERAL";"TAB2",#N/A,TRUE,"GENERAL";"TAB3",#N/A,TRUE,"GENERAL";"TAB4",#N/A,TRUE,"GENERAL";"TAB5",#N/A,TRUE,"GENERAL"}</definedName>
    <definedName name="______b3" localSheetId="16" hidden="1">{"TAB1",#N/A,TRUE,"GENERAL";"TAB2",#N/A,TRUE,"GENERAL";"TAB3",#N/A,TRUE,"GENERAL";"TAB4",#N/A,TRUE,"GENERAL";"TAB5",#N/A,TRUE,"GENERAL"}</definedName>
    <definedName name="______b3" hidden="1">{"TAB1",#N/A,TRUE,"GENERAL";"TAB2",#N/A,TRUE,"GENERAL";"TAB3",#N/A,TRUE,"GENERAL";"TAB4",#N/A,TRUE,"GENERAL";"TAB5",#N/A,TRUE,"GENERAL"}</definedName>
    <definedName name="______b4" localSheetId="16" hidden="1">{"TAB1",#N/A,TRUE,"GENERAL";"TAB2",#N/A,TRUE,"GENERAL";"TAB3",#N/A,TRUE,"GENERAL";"TAB4",#N/A,TRUE,"GENERAL";"TAB5",#N/A,TRUE,"GENERAL"}</definedName>
    <definedName name="______b4" hidden="1">{"TAB1",#N/A,TRUE,"GENERAL";"TAB2",#N/A,TRUE,"GENERAL";"TAB3",#N/A,TRUE,"GENERAL";"TAB4",#N/A,TRUE,"GENERAL";"TAB5",#N/A,TRUE,"GENERAL"}</definedName>
    <definedName name="______b5" localSheetId="16" hidden="1">{"TAB1",#N/A,TRUE,"GENERAL";"TAB2",#N/A,TRUE,"GENERAL";"TAB3",#N/A,TRUE,"GENERAL";"TAB4",#N/A,TRUE,"GENERAL";"TAB5",#N/A,TRUE,"GENERAL"}</definedName>
    <definedName name="______b5" hidden="1">{"TAB1",#N/A,TRUE,"GENERAL";"TAB2",#N/A,TRUE,"GENERAL";"TAB3",#N/A,TRUE,"GENERAL";"TAB4",#N/A,TRUE,"GENERAL";"TAB5",#N/A,TRUE,"GENERAL"}</definedName>
    <definedName name="______b6" localSheetId="16" hidden="1">{"TAB1",#N/A,TRUE,"GENERAL";"TAB2",#N/A,TRUE,"GENERAL";"TAB3",#N/A,TRUE,"GENERAL";"TAB4",#N/A,TRUE,"GENERAL";"TAB5",#N/A,TRUE,"GENERAL"}</definedName>
    <definedName name="______b6" hidden="1">{"TAB1",#N/A,TRUE,"GENERAL";"TAB2",#N/A,TRUE,"GENERAL";"TAB3",#N/A,TRUE,"GENERAL";"TAB4",#N/A,TRUE,"GENERAL";"TAB5",#N/A,TRUE,"GENERAL"}</definedName>
    <definedName name="______b7" localSheetId="16" hidden="1">{"via1",#N/A,TRUE,"general";"via2",#N/A,TRUE,"general";"via3",#N/A,TRUE,"general"}</definedName>
    <definedName name="______b7" hidden="1">{"via1",#N/A,TRUE,"general";"via2",#N/A,TRUE,"general";"via3",#N/A,TRUE,"general"}</definedName>
    <definedName name="______b8" localSheetId="16" hidden="1">{"via1",#N/A,TRUE,"general";"via2",#N/A,TRUE,"general";"via3",#N/A,TRUE,"general"}</definedName>
    <definedName name="______b8" hidden="1">{"via1",#N/A,TRUE,"general";"via2",#N/A,TRUE,"general";"via3",#N/A,TRUE,"general"}</definedName>
    <definedName name="______bb9" localSheetId="16" hidden="1">{"TAB1",#N/A,TRUE,"GENERAL";"TAB2",#N/A,TRUE,"GENERAL";"TAB3",#N/A,TRUE,"GENERAL";"TAB4",#N/A,TRUE,"GENERAL";"TAB5",#N/A,TRUE,"GENERAL"}</definedName>
    <definedName name="______bb9" hidden="1">{"TAB1",#N/A,TRUE,"GENERAL";"TAB2",#N/A,TRUE,"GENERAL";"TAB3",#N/A,TRUE,"GENERAL";"TAB4",#N/A,TRUE,"GENERAL";"TAB5",#N/A,TRUE,"GENERAL"}</definedName>
    <definedName name="______bgb5" localSheetId="16" hidden="1">{"TAB1",#N/A,TRUE,"GENERAL";"TAB2",#N/A,TRUE,"GENERAL";"TAB3",#N/A,TRUE,"GENERAL";"TAB4",#N/A,TRUE,"GENERAL";"TAB5",#N/A,TRUE,"GENERAL"}</definedName>
    <definedName name="______bgb5" hidden="1">{"TAB1",#N/A,TRUE,"GENERAL";"TAB2",#N/A,TRUE,"GENERAL";"TAB3",#N/A,TRUE,"GENERAL";"TAB4",#N/A,TRUE,"GENERAL";"TAB5",#N/A,TRUE,"GENERAL"}</definedName>
    <definedName name="______CAC1">#REF!</definedName>
    <definedName name="______CAC5">#REF!</definedName>
    <definedName name="______cua1">#REF!</definedName>
    <definedName name="______DMD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16" hidden="1">{"TAB1",#N/A,TRUE,"GENERAL";"TAB2",#N/A,TRUE,"GENERAL";"TAB3",#N/A,TRUE,"GENERAL";"TAB4",#N/A,TRUE,"GENERAL";"TAB5",#N/A,TRUE,"GENERAL"}</definedName>
    <definedName name="______g2" hidden="1">{"TAB1",#N/A,TRUE,"GENERAL";"TAB2",#N/A,TRUE,"GENERAL";"TAB3",#N/A,TRUE,"GENERAL";"TAB4",#N/A,TRUE,"GENERAL";"TAB5",#N/A,TRUE,"GENERAL"}</definedName>
    <definedName name="______g3" localSheetId="16" hidden="1">{"via1",#N/A,TRUE,"general";"via2",#N/A,TRUE,"general";"via3",#N/A,TRUE,"general"}</definedName>
    <definedName name="______g3" hidden="1">{"via1",#N/A,TRUE,"general";"via2",#N/A,TRUE,"general";"via3",#N/A,TRUE,"general"}</definedName>
    <definedName name="______g4" localSheetId="16" hidden="1">{"via1",#N/A,TRUE,"general";"via2",#N/A,TRUE,"general";"via3",#N/A,TRUE,"general"}</definedName>
    <definedName name="______g4" hidden="1">{"via1",#N/A,TRUE,"general";"via2",#N/A,TRUE,"general";"via3",#N/A,TRUE,"general"}</definedName>
    <definedName name="______g5" localSheetId="16" hidden="1">{"via1",#N/A,TRUE,"general";"via2",#N/A,TRUE,"general";"via3",#N/A,TRUE,"general"}</definedName>
    <definedName name="______g5" hidden="1">{"via1",#N/A,TRUE,"general";"via2",#N/A,TRUE,"general";"via3",#N/A,TRUE,"general"}</definedName>
    <definedName name="______g6" localSheetId="16" hidden="1">{"via1",#N/A,TRUE,"general";"via2",#N/A,TRUE,"general";"via3",#N/A,TRUE,"general"}</definedName>
    <definedName name="______g6" hidden="1">{"via1",#N/A,TRUE,"general";"via2",#N/A,TRUE,"general";"via3",#N/A,TRUE,"general"}</definedName>
    <definedName name="______g7" localSheetId="16" hidden="1">{"TAB1",#N/A,TRUE,"GENERAL";"TAB2",#N/A,TRUE,"GENERAL";"TAB3",#N/A,TRUE,"GENERAL";"TAB4",#N/A,TRUE,"GENERAL";"TAB5",#N/A,TRUE,"GENERAL"}</definedName>
    <definedName name="______g7" hidden="1">{"TAB1",#N/A,TRUE,"GENERAL";"TAB2",#N/A,TRUE,"GENERAL";"TAB3",#N/A,TRUE,"GENERAL";"TAB4",#N/A,TRUE,"GENERAL";"TAB5",#N/A,TRUE,"GENERAL"}</definedName>
    <definedName name="______GR1" localSheetId="16" hidden="1">{"TAB1",#N/A,TRUE,"GENERAL";"TAB2",#N/A,TRUE,"GENERAL";"TAB3",#N/A,TRUE,"GENERAL";"TAB4",#N/A,TRUE,"GENERAL";"TAB5",#N/A,TRUE,"GENERAL"}</definedName>
    <definedName name="______GR1" hidden="1">{"TAB1",#N/A,TRUE,"GENERAL";"TAB2",#N/A,TRUE,"GENERAL";"TAB3",#N/A,TRUE,"GENERAL";"TAB4",#N/A,TRUE,"GENERAL";"TAB5",#N/A,TRUE,"GENERAL"}</definedName>
    <definedName name="______gtr4" localSheetId="16" hidden="1">{"via1",#N/A,TRUE,"general";"via2",#N/A,TRUE,"general";"via3",#N/A,TRUE,"general"}</definedName>
    <definedName name="______gtr4" hidden="1">{"via1",#N/A,TRUE,"general";"via2",#N/A,TRUE,"general";"via3",#N/A,TRUE,"general"}</definedName>
    <definedName name="______h2" localSheetId="16" hidden="1">{"via1",#N/A,TRUE,"general";"via2",#N/A,TRUE,"general";"via3",#N/A,TRUE,"general"}</definedName>
    <definedName name="______h2" hidden="1">{"via1",#N/A,TRUE,"general";"via2",#N/A,TRUE,"general";"via3",#N/A,TRUE,"general"}</definedName>
    <definedName name="______h3" localSheetId="16" hidden="1">{"via1",#N/A,TRUE,"general";"via2",#N/A,TRUE,"general";"via3",#N/A,TRUE,"general"}</definedName>
    <definedName name="______h3" hidden="1">{"via1",#N/A,TRUE,"general";"via2",#N/A,TRUE,"general";"via3",#N/A,TRUE,"general"}</definedName>
    <definedName name="______h4" localSheetId="16" hidden="1">{"TAB1",#N/A,TRUE,"GENERAL";"TAB2",#N/A,TRUE,"GENERAL";"TAB3",#N/A,TRUE,"GENERAL";"TAB4",#N/A,TRUE,"GENERAL";"TAB5",#N/A,TRUE,"GENERAL"}</definedName>
    <definedName name="______h4" hidden="1">{"TAB1",#N/A,TRUE,"GENERAL";"TAB2",#N/A,TRUE,"GENERAL";"TAB3",#N/A,TRUE,"GENERAL";"TAB4",#N/A,TRUE,"GENERAL";"TAB5",#N/A,TRUE,"GENERAL"}</definedName>
    <definedName name="______h5" localSheetId="16" hidden="1">{"TAB1",#N/A,TRUE,"GENERAL";"TAB2",#N/A,TRUE,"GENERAL";"TAB3",#N/A,TRUE,"GENERAL";"TAB4",#N/A,TRUE,"GENERAL";"TAB5",#N/A,TRUE,"GENERAL"}</definedName>
    <definedName name="______h5" hidden="1">{"TAB1",#N/A,TRUE,"GENERAL";"TAB2",#N/A,TRUE,"GENERAL";"TAB3",#N/A,TRUE,"GENERAL";"TAB4",#N/A,TRUE,"GENERAL";"TAB5",#N/A,TRUE,"GENERAL"}</definedName>
    <definedName name="______h6" localSheetId="16" hidden="1">{"via1",#N/A,TRUE,"general";"via2",#N/A,TRUE,"general";"via3",#N/A,TRUE,"general"}</definedName>
    <definedName name="______h6" hidden="1">{"via1",#N/A,TRUE,"general";"via2",#N/A,TRUE,"general";"via3",#N/A,TRUE,"general"}</definedName>
    <definedName name="______h7" localSheetId="16" hidden="1">{"TAB1",#N/A,TRUE,"GENERAL";"TAB2",#N/A,TRUE,"GENERAL";"TAB3",#N/A,TRUE,"GENERAL";"TAB4",#N/A,TRUE,"GENERAL";"TAB5",#N/A,TRUE,"GENERAL"}</definedName>
    <definedName name="______h7" hidden="1">{"TAB1",#N/A,TRUE,"GENERAL";"TAB2",#N/A,TRUE,"GENERAL";"TAB3",#N/A,TRUE,"GENERAL";"TAB4",#N/A,TRUE,"GENERAL";"TAB5",#N/A,TRUE,"GENERAL"}</definedName>
    <definedName name="______h8" localSheetId="16" hidden="1">{"via1",#N/A,TRUE,"general";"via2",#N/A,TRUE,"general";"via3",#N/A,TRUE,"general"}</definedName>
    <definedName name="______h8" hidden="1">{"via1",#N/A,TRUE,"general";"via2",#N/A,TRUE,"general";"via3",#N/A,TRUE,"general"}</definedName>
    <definedName name="______hfh7" localSheetId="16" hidden="1">{"via1",#N/A,TRUE,"general";"via2",#N/A,TRUE,"general";"via3",#N/A,TRUE,"general"}</definedName>
    <definedName name="______hfh7" hidden="1">{"via1",#N/A,TRUE,"general";"via2",#N/A,TRUE,"general";"via3",#N/A,TRUE,"general"}</definedName>
    <definedName name="______i4" localSheetId="16" hidden="1">{"via1",#N/A,TRUE,"general";"via2",#N/A,TRUE,"general";"via3",#N/A,TRUE,"general"}</definedName>
    <definedName name="______i4" hidden="1">{"via1",#N/A,TRUE,"general";"via2",#N/A,TRUE,"general";"via3",#N/A,TRUE,"general"}</definedName>
    <definedName name="______i5" localSheetId="16" hidden="1">{"TAB1",#N/A,TRUE,"GENERAL";"TAB2",#N/A,TRUE,"GENERAL";"TAB3",#N/A,TRUE,"GENERAL";"TAB4",#N/A,TRUE,"GENERAL";"TAB5",#N/A,TRUE,"GENERAL"}</definedName>
    <definedName name="______i5" hidden="1">{"TAB1",#N/A,TRUE,"GENERAL";"TAB2",#N/A,TRUE,"GENERAL";"TAB3",#N/A,TRUE,"GENERAL";"TAB4",#N/A,TRUE,"GENERAL";"TAB5",#N/A,TRUE,"GENERAL"}</definedName>
    <definedName name="______i6" localSheetId="16" hidden="1">{"TAB1",#N/A,TRUE,"GENERAL";"TAB2",#N/A,TRUE,"GENERAL";"TAB3",#N/A,TRUE,"GENERAL";"TAB4",#N/A,TRUE,"GENERAL";"TAB5",#N/A,TRUE,"GENERAL"}</definedName>
    <definedName name="______i6" hidden="1">{"TAB1",#N/A,TRUE,"GENERAL";"TAB2",#N/A,TRUE,"GENERAL";"TAB3",#N/A,TRUE,"GENERAL";"TAB4",#N/A,TRUE,"GENERAL";"TAB5",#N/A,TRUE,"GENERAL"}</definedName>
    <definedName name="______i7" localSheetId="16" hidden="1">{"via1",#N/A,TRUE,"general";"via2",#N/A,TRUE,"general";"via3",#N/A,TRUE,"general"}</definedName>
    <definedName name="______i7" hidden="1">{"via1",#N/A,TRUE,"general";"via2",#N/A,TRUE,"general";"via3",#N/A,TRUE,"general"}</definedName>
    <definedName name="______i77" localSheetId="16" hidden="1">{"TAB1",#N/A,TRUE,"GENERAL";"TAB2",#N/A,TRUE,"GENERAL";"TAB3",#N/A,TRUE,"GENERAL";"TAB4",#N/A,TRUE,"GENERAL";"TAB5",#N/A,TRUE,"GENERAL"}</definedName>
    <definedName name="______i77" hidden="1">{"TAB1",#N/A,TRUE,"GENERAL";"TAB2",#N/A,TRUE,"GENERAL";"TAB3",#N/A,TRUE,"GENERAL";"TAB4",#N/A,TRUE,"GENERAL";"TAB5",#N/A,TRUE,"GENERAL"}</definedName>
    <definedName name="______i8" localSheetId="16" hidden="1">{"via1",#N/A,TRUE,"general";"via2",#N/A,TRUE,"general";"via3",#N/A,TRUE,"general"}</definedName>
    <definedName name="______i8" hidden="1">{"via1",#N/A,TRUE,"general";"via2",#N/A,TRUE,"general";"via3",#N/A,TRUE,"general"}</definedName>
    <definedName name="______i9" localSheetId="16"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16" hidden="1">{"TAB1",#N/A,TRUE,"GENERAL";"TAB2",#N/A,TRUE,"GENERAL";"TAB3",#N/A,TRUE,"GENERAL";"TAB4",#N/A,TRUE,"GENERAL";"TAB5",#N/A,TRUE,"GENERAL"}</definedName>
    <definedName name="______k3" hidden="1">{"TAB1",#N/A,TRUE,"GENERAL";"TAB2",#N/A,TRUE,"GENERAL";"TAB3",#N/A,TRUE,"GENERAL";"TAB4",#N/A,TRUE,"GENERAL";"TAB5",#N/A,TRUE,"GENERAL"}</definedName>
    <definedName name="______k4" localSheetId="16" hidden="1">{"via1",#N/A,TRUE,"general";"via2",#N/A,TRUE,"general";"via3",#N/A,TRUE,"general"}</definedName>
    <definedName name="______k4" hidden="1">{"via1",#N/A,TRUE,"general";"via2",#N/A,TRUE,"general";"via3",#N/A,TRUE,"general"}</definedName>
    <definedName name="______k5" localSheetId="16" hidden="1">{"via1",#N/A,TRUE,"general";"via2",#N/A,TRUE,"general";"via3",#N/A,TRUE,"general"}</definedName>
    <definedName name="______k5" hidden="1">{"via1",#N/A,TRUE,"general";"via2",#N/A,TRUE,"general";"via3",#N/A,TRUE,"general"}</definedName>
    <definedName name="______k6" localSheetId="16" hidden="1">{"TAB1",#N/A,TRUE,"GENERAL";"TAB2",#N/A,TRUE,"GENERAL";"TAB3",#N/A,TRUE,"GENERAL";"TAB4",#N/A,TRUE,"GENERAL";"TAB5",#N/A,TRUE,"GENERAL"}</definedName>
    <definedName name="______k6" hidden="1">{"TAB1",#N/A,TRUE,"GENERAL";"TAB2",#N/A,TRUE,"GENERAL";"TAB3",#N/A,TRUE,"GENERAL";"TAB4",#N/A,TRUE,"GENERAL";"TAB5",#N/A,TRUE,"GENERAL"}</definedName>
    <definedName name="______k7" localSheetId="16" hidden="1">{"via1",#N/A,TRUE,"general";"via2",#N/A,TRUE,"general";"via3",#N/A,TRUE,"general"}</definedName>
    <definedName name="______k7" hidden="1">{"via1",#N/A,TRUE,"general";"via2",#N/A,TRUE,"general";"via3",#N/A,TRUE,"general"}</definedName>
    <definedName name="______k8" localSheetId="16" hidden="1">{"via1",#N/A,TRUE,"general";"via2",#N/A,TRUE,"general";"via3",#N/A,TRUE,"general"}</definedName>
    <definedName name="______k8" hidden="1">{"via1",#N/A,TRUE,"general";"via2",#N/A,TRUE,"general";"via3",#N/A,TRUE,"general"}</definedName>
    <definedName name="______k9" localSheetId="16" hidden="1">{"TAB1",#N/A,TRUE,"GENERAL";"TAB2",#N/A,TRUE,"GENERAL";"TAB3",#N/A,TRUE,"GENERAL";"TAB4",#N/A,TRUE,"GENERAL";"TAB5",#N/A,TRUE,"GENERAL"}</definedName>
    <definedName name="______k9" hidden="1">{"TAB1",#N/A,TRUE,"GENERAL";"TAB2",#N/A,TRUE,"GENERAL";"TAB3",#N/A,TRUE,"GENERAL";"TAB4",#N/A,TRUE,"GENERAL";"TAB5",#N/A,TRUE,"GENERAL"}</definedName>
    <definedName name="______kjk6" localSheetId="16" hidden="1">{"TAB1",#N/A,TRUE,"GENERAL";"TAB2",#N/A,TRUE,"GENERAL";"TAB3",#N/A,TRUE,"GENERAL";"TAB4",#N/A,TRUE,"GENERAL";"TAB5",#N/A,TRUE,"GENERAL"}</definedName>
    <definedName name="______kjk6" hidden="1">{"TAB1",#N/A,TRUE,"GENERAL";"TAB2",#N/A,TRUE,"GENERAL";"TAB3",#N/A,TRUE,"GENERAL";"TAB4",#N/A,TRUE,"GENERAL";"TAB5",#N/A,TRUE,"GENERAL"}</definedName>
    <definedName name="______m3" localSheetId="16" hidden="1">{"via1",#N/A,TRUE,"general";"via2",#N/A,TRUE,"general";"via3",#N/A,TRUE,"general"}</definedName>
    <definedName name="______m3" hidden="1">{"via1",#N/A,TRUE,"general";"via2",#N/A,TRUE,"general";"via3",#N/A,TRUE,"general"}</definedName>
    <definedName name="______m4" localSheetId="16" hidden="1">{"TAB1",#N/A,TRUE,"GENERAL";"TAB2",#N/A,TRUE,"GENERAL";"TAB3",#N/A,TRUE,"GENERAL";"TAB4",#N/A,TRUE,"GENERAL";"TAB5",#N/A,TRUE,"GENERAL"}</definedName>
    <definedName name="______m4" hidden="1">{"TAB1",#N/A,TRUE,"GENERAL";"TAB2",#N/A,TRUE,"GENERAL";"TAB3",#N/A,TRUE,"GENERAL";"TAB4",#N/A,TRUE,"GENERAL";"TAB5",#N/A,TRUE,"GENERAL"}</definedName>
    <definedName name="______m5" localSheetId="16" hidden="1">{"via1",#N/A,TRUE,"general";"via2",#N/A,TRUE,"general";"via3",#N/A,TRUE,"general"}</definedName>
    <definedName name="______m5" hidden="1">{"via1",#N/A,TRUE,"general";"via2",#N/A,TRUE,"general";"via3",#N/A,TRUE,"general"}</definedName>
    <definedName name="______m6" localSheetId="16" hidden="1">{"TAB1",#N/A,TRUE,"GENERAL";"TAB2",#N/A,TRUE,"GENERAL";"TAB3",#N/A,TRUE,"GENERAL";"TAB4",#N/A,TRUE,"GENERAL";"TAB5",#N/A,TRUE,"GENERAL"}</definedName>
    <definedName name="______m6" hidden="1">{"TAB1",#N/A,TRUE,"GENERAL";"TAB2",#N/A,TRUE,"GENERAL";"TAB3",#N/A,TRUE,"GENERAL";"TAB4",#N/A,TRUE,"GENERAL";"TAB5",#N/A,TRUE,"GENERAL"}</definedName>
    <definedName name="______m7" localSheetId="16" hidden="1">{"TAB1",#N/A,TRUE,"GENERAL";"TAB2",#N/A,TRUE,"GENERAL";"TAB3",#N/A,TRUE,"GENERAL";"TAB4",#N/A,TRUE,"GENERAL";"TAB5",#N/A,TRUE,"GENERAL"}</definedName>
    <definedName name="______m7" hidden="1">{"TAB1",#N/A,TRUE,"GENERAL";"TAB2",#N/A,TRUE,"GENERAL";"TAB3",#N/A,TRUE,"GENERAL";"TAB4",#N/A,TRUE,"GENERAL";"TAB5",#N/A,TRUE,"GENERAL"}</definedName>
    <definedName name="______m8" localSheetId="16" hidden="1">{"via1",#N/A,TRUE,"general";"via2",#N/A,TRUE,"general";"via3",#N/A,TRUE,"general"}</definedName>
    <definedName name="______m8" hidden="1">{"via1",#N/A,TRUE,"general";"via2",#N/A,TRUE,"general";"via3",#N/A,TRUE,"general"}</definedName>
    <definedName name="______m9" localSheetId="16" hidden="1">{"via1",#N/A,TRUE,"general";"via2",#N/A,TRUE,"general";"via3",#N/A,TRUE,"general"}</definedName>
    <definedName name="______m9" hidden="1">{"via1",#N/A,TRUE,"general";"via2",#N/A,TRUE,"general";"via3",#N/A,TRUE,"general"}</definedName>
    <definedName name="______MA2">#REF!</definedName>
    <definedName name="______n3" localSheetId="16" hidden="1">{"TAB1",#N/A,TRUE,"GENERAL";"TAB2",#N/A,TRUE,"GENERAL";"TAB3",#N/A,TRUE,"GENERAL";"TAB4",#N/A,TRUE,"GENERAL";"TAB5",#N/A,TRUE,"GENERAL"}</definedName>
    <definedName name="______n3" hidden="1">{"TAB1",#N/A,TRUE,"GENERAL";"TAB2",#N/A,TRUE,"GENERAL";"TAB3",#N/A,TRUE,"GENERAL";"TAB4",#N/A,TRUE,"GENERAL";"TAB5",#N/A,TRUE,"GENERAL"}</definedName>
    <definedName name="______n4" localSheetId="16" hidden="1">{"via1",#N/A,TRUE,"general";"via2",#N/A,TRUE,"general";"via3",#N/A,TRUE,"general"}</definedName>
    <definedName name="______n4" hidden="1">{"via1",#N/A,TRUE,"general";"via2",#N/A,TRUE,"general";"via3",#N/A,TRUE,"general"}</definedName>
    <definedName name="______n5" localSheetId="16" hidden="1">{"TAB1",#N/A,TRUE,"GENERAL";"TAB2",#N/A,TRUE,"GENERAL";"TAB3",#N/A,TRUE,"GENERAL";"TAB4",#N/A,TRUE,"GENERAL";"TAB5",#N/A,TRUE,"GENERAL"}</definedName>
    <definedName name="______n5" hidden="1">{"TAB1",#N/A,TRUE,"GENERAL";"TAB2",#N/A,TRUE,"GENERAL";"TAB3",#N/A,TRUE,"GENERAL";"TAB4",#N/A,TRUE,"GENERAL";"TAB5",#N/A,TRUE,"GENERAL"}</definedName>
    <definedName name="______nyn7" localSheetId="16" hidden="1">{"via1",#N/A,TRUE,"general";"via2",#N/A,TRUE,"general";"via3",#N/A,TRUE,"general"}</definedName>
    <definedName name="______nyn7" hidden="1">{"via1",#N/A,TRUE,"general";"via2",#N/A,TRUE,"general";"via3",#N/A,TRUE,"general"}</definedName>
    <definedName name="______o4" localSheetId="16" hidden="1">{"via1",#N/A,TRUE,"general";"via2",#N/A,TRUE,"general";"via3",#N/A,TRUE,"general"}</definedName>
    <definedName name="______o4" hidden="1">{"via1",#N/A,TRUE,"general";"via2",#N/A,TRUE,"general";"via3",#N/A,TRUE,"general"}</definedName>
    <definedName name="______o5" localSheetId="16" hidden="1">{"TAB1",#N/A,TRUE,"GENERAL";"TAB2",#N/A,TRUE,"GENERAL";"TAB3",#N/A,TRUE,"GENERAL";"TAB4",#N/A,TRUE,"GENERAL";"TAB5",#N/A,TRUE,"GENERAL"}</definedName>
    <definedName name="______o5" hidden="1">{"TAB1",#N/A,TRUE,"GENERAL";"TAB2",#N/A,TRUE,"GENERAL";"TAB3",#N/A,TRUE,"GENERAL";"TAB4",#N/A,TRUE,"GENERAL";"TAB5",#N/A,TRUE,"GENERAL"}</definedName>
    <definedName name="______o6" localSheetId="16" hidden="1">{"TAB1",#N/A,TRUE,"GENERAL";"TAB2",#N/A,TRUE,"GENERAL";"TAB3",#N/A,TRUE,"GENERAL";"TAB4",#N/A,TRUE,"GENERAL";"TAB5",#N/A,TRUE,"GENERAL"}</definedName>
    <definedName name="______o6" hidden="1">{"TAB1",#N/A,TRUE,"GENERAL";"TAB2",#N/A,TRUE,"GENERAL";"TAB3",#N/A,TRUE,"GENERAL";"TAB4",#N/A,TRUE,"GENERAL";"TAB5",#N/A,TRUE,"GENERAL"}</definedName>
    <definedName name="______o7" localSheetId="16" hidden="1">{"TAB1",#N/A,TRUE,"GENERAL";"TAB2",#N/A,TRUE,"GENERAL";"TAB3",#N/A,TRUE,"GENERAL";"TAB4",#N/A,TRUE,"GENERAL";"TAB5",#N/A,TRUE,"GENERAL"}</definedName>
    <definedName name="______o7" hidden="1">{"TAB1",#N/A,TRUE,"GENERAL";"TAB2",#N/A,TRUE,"GENERAL";"TAB3",#N/A,TRUE,"GENERAL";"TAB4",#N/A,TRUE,"GENERAL";"TAB5",#N/A,TRUE,"GENERAL"}</definedName>
    <definedName name="______o8" localSheetId="16" hidden="1">{"via1",#N/A,TRUE,"general";"via2",#N/A,TRUE,"general";"via3",#N/A,TRUE,"general"}</definedName>
    <definedName name="______o8" hidden="1">{"via1",#N/A,TRUE,"general";"via2",#N/A,TRUE,"general";"via3",#N/A,TRUE,"general"}</definedName>
    <definedName name="______o9" localSheetId="16" hidden="1">{"TAB1",#N/A,TRUE,"GENERAL";"TAB2",#N/A,TRUE,"GENERAL";"TAB3",#N/A,TRUE,"GENERAL";"TAB4",#N/A,TRUE,"GENERAL";"TAB5",#N/A,TRUE,"GENERAL"}</definedName>
    <definedName name="______o9" hidden="1">{"TAB1",#N/A,TRUE,"GENERAL";"TAB2",#N/A,TRUE,"GENERAL";"TAB3",#N/A,TRUE,"GENERAL";"TAB4",#N/A,TRUE,"GENERAL";"TAB5",#N/A,TRUE,"GENERAL"}</definedName>
    <definedName name="______p6" localSheetId="16" hidden="1">{"via1",#N/A,TRUE,"general";"via2",#N/A,TRUE,"general";"via3",#N/A,TRUE,"general"}</definedName>
    <definedName name="______p6" hidden="1">{"via1",#N/A,TRUE,"general";"via2",#N/A,TRUE,"general";"via3",#N/A,TRUE,"general"}</definedName>
    <definedName name="______p7" localSheetId="16" hidden="1">{"via1",#N/A,TRUE,"general";"via2",#N/A,TRUE,"general";"via3",#N/A,TRUE,"general"}</definedName>
    <definedName name="______p7" hidden="1">{"via1",#N/A,TRUE,"general";"via2",#N/A,TRUE,"general";"via3",#N/A,TRUE,"general"}</definedName>
    <definedName name="______p8" localSheetId="16" hidden="1">{"TAB1",#N/A,TRUE,"GENERAL";"TAB2",#N/A,TRUE,"GENERAL";"TAB3",#N/A,TRUE,"GENERAL";"TAB4",#N/A,TRUE,"GENERAL";"TAB5",#N/A,TRUE,"GENERAL"}</definedName>
    <definedName name="______p8" hidden="1">{"TAB1",#N/A,TRUE,"GENERAL";"TAB2",#N/A,TRUE,"GENERAL";"TAB3",#N/A,TRUE,"GENERAL";"TAB4",#N/A,TRUE,"GENERAL";"TAB5",#N/A,TRUE,"GENERAL"}</definedName>
    <definedName name="______r" localSheetId="16" hidden="1">{"TAB1",#N/A,TRUE,"GENERAL";"TAB2",#N/A,TRUE,"GENERAL";"TAB3",#N/A,TRUE,"GENERAL";"TAB4",#N/A,TRUE,"GENERAL";"TAB5",#N/A,TRUE,"GENERAL"}</definedName>
    <definedName name="______r" hidden="1">{"TAB1",#N/A,TRUE,"GENERAL";"TAB2",#N/A,TRUE,"GENERAL";"TAB3",#N/A,TRUE,"GENERAL";"TAB4",#N/A,TRUE,"GENERAL";"TAB5",#N/A,TRUE,"GENERAL"}</definedName>
    <definedName name="______r4r" localSheetId="16" hidden="1">{"via1",#N/A,TRUE,"general";"via2",#N/A,TRUE,"general";"via3",#N/A,TRUE,"general"}</definedName>
    <definedName name="______r4r" hidden="1">{"via1",#N/A,TRUE,"general";"via2",#N/A,TRUE,"general";"via3",#N/A,TRUE,"general"}</definedName>
    <definedName name="______Rc">#REF!</definedName>
    <definedName name="______rtu6" localSheetId="16" hidden="1">{"via1",#N/A,TRUE,"general";"via2",#N/A,TRUE,"general";"via3",#N/A,TRUE,"general"}</definedName>
    <definedName name="______rtu6" hidden="1">{"via1",#N/A,TRUE,"general";"via2",#N/A,TRUE,"general";"via3",#N/A,TRUE,"general"}</definedName>
    <definedName name="______s1" localSheetId="16" hidden="1">{"via1",#N/A,TRUE,"general";"via2",#N/A,TRUE,"general";"via3",#N/A,TRUE,"general"}</definedName>
    <definedName name="______s1" hidden="1">{"via1",#N/A,TRUE,"general";"via2",#N/A,TRUE,"general";"via3",#N/A,TRUE,"general"}</definedName>
    <definedName name="______s2" localSheetId="16" hidden="1">{"TAB1",#N/A,TRUE,"GENERAL";"TAB2",#N/A,TRUE,"GENERAL";"TAB3",#N/A,TRUE,"GENERAL";"TAB4",#N/A,TRUE,"GENERAL";"TAB5",#N/A,TRUE,"GENERAL"}</definedName>
    <definedName name="______s2" hidden="1">{"TAB1",#N/A,TRUE,"GENERAL";"TAB2",#N/A,TRUE,"GENERAL";"TAB3",#N/A,TRUE,"GENERAL";"TAB4",#N/A,TRUE,"GENERAL";"TAB5",#N/A,TRUE,"GENERAL"}</definedName>
    <definedName name="______s3" localSheetId="16" hidden="1">{"TAB1",#N/A,TRUE,"GENERAL";"TAB2",#N/A,TRUE,"GENERAL";"TAB3",#N/A,TRUE,"GENERAL";"TAB4",#N/A,TRUE,"GENERAL";"TAB5",#N/A,TRUE,"GENERAL"}</definedName>
    <definedName name="______s3" hidden="1">{"TAB1",#N/A,TRUE,"GENERAL";"TAB2",#N/A,TRUE,"GENERAL";"TAB3",#N/A,TRUE,"GENERAL";"TAB4",#N/A,TRUE,"GENERAL";"TAB5",#N/A,TRUE,"GENERAL"}</definedName>
    <definedName name="______s4" localSheetId="16" hidden="1">{"via1",#N/A,TRUE,"general";"via2",#N/A,TRUE,"general";"via3",#N/A,TRUE,"general"}</definedName>
    <definedName name="______s4" hidden="1">{"via1",#N/A,TRUE,"general";"via2",#N/A,TRUE,"general";"via3",#N/A,TRUE,"general"}</definedName>
    <definedName name="______s5" localSheetId="16" hidden="1">{"via1",#N/A,TRUE,"general";"via2",#N/A,TRUE,"general";"via3",#N/A,TRUE,"general"}</definedName>
    <definedName name="______s5" hidden="1">{"via1",#N/A,TRUE,"general";"via2",#N/A,TRUE,"general";"via3",#N/A,TRUE,"general"}</definedName>
    <definedName name="______s6" localSheetId="16" hidden="1">{"TAB1",#N/A,TRUE,"GENERAL";"TAB2",#N/A,TRUE,"GENERAL";"TAB3",#N/A,TRUE,"GENERAL";"TAB4",#N/A,TRUE,"GENERAL";"TAB5",#N/A,TRUE,"GENERAL"}</definedName>
    <definedName name="______s6" hidden="1">{"TAB1",#N/A,TRUE,"GENERAL";"TAB2",#N/A,TRUE,"GENERAL";"TAB3",#N/A,TRUE,"GENERAL";"TAB4",#N/A,TRUE,"GENERAL";"TAB5",#N/A,TRUE,"GENERAL"}</definedName>
    <definedName name="______s7" localSheetId="16" hidden="1">{"via1",#N/A,TRUE,"general";"via2",#N/A,TRUE,"general";"via3",#N/A,TRUE,"general"}</definedName>
    <definedName name="______s7" hidden="1">{"via1",#N/A,TRUE,"general";"via2",#N/A,TRUE,"general";"via3",#N/A,TRUE,"general"}</definedName>
    <definedName name="______SBC5">#REF!</definedName>
    <definedName name="______t3" localSheetId="16" hidden="1">{"TAB1",#N/A,TRUE,"GENERAL";"TAB2",#N/A,TRUE,"GENERAL";"TAB3",#N/A,TRUE,"GENERAL";"TAB4",#N/A,TRUE,"GENERAL";"TAB5",#N/A,TRUE,"GENERAL"}</definedName>
    <definedName name="______t3" hidden="1">{"TAB1",#N/A,TRUE,"GENERAL";"TAB2",#N/A,TRUE,"GENERAL";"TAB3",#N/A,TRUE,"GENERAL";"TAB4",#N/A,TRUE,"GENERAL";"TAB5",#N/A,TRUE,"GENERAL"}</definedName>
    <definedName name="______t4" localSheetId="16" hidden="1">{"via1",#N/A,TRUE,"general";"via2",#N/A,TRUE,"general";"via3",#N/A,TRUE,"general"}</definedName>
    <definedName name="______t4" hidden="1">{"via1",#N/A,TRUE,"general";"via2",#N/A,TRUE,"general";"via3",#N/A,TRUE,"general"}</definedName>
    <definedName name="______t5" localSheetId="16" hidden="1">{"TAB1",#N/A,TRUE,"GENERAL";"TAB2",#N/A,TRUE,"GENERAL";"TAB3",#N/A,TRUE,"GENERAL";"TAB4",#N/A,TRUE,"GENERAL";"TAB5",#N/A,TRUE,"GENERAL"}</definedName>
    <definedName name="______t5" hidden="1">{"TAB1",#N/A,TRUE,"GENERAL";"TAB2",#N/A,TRUE,"GENERAL";"TAB3",#N/A,TRUE,"GENERAL";"TAB4",#N/A,TRUE,"GENERAL";"TAB5",#N/A,TRUE,"GENERAL"}</definedName>
    <definedName name="______t6" localSheetId="16" hidden="1">{"via1",#N/A,TRUE,"general";"via2",#N/A,TRUE,"general";"via3",#N/A,TRUE,"general"}</definedName>
    <definedName name="______t6" hidden="1">{"via1",#N/A,TRUE,"general";"via2",#N/A,TRUE,"general";"via3",#N/A,TRUE,"general"}</definedName>
    <definedName name="______t66" localSheetId="16" hidden="1">{"TAB1",#N/A,TRUE,"GENERAL";"TAB2",#N/A,TRUE,"GENERAL";"TAB3",#N/A,TRUE,"GENERAL";"TAB4",#N/A,TRUE,"GENERAL";"TAB5",#N/A,TRUE,"GENERAL"}</definedName>
    <definedName name="______t66" hidden="1">{"TAB1",#N/A,TRUE,"GENERAL";"TAB2",#N/A,TRUE,"GENERAL";"TAB3",#N/A,TRUE,"GENERAL";"TAB4",#N/A,TRUE,"GENERAL";"TAB5",#N/A,TRUE,"GENERAL"}</definedName>
    <definedName name="______t7" localSheetId="16" hidden="1">{"via1",#N/A,TRUE,"general";"via2",#N/A,TRUE,"general";"via3",#N/A,TRUE,"general"}</definedName>
    <definedName name="______t7" hidden="1">{"via1",#N/A,TRUE,"general";"via2",#N/A,TRUE,"general";"via3",#N/A,TRUE,"general"}</definedName>
    <definedName name="______t77" localSheetId="16" hidden="1">{"TAB1",#N/A,TRUE,"GENERAL";"TAB2",#N/A,TRUE,"GENERAL";"TAB3",#N/A,TRUE,"GENERAL";"TAB4",#N/A,TRUE,"GENERAL";"TAB5",#N/A,TRUE,"GENERAL"}</definedName>
    <definedName name="______t77" hidden="1">{"TAB1",#N/A,TRUE,"GENERAL";"TAB2",#N/A,TRUE,"GENERAL";"TAB3",#N/A,TRUE,"GENERAL";"TAB4",#N/A,TRUE,"GENERAL";"TAB5",#N/A,TRUE,"GENERAL"}</definedName>
    <definedName name="______t8" localSheetId="16" hidden="1">{"TAB1",#N/A,TRUE,"GENERAL";"TAB2",#N/A,TRUE,"GENERAL";"TAB3",#N/A,TRUE,"GENERAL";"TAB4",#N/A,TRUE,"GENERAL";"TAB5",#N/A,TRUE,"GENERAL"}</definedName>
    <definedName name="______t8" hidden="1">{"TAB1",#N/A,TRUE,"GENERAL";"TAB2",#N/A,TRUE,"GENERAL";"TAB3",#N/A,TRUE,"GENERAL";"TAB4",#N/A,TRUE,"GENERAL";"TAB5",#N/A,TRUE,"GENERAL"}</definedName>
    <definedName name="______t88" localSheetId="16" hidden="1">{"via1",#N/A,TRUE,"general";"via2",#N/A,TRUE,"general";"via3",#N/A,TRUE,"general"}</definedName>
    <definedName name="______t88" hidden="1">{"via1",#N/A,TRUE,"general";"via2",#N/A,TRUE,"general";"via3",#N/A,TRUE,"general"}</definedName>
    <definedName name="______t9" localSheetId="16" hidden="1">{"TAB1",#N/A,TRUE,"GENERAL";"TAB2",#N/A,TRUE,"GENERAL";"TAB3",#N/A,TRUE,"GENERAL";"TAB4",#N/A,TRUE,"GENERAL";"TAB5",#N/A,TRUE,"GENERAL"}</definedName>
    <definedName name="______t9" hidden="1">{"TAB1",#N/A,TRUE,"GENERAL";"TAB2",#N/A,TRUE,"GENERAL";"TAB3",#N/A,TRUE,"GENERAL";"TAB4",#N/A,TRUE,"GENERAL";"TAB5",#N/A,TRUE,"GENERAL"}</definedName>
    <definedName name="______t99" localSheetId="16" hidden="1">{"via1",#N/A,TRUE,"general";"via2",#N/A,TRUE,"general";"via3",#N/A,TRUE,"general"}</definedName>
    <definedName name="______t99" hidden="1">{"via1",#N/A,TRUE,"general";"via2",#N/A,TRUE,"general";"via3",#N/A,TRUE,"general"}</definedName>
    <definedName name="______u4" localSheetId="16" hidden="1">{"TAB1",#N/A,TRUE,"GENERAL";"TAB2",#N/A,TRUE,"GENERAL";"TAB3",#N/A,TRUE,"GENERAL";"TAB4",#N/A,TRUE,"GENERAL";"TAB5",#N/A,TRUE,"GENERAL"}</definedName>
    <definedName name="______u4" hidden="1">{"TAB1",#N/A,TRUE,"GENERAL";"TAB2",#N/A,TRUE,"GENERAL";"TAB3",#N/A,TRUE,"GENERAL";"TAB4",#N/A,TRUE,"GENERAL";"TAB5",#N/A,TRUE,"GENERAL"}</definedName>
    <definedName name="______u5" localSheetId="16" hidden="1">{"TAB1",#N/A,TRUE,"GENERAL";"TAB2",#N/A,TRUE,"GENERAL";"TAB3",#N/A,TRUE,"GENERAL";"TAB4",#N/A,TRUE,"GENERAL";"TAB5",#N/A,TRUE,"GENERAL"}</definedName>
    <definedName name="______u5" hidden="1">{"TAB1",#N/A,TRUE,"GENERAL";"TAB2",#N/A,TRUE,"GENERAL";"TAB3",#N/A,TRUE,"GENERAL";"TAB4",#N/A,TRUE,"GENERAL";"TAB5",#N/A,TRUE,"GENERAL"}</definedName>
    <definedName name="______u6" localSheetId="16" hidden="1">{"TAB1",#N/A,TRUE,"GENERAL";"TAB2",#N/A,TRUE,"GENERAL";"TAB3",#N/A,TRUE,"GENERAL";"TAB4",#N/A,TRUE,"GENERAL";"TAB5",#N/A,TRUE,"GENERAL"}</definedName>
    <definedName name="______u6" hidden="1">{"TAB1",#N/A,TRUE,"GENERAL";"TAB2",#N/A,TRUE,"GENERAL";"TAB3",#N/A,TRUE,"GENERAL";"TAB4",#N/A,TRUE,"GENERAL";"TAB5",#N/A,TRUE,"GENERAL"}</definedName>
    <definedName name="______u7" localSheetId="16" hidden="1">{"via1",#N/A,TRUE,"general";"via2",#N/A,TRUE,"general";"via3",#N/A,TRUE,"general"}</definedName>
    <definedName name="______u7" hidden="1">{"via1",#N/A,TRUE,"general";"via2",#N/A,TRUE,"general";"via3",#N/A,TRUE,"general"}</definedName>
    <definedName name="______u8" localSheetId="16" hidden="1">{"TAB1",#N/A,TRUE,"GENERAL";"TAB2",#N/A,TRUE,"GENERAL";"TAB3",#N/A,TRUE,"GENERAL";"TAB4",#N/A,TRUE,"GENERAL";"TAB5",#N/A,TRUE,"GENERAL"}</definedName>
    <definedName name="______u8" hidden="1">{"TAB1",#N/A,TRUE,"GENERAL";"TAB2",#N/A,TRUE,"GENERAL";"TAB3",#N/A,TRUE,"GENERAL";"TAB4",#N/A,TRUE,"GENERAL";"TAB5",#N/A,TRUE,"GENERAL"}</definedName>
    <definedName name="______u9" localSheetId="16" hidden="1">{"TAB1",#N/A,TRUE,"GENERAL";"TAB2",#N/A,TRUE,"GENERAL";"TAB3",#N/A,TRUE,"GENERAL";"TAB4",#N/A,TRUE,"GENERAL";"TAB5",#N/A,TRUE,"GENERAL"}</definedName>
    <definedName name="______u9" hidden="1">{"TAB1",#N/A,TRUE,"GENERAL";"TAB2",#N/A,TRUE,"GENERAL";"TAB3",#N/A,TRUE,"GENERAL";"TAB4",#N/A,TRUE,"GENERAL";"TAB5",#N/A,TRUE,"GENERAL"}</definedName>
    <definedName name="______ur7" localSheetId="16" hidden="1">{"TAB1",#N/A,TRUE,"GENERAL";"TAB2",#N/A,TRUE,"GENERAL";"TAB3",#N/A,TRUE,"GENERAL";"TAB4",#N/A,TRUE,"GENERAL";"TAB5",#N/A,TRUE,"GENERAL"}</definedName>
    <definedName name="______ur7" hidden="1">{"TAB1",#N/A,TRUE,"GENERAL";"TAB2",#N/A,TRUE,"GENERAL";"TAB3",#N/A,TRUE,"GENERAL";"TAB4",#N/A,TRUE,"GENERAL";"TAB5",#N/A,TRUE,"GENERAL"}</definedName>
    <definedName name="______v2" localSheetId="16" hidden="1">{"via1",#N/A,TRUE,"general";"via2",#N/A,TRUE,"general";"via3",#N/A,TRUE,"general"}</definedName>
    <definedName name="______v2" hidden="1">{"via1",#N/A,TRUE,"general";"via2",#N/A,TRUE,"general";"via3",#N/A,TRUE,"general"}</definedName>
    <definedName name="______v3" localSheetId="16" hidden="1">{"TAB1",#N/A,TRUE,"GENERAL";"TAB2",#N/A,TRUE,"GENERAL";"TAB3",#N/A,TRUE,"GENERAL";"TAB4",#N/A,TRUE,"GENERAL";"TAB5",#N/A,TRUE,"GENERAL"}</definedName>
    <definedName name="______v3" hidden="1">{"TAB1",#N/A,TRUE,"GENERAL";"TAB2",#N/A,TRUE,"GENERAL";"TAB3",#N/A,TRUE,"GENERAL";"TAB4",#N/A,TRUE,"GENERAL";"TAB5",#N/A,TRUE,"GENERAL"}</definedName>
    <definedName name="______v4" localSheetId="16" hidden="1">{"TAB1",#N/A,TRUE,"GENERAL";"TAB2",#N/A,TRUE,"GENERAL";"TAB3",#N/A,TRUE,"GENERAL";"TAB4",#N/A,TRUE,"GENERAL";"TAB5",#N/A,TRUE,"GENERAL"}</definedName>
    <definedName name="______v4" hidden="1">{"TAB1",#N/A,TRUE,"GENERAL";"TAB2",#N/A,TRUE,"GENERAL";"TAB3",#N/A,TRUE,"GENERAL";"TAB4",#N/A,TRUE,"GENERAL";"TAB5",#N/A,TRUE,"GENERAL"}</definedName>
    <definedName name="______v5" localSheetId="16" hidden="1">{"TAB1",#N/A,TRUE,"GENERAL";"TAB2",#N/A,TRUE,"GENERAL";"TAB3",#N/A,TRUE,"GENERAL";"TAB4",#N/A,TRUE,"GENERAL";"TAB5",#N/A,TRUE,"GENERAL"}</definedName>
    <definedName name="______v5" hidden="1">{"TAB1",#N/A,TRUE,"GENERAL";"TAB2",#N/A,TRUE,"GENERAL";"TAB3",#N/A,TRUE,"GENERAL";"TAB4",#N/A,TRUE,"GENERAL";"TAB5",#N/A,TRUE,"GENERAL"}</definedName>
    <definedName name="______v6" localSheetId="16" hidden="1">{"TAB1",#N/A,TRUE,"GENERAL";"TAB2",#N/A,TRUE,"GENERAL";"TAB3",#N/A,TRUE,"GENERAL";"TAB4",#N/A,TRUE,"GENERAL";"TAB5",#N/A,TRUE,"GENERAL"}</definedName>
    <definedName name="______v6" hidden="1">{"TAB1",#N/A,TRUE,"GENERAL";"TAB2",#N/A,TRUE,"GENERAL";"TAB3",#N/A,TRUE,"GENERAL";"TAB4",#N/A,TRUE,"GENERAL";"TAB5",#N/A,TRUE,"GENERAL"}</definedName>
    <definedName name="______v7" localSheetId="16" hidden="1">{"via1",#N/A,TRUE,"general";"via2",#N/A,TRUE,"general";"via3",#N/A,TRUE,"general"}</definedName>
    <definedName name="______v7" hidden="1">{"via1",#N/A,TRUE,"general";"via2",#N/A,TRUE,"general";"via3",#N/A,TRUE,"general"}</definedName>
    <definedName name="______v8" localSheetId="16" hidden="1">{"TAB1",#N/A,TRUE,"GENERAL";"TAB2",#N/A,TRUE,"GENERAL";"TAB3",#N/A,TRUE,"GENERAL";"TAB4",#N/A,TRUE,"GENERAL";"TAB5",#N/A,TRUE,"GENERAL"}</definedName>
    <definedName name="______v8" hidden="1">{"TAB1",#N/A,TRUE,"GENERAL";"TAB2",#N/A,TRUE,"GENERAL";"TAB3",#N/A,TRUE,"GENERAL";"TAB4",#N/A,TRUE,"GENERAL";"TAB5",#N/A,TRUE,"GENERAL"}</definedName>
    <definedName name="______v9" localSheetId="16" hidden="1">{"TAB1",#N/A,TRUE,"GENERAL";"TAB2",#N/A,TRUE,"GENERAL";"TAB3",#N/A,TRUE,"GENERAL";"TAB4",#N/A,TRUE,"GENERAL";"TAB5",#N/A,TRUE,"GENERAL"}</definedName>
    <definedName name="______v9" hidden="1">{"TAB1",#N/A,TRUE,"GENERAL";"TAB2",#N/A,TRUE,"GENERAL";"TAB3",#N/A,TRUE,"GENERAL";"TAB4",#N/A,TRUE,"GENERAL";"TAB5",#N/A,TRUE,"GENERAL"}</definedName>
    <definedName name="______vfv4" localSheetId="16" hidden="1">{"via1",#N/A,TRUE,"general";"via2",#N/A,TRUE,"general";"via3",#N/A,TRUE,"general"}</definedName>
    <definedName name="______vfv4" hidden="1">{"via1",#N/A,TRUE,"general";"via2",#N/A,TRUE,"general";"via3",#N/A,TRUE,"general"}</definedName>
    <definedName name="______VOL1" hidden="1">#REF!</definedName>
    <definedName name="______VPD1">#REF!</definedName>
    <definedName name="______VPI1">#REF!</definedName>
    <definedName name="______VRA1">#REF!</definedName>
    <definedName name="______x1" localSheetId="16" hidden="1">{"TAB1",#N/A,TRUE,"GENERAL";"TAB2",#N/A,TRUE,"GENERAL";"TAB3",#N/A,TRUE,"GENERAL";"TAB4",#N/A,TRUE,"GENERAL";"TAB5",#N/A,TRUE,"GENERAL"}</definedName>
    <definedName name="______x1" hidden="1">{"TAB1",#N/A,TRUE,"GENERAL";"TAB2",#N/A,TRUE,"GENERAL";"TAB3",#N/A,TRUE,"GENERAL";"TAB4",#N/A,TRUE,"GENERAL";"TAB5",#N/A,TRUE,"GENERAL"}</definedName>
    <definedName name="______x2" localSheetId="16" hidden="1">{"via1",#N/A,TRUE,"general";"via2",#N/A,TRUE,"general";"via3",#N/A,TRUE,"general"}</definedName>
    <definedName name="______x2" hidden="1">{"via1",#N/A,TRUE,"general";"via2",#N/A,TRUE,"general";"via3",#N/A,TRUE,"general"}</definedName>
    <definedName name="______x3" localSheetId="16" hidden="1">{"via1",#N/A,TRUE,"general";"via2",#N/A,TRUE,"general";"via3",#N/A,TRUE,"general"}</definedName>
    <definedName name="______x3" hidden="1">{"via1",#N/A,TRUE,"general";"via2",#N/A,TRUE,"general";"via3",#N/A,TRUE,"general"}</definedName>
    <definedName name="______x4" localSheetId="16" hidden="1">{"via1",#N/A,TRUE,"general";"via2",#N/A,TRUE,"general";"via3",#N/A,TRUE,"general"}</definedName>
    <definedName name="______x4" hidden="1">{"via1",#N/A,TRUE,"general";"via2",#N/A,TRUE,"general";"via3",#N/A,TRUE,"general"}</definedName>
    <definedName name="______x5" localSheetId="16" hidden="1">{"TAB1",#N/A,TRUE,"GENERAL";"TAB2",#N/A,TRUE,"GENERAL";"TAB3",#N/A,TRUE,"GENERAL";"TAB4",#N/A,TRUE,"GENERAL";"TAB5",#N/A,TRUE,"GENERAL"}</definedName>
    <definedName name="______x5" hidden="1">{"TAB1",#N/A,TRUE,"GENERAL";"TAB2",#N/A,TRUE,"GENERAL";"TAB3",#N/A,TRUE,"GENERAL";"TAB4",#N/A,TRUE,"GENERAL";"TAB5",#N/A,TRUE,"GENERAL"}</definedName>
    <definedName name="______x6" localSheetId="16" hidden="1">{"TAB1",#N/A,TRUE,"GENERAL";"TAB2",#N/A,TRUE,"GENERAL";"TAB3",#N/A,TRUE,"GENERAL";"TAB4",#N/A,TRUE,"GENERAL";"TAB5",#N/A,TRUE,"GENERAL"}</definedName>
    <definedName name="______x6" hidden="1">{"TAB1",#N/A,TRUE,"GENERAL";"TAB2",#N/A,TRUE,"GENERAL";"TAB3",#N/A,TRUE,"GENERAL";"TAB4",#N/A,TRUE,"GENERAL";"TAB5",#N/A,TRUE,"GENERAL"}</definedName>
    <definedName name="______x7" localSheetId="16" hidden="1">{"TAB1",#N/A,TRUE,"GENERAL";"TAB2",#N/A,TRUE,"GENERAL";"TAB3",#N/A,TRUE,"GENERAL";"TAB4",#N/A,TRUE,"GENERAL";"TAB5",#N/A,TRUE,"GENERAL"}</definedName>
    <definedName name="______x7" hidden="1">{"TAB1",#N/A,TRUE,"GENERAL";"TAB2",#N/A,TRUE,"GENERAL";"TAB3",#N/A,TRUE,"GENERAL";"TAB4",#N/A,TRUE,"GENERAL";"TAB5",#N/A,TRUE,"GENERAL"}</definedName>
    <definedName name="______x8" localSheetId="16" hidden="1">{"via1",#N/A,TRUE,"general";"via2",#N/A,TRUE,"general";"via3",#N/A,TRUE,"general"}</definedName>
    <definedName name="______x8" hidden="1">{"via1",#N/A,TRUE,"general";"via2",#N/A,TRUE,"general";"via3",#N/A,TRUE,"general"}</definedName>
    <definedName name="______x9" localSheetId="16" hidden="1">{"TAB1",#N/A,TRUE,"GENERAL";"TAB2",#N/A,TRUE,"GENERAL";"TAB3",#N/A,TRUE,"GENERAL";"TAB4",#N/A,TRUE,"GENERAL";"TAB5",#N/A,TRUE,"GENERAL"}</definedName>
    <definedName name="______x9" hidden="1">{"TAB1",#N/A,TRUE,"GENERAL";"TAB2",#N/A,TRUE,"GENERAL";"TAB3",#N/A,TRUE,"GENERAL";"TAB4",#N/A,TRUE,"GENERAL";"TAB5",#N/A,TRUE,"GENERAL"}</definedName>
    <definedName name="______y2" localSheetId="16" hidden="1">{"TAB1",#N/A,TRUE,"GENERAL";"TAB2",#N/A,TRUE,"GENERAL";"TAB3",#N/A,TRUE,"GENERAL";"TAB4",#N/A,TRUE,"GENERAL";"TAB5",#N/A,TRUE,"GENERAL"}</definedName>
    <definedName name="______y2" hidden="1">{"TAB1",#N/A,TRUE,"GENERAL";"TAB2",#N/A,TRUE,"GENERAL";"TAB3",#N/A,TRUE,"GENERAL";"TAB4",#N/A,TRUE,"GENERAL";"TAB5",#N/A,TRUE,"GENERAL"}</definedName>
    <definedName name="______y3" localSheetId="16" hidden="1">{"via1",#N/A,TRUE,"general";"via2",#N/A,TRUE,"general";"via3",#N/A,TRUE,"general"}</definedName>
    <definedName name="______y3" hidden="1">{"via1",#N/A,TRUE,"general";"via2",#N/A,TRUE,"general";"via3",#N/A,TRUE,"general"}</definedName>
    <definedName name="______y4" localSheetId="16" hidden="1">{"via1",#N/A,TRUE,"general";"via2",#N/A,TRUE,"general";"via3",#N/A,TRUE,"general"}</definedName>
    <definedName name="______y4" hidden="1">{"via1",#N/A,TRUE,"general";"via2",#N/A,TRUE,"general";"via3",#N/A,TRUE,"general"}</definedName>
    <definedName name="______y5" localSheetId="16" hidden="1">{"TAB1",#N/A,TRUE,"GENERAL";"TAB2",#N/A,TRUE,"GENERAL";"TAB3",#N/A,TRUE,"GENERAL";"TAB4",#N/A,TRUE,"GENERAL";"TAB5",#N/A,TRUE,"GENERAL"}</definedName>
    <definedName name="______y5" hidden="1">{"TAB1",#N/A,TRUE,"GENERAL";"TAB2",#N/A,TRUE,"GENERAL";"TAB3",#N/A,TRUE,"GENERAL";"TAB4",#N/A,TRUE,"GENERAL";"TAB5",#N/A,TRUE,"GENERAL"}</definedName>
    <definedName name="______y6" localSheetId="16" hidden="1">{"via1",#N/A,TRUE,"general";"via2",#N/A,TRUE,"general";"via3",#N/A,TRUE,"general"}</definedName>
    <definedName name="______y6" hidden="1">{"via1",#N/A,TRUE,"general";"via2",#N/A,TRUE,"general";"via3",#N/A,TRUE,"general"}</definedName>
    <definedName name="______y7" localSheetId="16" hidden="1">{"via1",#N/A,TRUE,"general";"via2",#N/A,TRUE,"general";"via3",#N/A,TRUE,"general"}</definedName>
    <definedName name="______y7" hidden="1">{"via1",#N/A,TRUE,"general";"via2",#N/A,TRUE,"general";"via3",#N/A,TRUE,"general"}</definedName>
    <definedName name="______y8" localSheetId="16" hidden="1">{"via1",#N/A,TRUE,"general";"via2",#N/A,TRUE,"general";"via3",#N/A,TRUE,"general"}</definedName>
    <definedName name="______y8" hidden="1">{"via1",#N/A,TRUE,"general";"via2",#N/A,TRUE,"general";"via3",#N/A,TRUE,"general"}</definedName>
    <definedName name="______y9" localSheetId="16" hidden="1">{"TAB1",#N/A,TRUE,"GENERAL";"TAB2",#N/A,TRUE,"GENERAL";"TAB3",#N/A,TRUE,"GENERAL";"TAB4",#N/A,TRUE,"GENERAL";"TAB5",#N/A,TRUE,"GENERAL"}</definedName>
    <definedName name="______y9" hidden="1">{"TAB1",#N/A,TRUE,"GENERAL";"TAB2",#N/A,TRUE,"GENERAL";"TAB3",#N/A,TRUE,"GENERAL";"TAB4",#N/A,TRUE,"GENERAL";"TAB5",#N/A,TRUE,"GENERAL"}</definedName>
    <definedName name="______z1" localSheetId="16" hidden="1">{"TAB1",#N/A,TRUE,"GENERAL";"TAB2",#N/A,TRUE,"GENERAL";"TAB3",#N/A,TRUE,"GENERAL";"TAB4",#N/A,TRUE,"GENERAL";"TAB5",#N/A,TRUE,"GENERAL"}</definedName>
    <definedName name="______z1" hidden="1">{"TAB1",#N/A,TRUE,"GENERAL";"TAB2",#N/A,TRUE,"GENERAL";"TAB3",#N/A,TRUE,"GENERAL";"TAB4",#N/A,TRUE,"GENERAL";"TAB5",#N/A,TRUE,"GENERAL"}</definedName>
    <definedName name="______z2" localSheetId="16" hidden="1">{"via1",#N/A,TRUE,"general";"via2",#N/A,TRUE,"general";"via3",#N/A,TRUE,"general"}</definedName>
    <definedName name="______z2" hidden="1">{"via1",#N/A,TRUE,"general";"via2",#N/A,TRUE,"general";"via3",#N/A,TRUE,"general"}</definedName>
    <definedName name="______z3" localSheetId="16" hidden="1">{"via1",#N/A,TRUE,"general";"via2",#N/A,TRUE,"general";"via3",#N/A,TRUE,"general"}</definedName>
    <definedName name="______z3" hidden="1">{"via1",#N/A,TRUE,"general";"via2",#N/A,TRUE,"general";"via3",#N/A,TRUE,"general"}</definedName>
    <definedName name="______z4" localSheetId="16" hidden="1">{"TAB1",#N/A,TRUE,"GENERAL";"TAB2",#N/A,TRUE,"GENERAL";"TAB3",#N/A,TRUE,"GENERAL";"TAB4",#N/A,TRUE,"GENERAL";"TAB5",#N/A,TRUE,"GENERAL"}</definedName>
    <definedName name="______z4" hidden="1">{"TAB1",#N/A,TRUE,"GENERAL";"TAB2",#N/A,TRUE,"GENERAL";"TAB3",#N/A,TRUE,"GENERAL";"TAB4",#N/A,TRUE,"GENERAL";"TAB5",#N/A,TRUE,"GENERAL"}</definedName>
    <definedName name="______z5" localSheetId="16" hidden="1">{"via1",#N/A,TRUE,"general";"via2",#N/A,TRUE,"general";"via3",#N/A,TRUE,"general"}</definedName>
    <definedName name="______z5" hidden="1">{"via1",#N/A,TRUE,"general";"via2",#N/A,TRUE,"general";"via3",#N/A,TRUE,"general"}</definedName>
    <definedName name="______z6" localSheetId="16" hidden="1">{"TAB1",#N/A,TRUE,"GENERAL";"TAB2",#N/A,TRUE,"GENERAL";"TAB3",#N/A,TRUE,"GENERAL";"TAB4",#N/A,TRUE,"GENERAL";"TAB5",#N/A,TRUE,"GENERAL"}</definedName>
    <definedName name="______z6" hidden="1">{"TAB1",#N/A,TRUE,"GENERAL";"TAB2",#N/A,TRUE,"GENERAL";"TAB3",#N/A,TRUE,"GENERAL";"TAB4",#N/A,TRUE,"GENERAL";"TAB5",#N/A,TRUE,"GENERAL"}</definedName>
    <definedName name="_____a1" localSheetId="16"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16"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16" hidden="1">{"via1",#N/A,TRUE,"general";"via2",#N/A,TRUE,"general";"via3",#N/A,TRUE,"general"}</definedName>
    <definedName name="_____a4" hidden="1">{"via1",#N/A,TRUE,"general";"via2",#N/A,TRUE,"general";"via3",#N/A,TRUE,"general"}</definedName>
    <definedName name="_____a5" localSheetId="16" hidden="1">{"TAB1",#N/A,TRUE,"GENERAL";"TAB2",#N/A,TRUE,"GENERAL";"TAB3",#N/A,TRUE,"GENERAL";"TAB4",#N/A,TRUE,"GENERAL";"TAB5",#N/A,TRUE,"GENERAL"}</definedName>
    <definedName name="_____a5" hidden="1">{"TAB1",#N/A,TRUE,"GENERAL";"TAB2",#N/A,TRUE,"GENERAL";"TAB3",#N/A,TRUE,"GENERAL";"TAB4",#N/A,TRUE,"GENERAL";"TAB5",#N/A,TRUE,"GENERAL"}</definedName>
    <definedName name="_____a6" localSheetId="16" hidden="1">{"TAB1",#N/A,TRUE,"GENERAL";"TAB2",#N/A,TRUE,"GENERAL";"TAB3",#N/A,TRUE,"GENERAL";"TAB4",#N/A,TRUE,"GENERAL";"TAB5",#N/A,TRUE,"GENERAL"}</definedName>
    <definedName name="_____a6" hidden="1">{"TAB1",#N/A,TRUE,"GENERAL";"TAB2",#N/A,TRUE,"GENERAL";"TAB3",#N/A,TRUE,"GENERAL";"TAB4",#N/A,TRUE,"GENERAL";"TAB5",#N/A,TRUE,"GENERAL"}</definedName>
    <definedName name="_____AFC1">#REF!</definedName>
    <definedName name="_____AFC3">#REF!</definedName>
    <definedName name="_____AFC5">#REF!</definedName>
    <definedName name="_____aiu2">#REF!</definedName>
    <definedName name="_____ALL4">#REF!</definedName>
    <definedName name="_____apu1">#REF!</definedName>
    <definedName name="_____b2" localSheetId="16" hidden="1">{"TAB1",#N/A,TRUE,"GENERAL";"TAB2",#N/A,TRUE,"GENERAL";"TAB3",#N/A,TRUE,"GENERAL";"TAB4",#N/A,TRUE,"GENERAL";"TAB5",#N/A,TRUE,"GENERAL"}</definedName>
    <definedName name="_____b2" hidden="1">{"TAB1",#N/A,TRUE,"GENERAL";"TAB2",#N/A,TRUE,"GENERAL";"TAB3",#N/A,TRUE,"GENERAL";"TAB4",#N/A,TRUE,"GENERAL";"TAB5",#N/A,TRUE,"GENERAL"}</definedName>
    <definedName name="_____b3" localSheetId="16" hidden="1">{"TAB1",#N/A,TRUE,"GENERAL";"TAB2",#N/A,TRUE,"GENERAL";"TAB3",#N/A,TRUE,"GENERAL";"TAB4",#N/A,TRUE,"GENERAL";"TAB5",#N/A,TRUE,"GENERAL"}</definedName>
    <definedName name="_____b3" hidden="1">{"TAB1",#N/A,TRUE,"GENERAL";"TAB2",#N/A,TRUE,"GENERAL";"TAB3",#N/A,TRUE,"GENERAL";"TAB4",#N/A,TRUE,"GENERAL";"TAB5",#N/A,TRUE,"GENERAL"}</definedName>
    <definedName name="_____b4" localSheetId="16" hidden="1">{"TAB1",#N/A,TRUE,"GENERAL";"TAB2",#N/A,TRUE,"GENERAL";"TAB3",#N/A,TRUE,"GENERAL";"TAB4",#N/A,TRUE,"GENERAL";"TAB5",#N/A,TRUE,"GENERAL"}</definedName>
    <definedName name="_____b4" hidden="1">{"TAB1",#N/A,TRUE,"GENERAL";"TAB2",#N/A,TRUE,"GENERAL";"TAB3",#N/A,TRUE,"GENERAL";"TAB4",#N/A,TRUE,"GENERAL";"TAB5",#N/A,TRUE,"GENERAL"}</definedName>
    <definedName name="_____b5" localSheetId="16" hidden="1">{"TAB1",#N/A,TRUE,"GENERAL";"TAB2",#N/A,TRUE,"GENERAL";"TAB3",#N/A,TRUE,"GENERAL";"TAB4",#N/A,TRUE,"GENERAL";"TAB5",#N/A,TRUE,"GENERAL"}</definedName>
    <definedName name="_____b5" hidden="1">{"TAB1",#N/A,TRUE,"GENERAL";"TAB2",#N/A,TRUE,"GENERAL";"TAB3",#N/A,TRUE,"GENERAL";"TAB4",#N/A,TRUE,"GENERAL";"TAB5",#N/A,TRUE,"GENERAL"}</definedName>
    <definedName name="_____b6" localSheetId="16" hidden="1">{"TAB1",#N/A,TRUE,"GENERAL";"TAB2",#N/A,TRUE,"GENERAL";"TAB3",#N/A,TRUE,"GENERAL";"TAB4",#N/A,TRUE,"GENERAL";"TAB5",#N/A,TRUE,"GENERAL"}</definedName>
    <definedName name="_____b6" hidden="1">{"TAB1",#N/A,TRUE,"GENERAL";"TAB2",#N/A,TRUE,"GENERAL";"TAB3",#N/A,TRUE,"GENERAL";"TAB4",#N/A,TRUE,"GENERAL";"TAB5",#N/A,TRUE,"GENERAL"}</definedName>
    <definedName name="_____b7" localSheetId="16" hidden="1">{"via1",#N/A,TRUE,"general";"via2",#N/A,TRUE,"general";"via3",#N/A,TRUE,"general"}</definedName>
    <definedName name="_____b7" hidden="1">{"via1",#N/A,TRUE,"general";"via2",#N/A,TRUE,"general";"via3",#N/A,TRUE,"general"}</definedName>
    <definedName name="_____b8" localSheetId="16" hidden="1">{"via1",#N/A,TRUE,"general";"via2",#N/A,TRUE,"general";"via3",#N/A,TRUE,"general"}</definedName>
    <definedName name="_____b8" hidden="1">{"via1",#N/A,TRUE,"general";"via2",#N/A,TRUE,"general";"via3",#N/A,TRUE,"general"}</definedName>
    <definedName name="_____bb9" localSheetId="16" hidden="1">{"TAB1",#N/A,TRUE,"GENERAL";"TAB2",#N/A,TRUE,"GENERAL";"TAB3",#N/A,TRUE,"GENERAL";"TAB4",#N/A,TRUE,"GENERAL";"TAB5",#N/A,TRUE,"GENERAL"}</definedName>
    <definedName name="_____bb9" hidden="1">{"TAB1",#N/A,TRUE,"GENERAL";"TAB2",#N/A,TRUE,"GENERAL";"TAB3",#N/A,TRUE,"GENERAL";"TAB4",#N/A,TRUE,"GENERAL";"TAB5",#N/A,TRUE,"GENERAL"}</definedName>
    <definedName name="_____bgb5" localSheetId="16"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CAC1">#REF!</definedName>
    <definedName name="_____CAC3">#REF!</definedName>
    <definedName name="_____CAC5">#REF!</definedName>
    <definedName name="_____cua1">#REF!</definedName>
    <definedName name="_____DMD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16" hidden="1">{"TAB1",#N/A,TRUE,"GENERAL";"TAB2",#N/A,TRUE,"GENERAL";"TAB3",#N/A,TRUE,"GENERAL";"TAB4",#N/A,TRUE,"GENERAL";"TAB5",#N/A,TRUE,"GENERAL"}</definedName>
    <definedName name="_____g2" hidden="1">{"TAB1",#N/A,TRUE,"GENERAL";"TAB2",#N/A,TRUE,"GENERAL";"TAB3",#N/A,TRUE,"GENERAL";"TAB4",#N/A,TRUE,"GENERAL";"TAB5",#N/A,TRUE,"GENERAL"}</definedName>
    <definedName name="_____g3" localSheetId="16" hidden="1">{"via1",#N/A,TRUE,"general";"via2",#N/A,TRUE,"general";"via3",#N/A,TRUE,"general"}</definedName>
    <definedName name="_____g3" hidden="1">{"via1",#N/A,TRUE,"general";"via2",#N/A,TRUE,"general";"via3",#N/A,TRUE,"general"}</definedName>
    <definedName name="_____g4" localSheetId="16" hidden="1">{"via1",#N/A,TRUE,"general";"via2",#N/A,TRUE,"general";"via3",#N/A,TRUE,"general"}</definedName>
    <definedName name="_____g4" hidden="1">{"via1",#N/A,TRUE,"general";"via2",#N/A,TRUE,"general";"via3",#N/A,TRUE,"general"}</definedName>
    <definedName name="_____g5" localSheetId="16" hidden="1">{"via1",#N/A,TRUE,"general";"via2",#N/A,TRUE,"general";"via3",#N/A,TRUE,"general"}</definedName>
    <definedName name="_____g5" hidden="1">{"via1",#N/A,TRUE,"general";"via2",#N/A,TRUE,"general";"via3",#N/A,TRUE,"general"}</definedName>
    <definedName name="_____g6" localSheetId="16" hidden="1">{"via1",#N/A,TRUE,"general";"via2",#N/A,TRUE,"general";"via3",#N/A,TRUE,"general"}</definedName>
    <definedName name="_____g6" hidden="1">{"via1",#N/A,TRUE,"general";"via2",#N/A,TRUE,"general";"via3",#N/A,TRUE,"general"}</definedName>
    <definedName name="_____g7" localSheetId="16" hidden="1">{"TAB1",#N/A,TRUE,"GENERAL";"TAB2",#N/A,TRUE,"GENERAL";"TAB3",#N/A,TRUE,"GENERAL";"TAB4",#N/A,TRUE,"GENERAL";"TAB5",#N/A,TRUE,"GENERAL"}</definedName>
    <definedName name="_____g7" hidden="1">{"TAB1",#N/A,TRUE,"GENERAL";"TAB2",#N/A,TRUE,"GENERAL";"TAB3",#N/A,TRUE,"GENERAL";"TAB4",#N/A,TRUE,"GENERAL";"TAB5",#N/A,TRUE,"GENERAL"}</definedName>
    <definedName name="_____GR1" localSheetId="16" hidden="1">{"TAB1",#N/A,TRUE,"GENERAL";"TAB2",#N/A,TRUE,"GENERAL";"TAB3",#N/A,TRUE,"GENERAL";"TAB4",#N/A,TRUE,"GENERAL";"TAB5",#N/A,TRUE,"GENERAL"}</definedName>
    <definedName name="_____GR1" hidden="1">{"TAB1",#N/A,TRUE,"GENERAL";"TAB2",#N/A,TRUE,"GENERAL";"TAB3",#N/A,TRUE,"GENERAL";"TAB4",#N/A,TRUE,"GENERAL";"TAB5",#N/A,TRUE,"GENERAL"}</definedName>
    <definedName name="_____gtr4" localSheetId="16" hidden="1">{"via1",#N/A,TRUE,"general";"via2",#N/A,TRUE,"general";"via3",#N/A,TRUE,"general"}</definedName>
    <definedName name="_____gtr4" hidden="1">{"via1",#N/A,TRUE,"general";"via2",#N/A,TRUE,"general";"via3",#N/A,TRUE,"general"}</definedName>
    <definedName name="_____h2" localSheetId="16" hidden="1">{"via1",#N/A,TRUE,"general";"via2",#N/A,TRUE,"general";"via3",#N/A,TRUE,"general"}</definedName>
    <definedName name="_____h2" hidden="1">{"via1",#N/A,TRUE,"general";"via2",#N/A,TRUE,"general";"via3",#N/A,TRUE,"general"}</definedName>
    <definedName name="_____h3" localSheetId="16" hidden="1">{"via1",#N/A,TRUE,"general";"via2",#N/A,TRUE,"general";"via3",#N/A,TRUE,"general"}</definedName>
    <definedName name="_____h3" hidden="1">{"via1",#N/A,TRUE,"general";"via2",#N/A,TRUE,"general";"via3",#N/A,TRUE,"general"}</definedName>
    <definedName name="_____h4" localSheetId="16" hidden="1">{"TAB1",#N/A,TRUE,"GENERAL";"TAB2",#N/A,TRUE,"GENERAL";"TAB3",#N/A,TRUE,"GENERAL";"TAB4",#N/A,TRUE,"GENERAL";"TAB5",#N/A,TRUE,"GENERAL"}</definedName>
    <definedName name="_____h4" hidden="1">{"TAB1",#N/A,TRUE,"GENERAL";"TAB2",#N/A,TRUE,"GENERAL";"TAB3",#N/A,TRUE,"GENERAL";"TAB4",#N/A,TRUE,"GENERAL";"TAB5",#N/A,TRUE,"GENERAL"}</definedName>
    <definedName name="_____h5" localSheetId="16" hidden="1">{"TAB1",#N/A,TRUE,"GENERAL";"TAB2",#N/A,TRUE,"GENERAL";"TAB3",#N/A,TRUE,"GENERAL";"TAB4",#N/A,TRUE,"GENERAL";"TAB5",#N/A,TRUE,"GENERAL"}</definedName>
    <definedName name="_____h5" hidden="1">{"TAB1",#N/A,TRUE,"GENERAL";"TAB2",#N/A,TRUE,"GENERAL";"TAB3",#N/A,TRUE,"GENERAL";"TAB4",#N/A,TRUE,"GENERAL";"TAB5",#N/A,TRUE,"GENERAL"}</definedName>
    <definedName name="_____h6" localSheetId="16" hidden="1">{"via1",#N/A,TRUE,"general";"via2",#N/A,TRUE,"general";"via3",#N/A,TRUE,"general"}</definedName>
    <definedName name="_____h6" hidden="1">{"via1",#N/A,TRUE,"general";"via2",#N/A,TRUE,"general";"via3",#N/A,TRUE,"general"}</definedName>
    <definedName name="_____h7" localSheetId="16" hidden="1">{"TAB1",#N/A,TRUE,"GENERAL";"TAB2",#N/A,TRUE,"GENERAL";"TAB3",#N/A,TRUE,"GENERAL";"TAB4",#N/A,TRUE,"GENERAL";"TAB5",#N/A,TRUE,"GENERAL"}</definedName>
    <definedName name="_____h7" hidden="1">{"TAB1",#N/A,TRUE,"GENERAL";"TAB2",#N/A,TRUE,"GENERAL";"TAB3",#N/A,TRUE,"GENERAL";"TAB4",#N/A,TRUE,"GENERAL";"TAB5",#N/A,TRUE,"GENERAL"}</definedName>
    <definedName name="_____h8" localSheetId="16" hidden="1">{"via1",#N/A,TRUE,"general";"via2",#N/A,TRUE,"general";"via3",#N/A,TRUE,"general"}</definedName>
    <definedName name="_____h8" hidden="1">{"via1",#N/A,TRUE,"general";"via2",#N/A,TRUE,"general";"via3",#N/A,TRUE,"general"}</definedName>
    <definedName name="_____hfh7" localSheetId="16" hidden="1">{"via1",#N/A,TRUE,"general";"via2",#N/A,TRUE,"general";"via3",#N/A,TRUE,"general"}</definedName>
    <definedName name="_____hfh7" hidden="1">{"via1",#N/A,TRUE,"general";"via2",#N/A,TRUE,"general";"via3",#N/A,TRUE,"general"}</definedName>
    <definedName name="_____i4" localSheetId="16" hidden="1">{"via1",#N/A,TRUE,"general";"via2",#N/A,TRUE,"general";"via3",#N/A,TRUE,"general"}</definedName>
    <definedName name="_____i4" hidden="1">{"via1",#N/A,TRUE,"general";"via2",#N/A,TRUE,"general";"via3",#N/A,TRUE,"general"}</definedName>
    <definedName name="_____i5" localSheetId="16" hidden="1">{"TAB1",#N/A,TRUE,"GENERAL";"TAB2",#N/A,TRUE,"GENERAL";"TAB3",#N/A,TRUE,"GENERAL";"TAB4",#N/A,TRUE,"GENERAL";"TAB5",#N/A,TRUE,"GENERAL"}</definedName>
    <definedName name="_____i5" hidden="1">{"TAB1",#N/A,TRUE,"GENERAL";"TAB2",#N/A,TRUE,"GENERAL";"TAB3",#N/A,TRUE,"GENERAL";"TAB4",#N/A,TRUE,"GENERAL";"TAB5",#N/A,TRUE,"GENERAL"}</definedName>
    <definedName name="_____i6" localSheetId="16" hidden="1">{"TAB1",#N/A,TRUE,"GENERAL";"TAB2",#N/A,TRUE,"GENERAL";"TAB3",#N/A,TRUE,"GENERAL";"TAB4",#N/A,TRUE,"GENERAL";"TAB5",#N/A,TRUE,"GENERAL"}</definedName>
    <definedName name="_____i6" hidden="1">{"TAB1",#N/A,TRUE,"GENERAL";"TAB2",#N/A,TRUE,"GENERAL";"TAB3",#N/A,TRUE,"GENERAL";"TAB4",#N/A,TRUE,"GENERAL";"TAB5",#N/A,TRUE,"GENERAL"}</definedName>
    <definedName name="_____i7" localSheetId="16" hidden="1">{"via1",#N/A,TRUE,"general";"via2",#N/A,TRUE,"general";"via3",#N/A,TRUE,"general"}</definedName>
    <definedName name="_____i7" hidden="1">{"via1",#N/A,TRUE,"general";"via2",#N/A,TRUE,"general";"via3",#N/A,TRUE,"general"}</definedName>
    <definedName name="_____i77" localSheetId="16" hidden="1">{"TAB1",#N/A,TRUE,"GENERAL";"TAB2",#N/A,TRUE,"GENERAL";"TAB3",#N/A,TRUE,"GENERAL";"TAB4",#N/A,TRUE,"GENERAL";"TAB5",#N/A,TRUE,"GENERAL"}</definedName>
    <definedName name="_____i77" hidden="1">{"TAB1",#N/A,TRUE,"GENERAL";"TAB2",#N/A,TRUE,"GENERAL";"TAB3",#N/A,TRUE,"GENERAL";"TAB4",#N/A,TRUE,"GENERAL";"TAB5",#N/A,TRUE,"GENERAL"}</definedName>
    <definedName name="_____i8" localSheetId="16" hidden="1">{"via1",#N/A,TRUE,"general";"via2",#N/A,TRUE,"general";"via3",#N/A,TRUE,"general"}</definedName>
    <definedName name="_____i8" hidden="1">{"via1",#N/A,TRUE,"general";"via2",#N/A,TRUE,"general";"via3",#N/A,TRUE,"general"}</definedName>
    <definedName name="_____i9" localSheetId="16" hidden="1">{"TAB1",#N/A,TRUE,"GENERAL";"TAB2",#N/A,TRUE,"GENERAL";"TAB3",#N/A,TRUE,"GENERAL";"TAB4",#N/A,TRUE,"GENERAL";"TAB5",#N/A,TRUE,"GENERAL"}</definedName>
    <definedName name="_____i9" hidden="1">{"TAB1",#N/A,TRUE,"GENERAL";"TAB2",#N/A,TRUE,"GENERAL";"TAB3",#N/A,TRUE,"GENERAL";"TAB4",#N/A,TRUE,"GENERAL";"TAB5",#N/A,TRUE,"GENERAL"}</definedName>
    <definedName name="_____k3" localSheetId="16" hidden="1">{"TAB1",#N/A,TRUE,"GENERAL";"TAB2",#N/A,TRUE,"GENERAL";"TAB3",#N/A,TRUE,"GENERAL";"TAB4",#N/A,TRUE,"GENERAL";"TAB5",#N/A,TRUE,"GENERAL"}</definedName>
    <definedName name="_____k3" hidden="1">{"TAB1",#N/A,TRUE,"GENERAL";"TAB2",#N/A,TRUE,"GENERAL";"TAB3",#N/A,TRUE,"GENERAL";"TAB4",#N/A,TRUE,"GENERAL";"TAB5",#N/A,TRUE,"GENERAL"}</definedName>
    <definedName name="_____k4" localSheetId="16" hidden="1">{"via1",#N/A,TRUE,"general";"via2",#N/A,TRUE,"general";"via3",#N/A,TRUE,"general"}</definedName>
    <definedName name="_____k4" hidden="1">{"via1",#N/A,TRUE,"general";"via2",#N/A,TRUE,"general";"via3",#N/A,TRUE,"general"}</definedName>
    <definedName name="_____k5" localSheetId="16" hidden="1">{"via1",#N/A,TRUE,"general";"via2",#N/A,TRUE,"general";"via3",#N/A,TRUE,"general"}</definedName>
    <definedName name="_____k5" hidden="1">{"via1",#N/A,TRUE,"general";"via2",#N/A,TRUE,"general";"via3",#N/A,TRUE,"general"}</definedName>
    <definedName name="_____k6" localSheetId="16" hidden="1">{"TAB1",#N/A,TRUE,"GENERAL";"TAB2",#N/A,TRUE,"GENERAL";"TAB3",#N/A,TRUE,"GENERAL";"TAB4",#N/A,TRUE,"GENERAL";"TAB5",#N/A,TRUE,"GENERAL"}</definedName>
    <definedName name="_____k6" hidden="1">{"TAB1",#N/A,TRUE,"GENERAL";"TAB2",#N/A,TRUE,"GENERAL";"TAB3",#N/A,TRUE,"GENERAL";"TAB4",#N/A,TRUE,"GENERAL";"TAB5",#N/A,TRUE,"GENERAL"}</definedName>
    <definedName name="_____k7" localSheetId="16" hidden="1">{"via1",#N/A,TRUE,"general";"via2",#N/A,TRUE,"general";"via3",#N/A,TRUE,"general"}</definedName>
    <definedName name="_____k7" hidden="1">{"via1",#N/A,TRUE,"general";"via2",#N/A,TRUE,"general";"via3",#N/A,TRUE,"general"}</definedName>
    <definedName name="_____k8" localSheetId="16" hidden="1">{"via1",#N/A,TRUE,"general";"via2",#N/A,TRUE,"general";"via3",#N/A,TRUE,"general"}</definedName>
    <definedName name="_____k8" hidden="1">{"via1",#N/A,TRUE,"general";"via2",#N/A,TRUE,"general";"via3",#N/A,TRUE,"general"}</definedName>
    <definedName name="_____k9" localSheetId="16" hidden="1">{"TAB1",#N/A,TRUE,"GENERAL";"TAB2",#N/A,TRUE,"GENERAL";"TAB3",#N/A,TRUE,"GENERAL";"TAB4",#N/A,TRUE,"GENERAL";"TAB5",#N/A,TRUE,"GENERAL"}</definedName>
    <definedName name="_____k9" hidden="1">{"TAB1",#N/A,TRUE,"GENERAL";"TAB2",#N/A,TRUE,"GENERAL";"TAB3",#N/A,TRUE,"GENERAL";"TAB4",#N/A,TRUE,"GENERAL";"TAB5",#N/A,TRUE,"GENERAL"}</definedName>
    <definedName name="_____kjk6" localSheetId="16" hidden="1">{"TAB1",#N/A,TRUE,"GENERAL";"TAB2",#N/A,TRUE,"GENERAL";"TAB3",#N/A,TRUE,"GENERAL";"TAB4",#N/A,TRUE,"GENERAL";"TAB5",#N/A,TRUE,"GENERAL"}</definedName>
    <definedName name="_____kjk6" hidden="1">{"TAB1",#N/A,TRUE,"GENERAL";"TAB2",#N/A,TRUE,"GENERAL";"TAB3",#N/A,TRUE,"GENERAL";"TAB4",#N/A,TRUE,"GENERAL";"TAB5",#N/A,TRUE,"GENERAL"}</definedName>
    <definedName name="_____m3" localSheetId="16" hidden="1">{"via1",#N/A,TRUE,"general";"via2",#N/A,TRUE,"general";"via3",#N/A,TRUE,"general"}</definedName>
    <definedName name="_____m3" hidden="1">{"via1",#N/A,TRUE,"general";"via2",#N/A,TRUE,"general";"via3",#N/A,TRUE,"general"}</definedName>
    <definedName name="_____m4" localSheetId="16" hidden="1">{"TAB1",#N/A,TRUE,"GENERAL";"TAB2",#N/A,TRUE,"GENERAL";"TAB3",#N/A,TRUE,"GENERAL";"TAB4",#N/A,TRUE,"GENERAL";"TAB5",#N/A,TRUE,"GENERAL"}</definedName>
    <definedName name="_____m4" hidden="1">{"TAB1",#N/A,TRUE,"GENERAL";"TAB2",#N/A,TRUE,"GENERAL";"TAB3",#N/A,TRUE,"GENERAL";"TAB4",#N/A,TRUE,"GENERAL";"TAB5",#N/A,TRUE,"GENERAL"}</definedName>
    <definedName name="_____m5" localSheetId="16" hidden="1">{"via1",#N/A,TRUE,"general";"via2",#N/A,TRUE,"general";"via3",#N/A,TRUE,"general"}</definedName>
    <definedName name="_____m5" hidden="1">{"via1",#N/A,TRUE,"general";"via2",#N/A,TRUE,"general";"via3",#N/A,TRUE,"general"}</definedName>
    <definedName name="_____m6" localSheetId="16" hidden="1">{"TAB1",#N/A,TRUE,"GENERAL";"TAB2",#N/A,TRUE,"GENERAL";"TAB3",#N/A,TRUE,"GENERAL";"TAB4",#N/A,TRUE,"GENERAL";"TAB5",#N/A,TRUE,"GENERAL"}</definedName>
    <definedName name="_____m6" hidden="1">{"TAB1",#N/A,TRUE,"GENERAL";"TAB2",#N/A,TRUE,"GENERAL";"TAB3",#N/A,TRUE,"GENERAL";"TAB4",#N/A,TRUE,"GENERAL";"TAB5",#N/A,TRUE,"GENERAL"}</definedName>
    <definedName name="_____m7" localSheetId="16" hidden="1">{"TAB1",#N/A,TRUE,"GENERAL";"TAB2",#N/A,TRUE,"GENERAL";"TAB3",#N/A,TRUE,"GENERAL";"TAB4",#N/A,TRUE,"GENERAL";"TAB5",#N/A,TRUE,"GENERAL"}</definedName>
    <definedName name="_____m7" hidden="1">{"TAB1",#N/A,TRUE,"GENERAL";"TAB2",#N/A,TRUE,"GENERAL";"TAB3",#N/A,TRUE,"GENERAL";"TAB4",#N/A,TRUE,"GENERAL";"TAB5",#N/A,TRUE,"GENERAL"}</definedName>
    <definedName name="_____m8" localSheetId="16" hidden="1">{"via1",#N/A,TRUE,"general";"via2",#N/A,TRUE,"general";"via3",#N/A,TRUE,"general"}</definedName>
    <definedName name="_____m8" hidden="1">{"via1",#N/A,TRUE,"general";"via2",#N/A,TRUE,"general";"via3",#N/A,TRUE,"general"}</definedName>
    <definedName name="_____m9" localSheetId="16" hidden="1">{"via1",#N/A,TRUE,"general";"via2",#N/A,TRUE,"general";"via3",#N/A,TRUE,"general"}</definedName>
    <definedName name="_____m9" hidden="1">{"via1",#N/A,TRUE,"general";"via2",#N/A,TRUE,"general";"via3",#N/A,TRUE,"general"}</definedName>
    <definedName name="_____MA2">#REF!</definedName>
    <definedName name="_____mor15">#REF!</definedName>
    <definedName name="_____n3" localSheetId="16" hidden="1">{"TAB1",#N/A,TRUE,"GENERAL";"TAB2",#N/A,TRUE,"GENERAL";"TAB3",#N/A,TRUE,"GENERAL";"TAB4",#N/A,TRUE,"GENERAL";"TAB5",#N/A,TRUE,"GENERAL"}</definedName>
    <definedName name="_____n3" hidden="1">{"TAB1",#N/A,TRUE,"GENERAL";"TAB2",#N/A,TRUE,"GENERAL";"TAB3",#N/A,TRUE,"GENERAL";"TAB4",#N/A,TRUE,"GENERAL";"TAB5",#N/A,TRUE,"GENERAL"}</definedName>
    <definedName name="_____n4" localSheetId="16" hidden="1">{"via1",#N/A,TRUE,"general";"via2",#N/A,TRUE,"general";"via3",#N/A,TRUE,"general"}</definedName>
    <definedName name="_____n4" hidden="1">{"via1",#N/A,TRUE,"general";"via2",#N/A,TRUE,"general";"via3",#N/A,TRUE,"general"}</definedName>
    <definedName name="_____n5" localSheetId="16" hidden="1">{"TAB1",#N/A,TRUE,"GENERAL";"TAB2",#N/A,TRUE,"GENERAL";"TAB3",#N/A,TRUE,"GENERAL";"TAB4",#N/A,TRUE,"GENERAL";"TAB5",#N/A,TRUE,"GENERAL"}</definedName>
    <definedName name="_____n5" hidden="1">{"TAB1",#N/A,TRUE,"GENERAL";"TAB2",#N/A,TRUE,"GENERAL";"TAB3",#N/A,TRUE,"GENERAL";"TAB4",#N/A,TRUE,"GENERAL";"TAB5",#N/A,TRUE,"GENERAL"}</definedName>
    <definedName name="_____nyn7" localSheetId="16" hidden="1">{"via1",#N/A,TRUE,"general";"via2",#N/A,TRUE,"general";"via3",#N/A,TRUE,"general"}</definedName>
    <definedName name="_____nyn7" hidden="1">{"via1",#N/A,TRUE,"general";"via2",#N/A,TRUE,"general";"via3",#N/A,TRUE,"general"}</definedName>
    <definedName name="_____o4" localSheetId="16" hidden="1">{"via1",#N/A,TRUE,"general";"via2",#N/A,TRUE,"general";"via3",#N/A,TRUE,"general"}</definedName>
    <definedName name="_____o4" hidden="1">{"via1",#N/A,TRUE,"general";"via2",#N/A,TRUE,"general";"via3",#N/A,TRUE,"general"}</definedName>
    <definedName name="_____o5" localSheetId="16" hidden="1">{"TAB1",#N/A,TRUE,"GENERAL";"TAB2",#N/A,TRUE,"GENERAL";"TAB3",#N/A,TRUE,"GENERAL";"TAB4",#N/A,TRUE,"GENERAL";"TAB5",#N/A,TRUE,"GENERAL"}</definedName>
    <definedName name="_____o5" hidden="1">{"TAB1",#N/A,TRUE,"GENERAL";"TAB2",#N/A,TRUE,"GENERAL";"TAB3",#N/A,TRUE,"GENERAL";"TAB4",#N/A,TRUE,"GENERAL";"TAB5",#N/A,TRUE,"GENERAL"}</definedName>
    <definedName name="_____o6" localSheetId="16" hidden="1">{"TAB1",#N/A,TRUE,"GENERAL";"TAB2",#N/A,TRUE,"GENERAL";"TAB3",#N/A,TRUE,"GENERAL";"TAB4",#N/A,TRUE,"GENERAL";"TAB5",#N/A,TRUE,"GENERAL"}</definedName>
    <definedName name="_____o6" hidden="1">{"TAB1",#N/A,TRUE,"GENERAL";"TAB2",#N/A,TRUE,"GENERAL";"TAB3",#N/A,TRUE,"GENERAL";"TAB4",#N/A,TRUE,"GENERAL";"TAB5",#N/A,TRUE,"GENERAL"}</definedName>
    <definedName name="_____o7" localSheetId="16" hidden="1">{"TAB1",#N/A,TRUE,"GENERAL";"TAB2",#N/A,TRUE,"GENERAL";"TAB3",#N/A,TRUE,"GENERAL";"TAB4",#N/A,TRUE,"GENERAL";"TAB5",#N/A,TRUE,"GENERAL"}</definedName>
    <definedName name="_____o7" hidden="1">{"TAB1",#N/A,TRUE,"GENERAL";"TAB2",#N/A,TRUE,"GENERAL";"TAB3",#N/A,TRUE,"GENERAL";"TAB4",#N/A,TRUE,"GENERAL";"TAB5",#N/A,TRUE,"GENERAL"}</definedName>
    <definedName name="_____o8" localSheetId="16" hidden="1">{"via1",#N/A,TRUE,"general";"via2",#N/A,TRUE,"general";"via3",#N/A,TRUE,"general"}</definedName>
    <definedName name="_____o8" hidden="1">{"via1",#N/A,TRUE,"general";"via2",#N/A,TRUE,"general";"via3",#N/A,TRUE,"general"}</definedName>
    <definedName name="_____o9" localSheetId="16" hidden="1">{"TAB1",#N/A,TRUE,"GENERAL";"TAB2",#N/A,TRUE,"GENERAL";"TAB3",#N/A,TRUE,"GENERAL";"TAB4",#N/A,TRUE,"GENERAL";"TAB5",#N/A,TRUE,"GENERAL"}</definedName>
    <definedName name="_____o9" hidden="1">{"TAB1",#N/A,TRUE,"GENERAL";"TAB2",#N/A,TRUE,"GENERAL";"TAB3",#N/A,TRUE,"GENERAL";"TAB4",#N/A,TRUE,"GENERAL";"TAB5",#N/A,TRUE,"GENERAL"}</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16" hidden="1">{"via1",#N/A,TRUE,"general";"via2",#N/A,TRUE,"general";"via3",#N/A,TRUE,"general"}</definedName>
    <definedName name="_____p6" hidden="1">{"via1",#N/A,TRUE,"general";"via2",#N/A,TRUE,"general";"via3",#N/A,TRUE,"general"}</definedName>
    <definedName name="_____p7" localSheetId="16" hidden="1">{"via1",#N/A,TRUE,"general";"via2",#N/A,TRUE,"general";"via3",#N/A,TRUE,"general"}</definedName>
    <definedName name="_____p7" hidden="1">{"via1",#N/A,TRUE,"general";"via2",#N/A,TRUE,"general";"via3",#N/A,TRUE,"general"}</definedName>
    <definedName name="_____p8" localSheetId="16"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RE12">#REF!</definedName>
    <definedName name="_____r">#REF!</definedName>
    <definedName name="_____r4r" localSheetId="16" hidden="1">{"via1",#N/A,TRUE,"general";"via2",#N/A,TRUE,"general";"via3",#N/A,TRUE,"general"}</definedName>
    <definedName name="_____r4r" hidden="1">{"via1",#N/A,TRUE,"general";"via2",#N/A,TRUE,"general";"via3",#N/A,TRUE,"general"}</definedName>
    <definedName name="_____Rc">#REF!</definedName>
    <definedName name="_____rtu6" localSheetId="16" hidden="1">{"via1",#N/A,TRUE,"general";"via2",#N/A,TRUE,"general";"via3",#N/A,TRUE,"general"}</definedName>
    <definedName name="_____rtu6" hidden="1">{"via1",#N/A,TRUE,"general";"via2",#N/A,TRUE,"general";"via3",#N/A,TRUE,"general"}</definedName>
    <definedName name="_____s1" localSheetId="16" hidden="1">{"via1",#N/A,TRUE,"general";"via2",#N/A,TRUE,"general";"via3",#N/A,TRUE,"general"}</definedName>
    <definedName name="_____s1" hidden="1">{"via1",#N/A,TRUE,"general";"via2",#N/A,TRUE,"general";"via3",#N/A,TRUE,"general"}</definedName>
    <definedName name="_____s2" localSheetId="16" hidden="1">{"TAB1",#N/A,TRUE,"GENERAL";"TAB2",#N/A,TRUE,"GENERAL";"TAB3",#N/A,TRUE,"GENERAL";"TAB4",#N/A,TRUE,"GENERAL";"TAB5",#N/A,TRUE,"GENERAL"}</definedName>
    <definedName name="_____s2" hidden="1">{"TAB1",#N/A,TRUE,"GENERAL";"TAB2",#N/A,TRUE,"GENERAL";"TAB3",#N/A,TRUE,"GENERAL";"TAB4",#N/A,TRUE,"GENERAL";"TAB5",#N/A,TRUE,"GENERAL"}</definedName>
    <definedName name="_____s3" localSheetId="16" hidden="1">{"TAB1",#N/A,TRUE,"GENERAL";"TAB2",#N/A,TRUE,"GENERAL";"TAB3",#N/A,TRUE,"GENERAL";"TAB4",#N/A,TRUE,"GENERAL";"TAB5",#N/A,TRUE,"GENERAL"}</definedName>
    <definedName name="_____s3" hidden="1">{"TAB1",#N/A,TRUE,"GENERAL";"TAB2",#N/A,TRUE,"GENERAL";"TAB3",#N/A,TRUE,"GENERAL";"TAB4",#N/A,TRUE,"GENERAL";"TAB5",#N/A,TRUE,"GENERAL"}</definedName>
    <definedName name="_____s4" localSheetId="16" hidden="1">{"via1",#N/A,TRUE,"general";"via2",#N/A,TRUE,"general";"via3",#N/A,TRUE,"general"}</definedName>
    <definedName name="_____s4" hidden="1">{"via1",#N/A,TRUE,"general";"via2",#N/A,TRUE,"general";"via3",#N/A,TRUE,"general"}</definedName>
    <definedName name="_____s5" localSheetId="16" hidden="1">{"via1",#N/A,TRUE,"general";"via2",#N/A,TRUE,"general";"via3",#N/A,TRUE,"general"}</definedName>
    <definedName name="_____s5" hidden="1">{"via1",#N/A,TRUE,"general";"via2",#N/A,TRUE,"general";"via3",#N/A,TRUE,"general"}</definedName>
    <definedName name="_____s6" localSheetId="16" hidden="1">{"TAB1",#N/A,TRUE,"GENERAL";"TAB2",#N/A,TRUE,"GENERAL";"TAB3",#N/A,TRUE,"GENERAL";"TAB4",#N/A,TRUE,"GENERAL";"TAB5",#N/A,TRUE,"GENERAL"}</definedName>
    <definedName name="_____s6" hidden="1">{"TAB1",#N/A,TRUE,"GENERAL";"TAB2",#N/A,TRUE,"GENERAL";"TAB3",#N/A,TRUE,"GENERAL";"TAB4",#N/A,TRUE,"GENERAL";"TAB5",#N/A,TRUE,"GENERAL"}</definedName>
    <definedName name="_____s7" localSheetId="16" hidden="1">{"via1",#N/A,TRUE,"general";"via2",#N/A,TRUE,"general";"via3",#N/A,TRUE,"general"}</definedName>
    <definedName name="_____s7" hidden="1">{"via1",#N/A,TRUE,"general";"via2",#N/A,TRUE,"general";"via3",#N/A,TRUE,"general"}</definedName>
    <definedName name="_____SBC1">#REF!</definedName>
    <definedName name="_____SBC3">#REF!</definedName>
    <definedName name="_____SBC5">#REF!</definedName>
    <definedName name="_____t3" localSheetId="16" hidden="1">{"TAB1",#N/A,TRUE,"GENERAL";"TAB2",#N/A,TRUE,"GENERAL";"TAB3",#N/A,TRUE,"GENERAL";"TAB4",#N/A,TRUE,"GENERAL";"TAB5",#N/A,TRUE,"GENERAL"}</definedName>
    <definedName name="_____t3" hidden="1">{"TAB1",#N/A,TRUE,"GENERAL";"TAB2",#N/A,TRUE,"GENERAL";"TAB3",#N/A,TRUE,"GENERAL";"TAB4",#N/A,TRUE,"GENERAL";"TAB5",#N/A,TRUE,"GENERAL"}</definedName>
    <definedName name="_____t4" localSheetId="16" hidden="1">{"via1",#N/A,TRUE,"general";"via2",#N/A,TRUE,"general";"via3",#N/A,TRUE,"general"}</definedName>
    <definedName name="_____t4" hidden="1">{"via1",#N/A,TRUE,"general";"via2",#N/A,TRUE,"general";"via3",#N/A,TRUE,"general"}</definedName>
    <definedName name="_____t5" localSheetId="16" hidden="1">{"TAB1",#N/A,TRUE,"GENERAL";"TAB2",#N/A,TRUE,"GENERAL";"TAB3",#N/A,TRUE,"GENERAL";"TAB4",#N/A,TRUE,"GENERAL";"TAB5",#N/A,TRUE,"GENERAL"}</definedName>
    <definedName name="_____t5" hidden="1">{"TAB1",#N/A,TRUE,"GENERAL";"TAB2",#N/A,TRUE,"GENERAL";"TAB3",#N/A,TRUE,"GENERAL";"TAB4",#N/A,TRUE,"GENERAL";"TAB5",#N/A,TRUE,"GENERAL"}</definedName>
    <definedName name="_____t6" localSheetId="16" hidden="1">{"via1",#N/A,TRUE,"general";"via2",#N/A,TRUE,"general";"via3",#N/A,TRUE,"general"}</definedName>
    <definedName name="_____t6" hidden="1">{"via1",#N/A,TRUE,"general";"via2",#N/A,TRUE,"general";"via3",#N/A,TRUE,"general"}</definedName>
    <definedName name="_____t66" localSheetId="16" hidden="1">{"TAB1",#N/A,TRUE,"GENERAL";"TAB2",#N/A,TRUE,"GENERAL";"TAB3",#N/A,TRUE,"GENERAL";"TAB4",#N/A,TRUE,"GENERAL";"TAB5",#N/A,TRUE,"GENERAL"}</definedName>
    <definedName name="_____t66" hidden="1">{"TAB1",#N/A,TRUE,"GENERAL";"TAB2",#N/A,TRUE,"GENERAL";"TAB3",#N/A,TRUE,"GENERAL";"TAB4",#N/A,TRUE,"GENERAL";"TAB5",#N/A,TRUE,"GENERAL"}</definedName>
    <definedName name="_____t7" localSheetId="16" hidden="1">{"via1",#N/A,TRUE,"general";"via2",#N/A,TRUE,"general";"via3",#N/A,TRUE,"general"}</definedName>
    <definedName name="_____t7" hidden="1">{"via1",#N/A,TRUE,"general";"via2",#N/A,TRUE,"general";"via3",#N/A,TRUE,"general"}</definedName>
    <definedName name="_____t77" localSheetId="16" hidden="1">{"TAB1",#N/A,TRUE,"GENERAL";"TAB2",#N/A,TRUE,"GENERAL";"TAB3",#N/A,TRUE,"GENERAL";"TAB4",#N/A,TRUE,"GENERAL";"TAB5",#N/A,TRUE,"GENERAL"}</definedName>
    <definedName name="_____t77" hidden="1">{"TAB1",#N/A,TRUE,"GENERAL";"TAB2",#N/A,TRUE,"GENERAL";"TAB3",#N/A,TRUE,"GENERAL";"TAB4",#N/A,TRUE,"GENERAL";"TAB5",#N/A,TRUE,"GENERAL"}</definedName>
    <definedName name="_____t8" localSheetId="16" hidden="1">{"TAB1",#N/A,TRUE,"GENERAL";"TAB2",#N/A,TRUE,"GENERAL";"TAB3",#N/A,TRUE,"GENERAL";"TAB4",#N/A,TRUE,"GENERAL";"TAB5",#N/A,TRUE,"GENERAL"}</definedName>
    <definedName name="_____t8" hidden="1">{"TAB1",#N/A,TRUE,"GENERAL";"TAB2",#N/A,TRUE,"GENERAL";"TAB3",#N/A,TRUE,"GENERAL";"TAB4",#N/A,TRUE,"GENERAL";"TAB5",#N/A,TRUE,"GENERAL"}</definedName>
    <definedName name="_____t88" localSheetId="16" hidden="1">{"via1",#N/A,TRUE,"general";"via2",#N/A,TRUE,"general";"via3",#N/A,TRUE,"general"}</definedName>
    <definedName name="_____t88" hidden="1">{"via1",#N/A,TRUE,"general";"via2",#N/A,TRUE,"general";"via3",#N/A,TRUE,"general"}</definedName>
    <definedName name="_____t9" localSheetId="16" hidden="1">{"TAB1",#N/A,TRUE,"GENERAL";"TAB2",#N/A,TRUE,"GENERAL";"TAB3",#N/A,TRUE,"GENERAL";"TAB4",#N/A,TRUE,"GENERAL";"TAB5",#N/A,TRUE,"GENERAL"}</definedName>
    <definedName name="_____t9" hidden="1">{"TAB1",#N/A,TRUE,"GENERAL";"TAB2",#N/A,TRUE,"GENERAL";"TAB3",#N/A,TRUE,"GENERAL";"TAB4",#N/A,TRUE,"GENERAL";"TAB5",#N/A,TRUE,"GENERAL"}</definedName>
    <definedName name="_____t99" localSheetId="16"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16" hidden="1">{"TAB1",#N/A,TRUE,"GENERAL";"TAB2",#N/A,TRUE,"GENERAL";"TAB3",#N/A,TRUE,"GENERAL";"TAB4",#N/A,TRUE,"GENERAL";"TAB5",#N/A,TRUE,"GENERAL"}</definedName>
    <definedName name="_____u4" hidden="1">{"TAB1",#N/A,TRUE,"GENERAL";"TAB2",#N/A,TRUE,"GENERAL";"TAB3",#N/A,TRUE,"GENERAL";"TAB4",#N/A,TRUE,"GENERAL";"TAB5",#N/A,TRUE,"GENERAL"}</definedName>
    <definedName name="_____u5" localSheetId="16" hidden="1">{"TAB1",#N/A,TRUE,"GENERAL";"TAB2",#N/A,TRUE,"GENERAL";"TAB3",#N/A,TRUE,"GENERAL";"TAB4",#N/A,TRUE,"GENERAL";"TAB5",#N/A,TRUE,"GENERAL"}</definedName>
    <definedName name="_____u5" hidden="1">{"TAB1",#N/A,TRUE,"GENERAL";"TAB2",#N/A,TRUE,"GENERAL";"TAB3",#N/A,TRUE,"GENERAL";"TAB4",#N/A,TRUE,"GENERAL";"TAB5",#N/A,TRUE,"GENERAL"}</definedName>
    <definedName name="_____u6" localSheetId="16" hidden="1">{"TAB1",#N/A,TRUE,"GENERAL";"TAB2",#N/A,TRUE,"GENERAL";"TAB3",#N/A,TRUE,"GENERAL";"TAB4",#N/A,TRUE,"GENERAL";"TAB5",#N/A,TRUE,"GENERAL"}</definedName>
    <definedName name="_____u6" hidden="1">{"TAB1",#N/A,TRUE,"GENERAL";"TAB2",#N/A,TRUE,"GENERAL";"TAB3",#N/A,TRUE,"GENERAL";"TAB4",#N/A,TRUE,"GENERAL";"TAB5",#N/A,TRUE,"GENERAL"}</definedName>
    <definedName name="_____u7" localSheetId="16" hidden="1">{"via1",#N/A,TRUE,"general";"via2",#N/A,TRUE,"general";"via3",#N/A,TRUE,"general"}</definedName>
    <definedName name="_____u7" hidden="1">{"via1",#N/A,TRUE,"general";"via2",#N/A,TRUE,"general";"via3",#N/A,TRUE,"general"}</definedName>
    <definedName name="_____u8" localSheetId="16" hidden="1">{"TAB1",#N/A,TRUE,"GENERAL";"TAB2",#N/A,TRUE,"GENERAL";"TAB3",#N/A,TRUE,"GENERAL";"TAB4",#N/A,TRUE,"GENERAL";"TAB5",#N/A,TRUE,"GENERAL"}</definedName>
    <definedName name="_____u8" hidden="1">{"TAB1",#N/A,TRUE,"GENERAL";"TAB2",#N/A,TRUE,"GENERAL";"TAB3",#N/A,TRUE,"GENERAL";"TAB4",#N/A,TRUE,"GENERAL";"TAB5",#N/A,TRUE,"GENERAL"}</definedName>
    <definedName name="_____u9" localSheetId="16" hidden="1">{"TAB1",#N/A,TRUE,"GENERAL";"TAB2",#N/A,TRUE,"GENERAL";"TAB3",#N/A,TRUE,"GENERAL";"TAB4",#N/A,TRUE,"GENERAL";"TAB5",#N/A,TRUE,"GENERAL"}</definedName>
    <definedName name="_____u9" hidden="1">{"TAB1",#N/A,TRUE,"GENERAL";"TAB2",#N/A,TRUE,"GENERAL";"TAB3",#N/A,TRUE,"GENERAL";"TAB4",#N/A,TRUE,"GENERAL";"TAB5",#N/A,TRUE,"GENERAL"}</definedName>
    <definedName name="_____ur7" localSheetId="16" hidden="1">{"TAB1",#N/A,TRUE,"GENERAL";"TAB2",#N/A,TRUE,"GENERAL";"TAB3",#N/A,TRUE,"GENERAL";"TAB4",#N/A,TRUE,"GENERAL";"TAB5",#N/A,TRUE,"GENERAL"}</definedName>
    <definedName name="_____ur7" hidden="1">{"TAB1",#N/A,TRUE,"GENERAL";"TAB2",#N/A,TRUE,"GENERAL";"TAB3",#N/A,TRUE,"GENERAL";"TAB4",#N/A,TRUE,"GENERAL";"TAB5",#N/A,TRUE,"GENERAL"}</definedName>
    <definedName name="_____v2" localSheetId="16" hidden="1">{"via1",#N/A,TRUE,"general";"via2",#N/A,TRUE,"general";"via3",#N/A,TRUE,"general"}</definedName>
    <definedName name="_____v2" hidden="1">{"via1",#N/A,TRUE,"general";"via2",#N/A,TRUE,"general";"via3",#N/A,TRUE,"general"}</definedName>
    <definedName name="_____v3" localSheetId="16" hidden="1">{"TAB1",#N/A,TRUE,"GENERAL";"TAB2",#N/A,TRUE,"GENERAL";"TAB3",#N/A,TRUE,"GENERAL";"TAB4",#N/A,TRUE,"GENERAL";"TAB5",#N/A,TRUE,"GENERAL"}</definedName>
    <definedName name="_____v3" hidden="1">{"TAB1",#N/A,TRUE,"GENERAL";"TAB2",#N/A,TRUE,"GENERAL";"TAB3",#N/A,TRUE,"GENERAL";"TAB4",#N/A,TRUE,"GENERAL";"TAB5",#N/A,TRUE,"GENERAL"}</definedName>
    <definedName name="_____v4" localSheetId="16" hidden="1">{"TAB1",#N/A,TRUE,"GENERAL";"TAB2",#N/A,TRUE,"GENERAL";"TAB3",#N/A,TRUE,"GENERAL";"TAB4",#N/A,TRUE,"GENERAL";"TAB5",#N/A,TRUE,"GENERAL"}</definedName>
    <definedName name="_____v4" hidden="1">{"TAB1",#N/A,TRUE,"GENERAL";"TAB2",#N/A,TRUE,"GENERAL";"TAB3",#N/A,TRUE,"GENERAL";"TAB4",#N/A,TRUE,"GENERAL";"TAB5",#N/A,TRUE,"GENERAL"}</definedName>
    <definedName name="_____v5" localSheetId="16" hidden="1">{"TAB1",#N/A,TRUE,"GENERAL";"TAB2",#N/A,TRUE,"GENERAL";"TAB3",#N/A,TRUE,"GENERAL";"TAB4",#N/A,TRUE,"GENERAL";"TAB5",#N/A,TRUE,"GENERAL"}</definedName>
    <definedName name="_____v5" hidden="1">{"TAB1",#N/A,TRUE,"GENERAL";"TAB2",#N/A,TRUE,"GENERAL";"TAB3",#N/A,TRUE,"GENERAL";"TAB4",#N/A,TRUE,"GENERAL";"TAB5",#N/A,TRUE,"GENERAL"}</definedName>
    <definedName name="_____v6" localSheetId="16" hidden="1">{"TAB1",#N/A,TRUE,"GENERAL";"TAB2",#N/A,TRUE,"GENERAL";"TAB3",#N/A,TRUE,"GENERAL";"TAB4",#N/A,TRUE,"GENERAL";"TAB5",#N/A,TRUE,"GENERAL"}</definedName>
    <definedName name="_____v6" hidden="1">{"TAB1",#N/A,TRUE,"GENERAL";"TAB2",#N/A,TRUE,"GENERAL";"TAB3",#N/A,TRUE,"GENERAL";"TAB4",#N/A,TRUE,"GENERAL";"TAB5",#N/A,TRUE,"GENERAL"}</definedName>
    <definedName name="_____v7" localSheetId="16" hidden="1">{"via1",#N/A,TRUE,"general";"via2",#N/A,TRUE,"general";"via3",#N/A,TRUE,"general"}</definedName>
    <definedName name="_____v7" hidden="1">{"via1",#N/A,TRUE,"general";"via2",#N/A,TRUE,"general";"via3",#N/A,TRUE,"general"}</definedName>
    <definedName name="_____v8" localSheetId="16" hidden="1">{"TAB1",#N/A,TRUE,"GENERAL";"TAB2",#N/A,TRUE,"GENERAL";"TAB3",#N/A,TRUE,"GENERAL";"TAB4",#N/A,TRUE,"GENERAL";"TAB5",#N/A,TRUE,"GENERAL"}</definedName>
    <definedName name="_____v8" hidden="1">{"TAB1",#N/A,TRUE,"GENERAL";"TAB2",#N/A,TRUE,"GENERAL";"TAB3",#N/A,TRUE,"GENERAL";"TAB4",#N/A,TRUE,"GENERAL";"TAB5",#N/A,TRUE,"GENERAL"}</definedName>
    <definedName name="_____v9" localSheetId="16" hidden="1">{"TAB1",#N/A,TRUE,"GENERAL";"TAB2",#N/A,TRUE,"GENERAL";"TAB3",#N/A,TRUE,"GENERAL";"TAB4",#N/A,TRUE,"GENERAL";"TAB5",#N/A,TRUE,"GENERAL"}</definedName>
    <definedName name="_____v9" hidden="1">{"TAB1",#N/A,TRUE,"GENERAL";"TAB2",#N/A,TRUE,"GENERAL";"TAB3",#N/A,TRUE,"GENERAL";"TAB4",#N/A,TRUE,"GENERAL";"TAB5",#N/A,TRUE,"GENERAL"}</definedName>
    <definedName name="_____vfv4" localSheetId="16" hidden="1">{"via1",#N/A,TRUE,"general";"via2",#N/A,TRUE,"general";"via3",#N/A,TRUE,"general"}</definedName>
    <definedName name="_____vfv4" hidden="1">{"via1",#N/A,TRUE,"general";"via2",#N/A,TRUE,"general";"via3",#N/A,TRUE,"general"}</definedName>
    <definedName name="_____VOL1" hidden="1">#REF!</definedName>
    <definedName name="_____VPD1">#REF!</definedName>
    <definedName name="_____VPI1">#REF!</definedName>
    <definedName name="_____VRA1">#REF!</definedName>
    <definedName name="_____x1" localSheetId="16" hidden="1">{"TAB1",#N/A,TRUE,"GENERAL";"TAB2",#N/A,TRUE,"GENERAL";"TAB3",#N/A,TRUE,"GENERAL";"TAB4",#N/A,TRUE,"GENERAL";"TAB5",#N/A,TRUE,"GENERAL"}</definedName>
    <definedName name="_____x1" hidden="1">{"TAB1",#N/A,TRUE,"GENERAL";"TAB2",#N/A,TRUE,"GENERAL";"TAB3",#N/A,TRUE,"GENERAL";"TAB4",#N/A,TRUE,"GENERAL";"TAB5",#N/A,TRUE,"GENERAL"}</definedName>
    <definedName name="_____x2" localSheetId="16" hidden="1">{"via1",#N/A,TRUE,"general";"via2",#N/A,TRUE,"general";"via3",#N/A,TRUE,"general"}</definedName>
    <definedName name="_____x2" hidden="1">{"via1",#N/A,TRUE,"general";"via2",#N/A,TRUE,"general";"via3",#N/A,TRUE,"general"}</definedName>
    <definedName name="_____x3" localSheetId="16" hidden="1">{"via1",#N/A,TRUE,"general";"via2",#N/A,TRUE,"general";"via3",#N/A,TRUE,"general"}</definedName>
    <definedName name="_____x3" hidden="1">{"via1",#N/A,TRUE,"general";"via2",#N/A,TRUE,"general";"via3",#N/A,TRUE,"general"}</definedName>
    <definedName name="_____x4" localSheetId="16" hidden="1">{"via1",#N/A,TRUE,"general";"via2",#N/A,TRUE,"general";"via3",#N/A,TRUE,"general"}</definedName>
    <definedName name="_____x4" hidden="1">{"via1",#N/A,TRUE,"general";"via2",#N/A,TRUE,"general";"via3",#N/A,TRUE,"general"}</definedName>
    <definedName name="_____x5" localSheetId="16" hidden="1">{"TAB1",#N/A,TRUE,"GENERAL";"TAB2",#N/A,TRUE,"GENERAL";"TAB3",#N/A,TRUE,"GENERAL";"TAB4",#N/A,TRUE,"GENERAL";"TAB5",#N/A,TRUE,"GENERAL"}</definedName>
    <definedName name="_____x5" hidden="1">{"TAB1",#N/A,TRUE,"GENERAL";"TAB2",#N/A,TRUE,"GENERAL";"TAB3",#N/A,TRUE,"GENERAL";"TAB4",#N/A,TRUE,"GENERAL";"TAB5",#N/A,TRUE,"GENERAL"}</definedName>
    <definedName name="_____x6" localSheetId="16" hidden="1">{"TAB1",#N/A,TRUE,"GENERAL";"TAB2",#N/A,TRUE,"GENERAL";"TAB3",#N/A,TRUE,"GENERAL";"TAB4",#N/A,TRUE,"GENERAL";"TAB5",#N/A,TRUE,"GENERAL"}</definedName>
    <definedName name="_____x6" hidden="1">{"TAB1",#N/A,TRUE,"GENERAL";"TAB2",#N/A,TRUE,"GENERAL";"TAB3",#N/A,TRUE,"GENERAL";"TAB4",#N/A,TRUE,"GENERAL";"TAB5",#N/A,TRUE,"GENERAL"}</definedName>
    <definedName name="_____x7" localSheetId="16" hidden="1">{"TAB1",#N/A,TRUE,"GENERAL";"TAB2",#N/A,TRUE,"GENERAL";"TAB3",#N/A,TRUE,"GENERAL";"TAB4",#N/A,TRUE,"GENERAL";"TAB5",#N/A,TRUE,"GENERAL"}</definedName>
    <definedName name="_____x7" hidden="1">{"TAB1",#N/A,TRUE,"GENERAL";"TAB2",#N/A,TRUE,"GENERAL";"TAB3",#N/A,TRUE,"GENERAL";"TAB4",#N/A,TRUE,"GENERAL";"TAB5",#N/A,TRUE,"GENERAL"}</definedName>
    <definedName name="_____x8" localSheetId="16" hidden="1">{"via1",#N/A,TRUE,"general";"via2",#N/A,TRUE,"general";"via3",#N/A,TRUE,"general"}</definedName>
    <definedName name="_____x8" hidden="1">{"via1",#N/A,TRUE,"general";"via2",#N/A,TRUE,"general";"via3",#N/A,TRUE,"general"}</definedName>
    <definedName name="_____x9" localSheetId="16" hidden="1">{"TAB1",#N/A,TRUE,"GENERAL";"TAB2",#N/A,TRUE,"GENERAL";"TAB3",#N/A,TRUE,"GENERAL";"TAB4",#N/A,TRUE,"GENERAL";"TAB5",#N/A,TRUE,"GENERAL"}</definedName>
    <definedName name="_____x9" hidden="1">{"TAB1",#N/A,TRUE,"GENERAL";"TAB2",#N/A,TRUE,"GENERAL";"TAB3",#N/A,TRUE,"GENERAL";"TAB4",#N/A,TRUE,"GENERAL";"TAB5",#N/A,TRUE,"GENERAL"}</definedName>
    <definedName name="_____y2" localSheetId="16" hidden="1">{"TAB1",#N/A,TRUE,"GENERAL";"TAB2",#N/A,TRUE,"GENERAL";"TAB3",#N/A,TRUE,"GENERAL";"TAB4",#N/A,TRUE,"GENERAL";"TAB5",#N/A,TRUE,"GENERAL"}</definedName>
    <definedName name="_____y2" hidden="1">{"TAB1",#N/A,TRUE,"GENERAL";"TAB2",#N/A,TRUE,"GENERAL";"TAB3",#N/A,TRUE,"GENERAL";"TAB4",#N/A,TRUE,"GENERAL";"TAB5",#N/A,TRUE,"GENERAL"}</definedName>
    <definedName name="_____y3" localSheetId="16" hidden="1">{"via1",#N/A,TRUE,"general";"via2",#N/A,TRUE,"general";"via3",#N/A,TRUE,"general"}</definedName>
    <definedName name="_____y3" hidden="1">{"via1",#N/A,TRUE,"general";"via2",#N/A,TRUE,"general";"via3",#N/A,TRUE,"general"}</definedName>
    <definedName name="_____y4" localSheetId="16" hidden="1">{"via1",#N/A,TRUE,"general";"via2",#N/A,TRUE,"general";"via3",#N/A,TRUE,"general"}</definedName>
    <definedName name="_____y4" hidden="1">{"via1",#N/A,TRUE,"general";"via2",#N/A,TRUE,"general";"via3",#N/A,TRUE,"general"}</definedName>
    <definedName name="_____y5" localSheetId="16" hidden="1">{"TAB1",#N/A,TRUE,"GENERAL";"TAB2",#N/A,TRUE,"GENERAL";"TAB3",#N/A,TRUE,"GENERAL";"TAB4",#N/A,TRUE,"GENERAL";"TAB5",#N/A,TRUE,"GENERAL"}</definedName>
    <definedName name="_____y5" hidden="1">{"TAB1",#N/A,TRUE,"GENERAL";"TAB2",#N/A,TRUE,"GENERAL";"TAB3",#N/A,TRUE,"GENERAL";"TAB4",#N/A,TRUE,"GENERAL";"TAB5",#N/A,TRUE,"GENERAL"}</definedName>
    <definedName name="_____y6" localSheetId="16" hidden="1">{"via1",#N/A,TRUE,"general";"via2",#N/A,TRUE,"general";"via3",#N/A,TRUE,"general"}</definedName>
    <definedName name="_____y6" hidden="1">{"via1",#N/A,TRUE,"general";"via2",#N/A,TRUE,"general";"via3",#N/A,TRUE,"general"}</definedName>
    <definedName name="_____y7" localSheetId="16" hidden="1">{"via1",#N/A,TRUE,"general";"via2",#N/A,TRUE,"general";"via3",#N/A,TRUE,"general"}</definedName>
    <definedName name="_____y7" hidden="1">{"via1",#N/A,TRUE,"general";"via2",#N/A,TRUE,"general";"via3",#N/A,TRUE,"general"}</definedName>
    <definedName name="_____y8" localSheetId="16" hidden="1">{"via1",#N/A,TRUE,"general";"via2",#N/A,TRUE,"general";"via3",#N/A,TRUE,"general"}</definedName>
    <definedName name="_____y8" hidden="1">{"via1",#N/A,TRUE,"general";"via2",#N/A,TRUE,"general";"via3",#N/A,TRUE,"general"}</definedName>
    <definedName name="_____y9" localSheetId="16" hidden="1">{"TAB1",#N/A,TRUE,"GENERAL";"TAB2",#N/A,TRUE,"GENERAL";"TAB3",#N/A,TRUE,"GENERAL";"TAB4",#N/A,TRUE,"GENERAL";"TAB5",#N/A,TRUE,"GENERAL"}</definedName>
    <definedName name="_____y9" hidden="1">{"TAB1",#N/A,TRUE,"GENERAL";"TAB2",#N/A,TRUE,"GENERAL";"TAB3",#N/A,TRUE,"GENERAL";"TAB4",#N/A,TRUE,"GENERAL";"TAB5",#N/A,TRUE,"GENERAL"}</definedName>
    <definedName name="_____z1" localSheetId="16" hidden="1">{"TAB1",#N/A,TRUE,"GENERAL";"TAB2",#N/A,TRUE,"GENERAL";"TAB3",#N/A,TRUE,"GENERAL";"TAB4",#N/A,TRUE,"GENERAL";"TAB5",#N/A,TRUE,"GENERAL"}</definedName>
    <definedName name="_____z1" hidden="1">{"TAB1",#N/A,TRUE,"GENERAL";"TAB2",#N/A,TRUE,"GENERAL";"TAB3",#N/A,TRUE,"GENERAL";"TAB4",#N/A,TRUE,"GENERAL";"TAB5",#N/A,TRUE,"GENERAL"}</definedName>
    <definedName name="_____z2" localSheetId="16" hidden="1">{"via1",#N/A,TRUE,"general";"via2",#N/A,TRUE,"general";"via3",#N/A,TRUE,"general"}</definedName>
    <definedName name="_____z2" hidden="1">{"via1",#N/A,TRUE,"general";"via2",#N/A,TRUE,"general";"via3",#N/A,TRUE,"general"}</definedName>
    <definedName name="_____z3" localSheetId="16" hidden="1">{"via1",#N/A,TRUE,"general";"via2",#N/A,TRUE,"general";"via3",#N/A,TRUE,"general"}</definedName>
    <definedName name="_____z3" hidden="1">{"via1",#N/A,TRUE,"general";"via2",#N/A,TRUE,"general";"via3",#N/A,TRUE,"general"}</definedName>
    <definedName name="_____z4" localSheetId="16" hidden="1">{"TAB1",#N/A,TRUE,"GENERAL";"TAB2",#N/A,TRUE,"GENERAL";"TAB3",#N/A,TRUE,"GENERAL";"TAB4",#N/A,TRUE,"GENERAL";"TAB5",#N/A,TRUE,"GENERAL"}</definedName>
    <definedName name="_____z4" hidden="1">{"TAB1",#N/A,TRUE,"GENERAL";"TAB2",#N/A,TRUE,"GENERAL";"TAB3",#N/A,TRUE,"GENERAL";"TAB4",#N/A,TRUE,"GENERAL";"TAB5",#N/A,TRUE,"GENERAL"}</definedName>
    <definedName name="_____z5" localSheetId="16" hidden="1">{"via1",#N/A,TRUE,"general";"via2",#N/A,TRUE,"general";"via3",#N/A,TRUE,"general"}</definedName>
    <definedName name="_____z5" hidden="1">{"via1",#N/A,TRUE,"general";"via2",#N/A,TRUE,"general";"via3",#N/A,TRUE,"general"}</definedName>
    <definedName name="_____z6" localSheetId="16" hidden="1">{"TAB1",#N/A,TRUE,"GENERAL";"TAB2",#N/A,TRUE,"GENERAL";"TAB3",#N/A,TRUE,"GENERAL";"TAB4",#N/A,TRUE,"GENERAL";"TAB5",#N/A,TRUE,"GENERAL"}</definedName>
    <definedName name="_____z6" hidden="1">{"TAB1",#N/A,TRUE,"GENERAL";"TAB2",#N/A,TRUE,"GENERAL";"TAB3",#N/A,TRUE,"GENERAL";"TAB4",#N/A,TRUE,"GENERAL";"TAB5",#N/A,TRUE,"GENERAL"}</definedName>
    <definedName name="____a1" localSheetId="16"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16"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16" hidden="1">{"via1",#N/A,TRUE,"general";"via2",#N/A,TRUE,"general";"via3",#N/A,TRUE,"general"}</definedName>
    <definedName name="____a4" hidden="1">{"via1",#N/A,TRUE,"general";"via2",#N/A,TRUE,"general";"via3",#N/A,TRUE,"general"}</definedName>
    <definedName name="____a5" localSheetId="16" hidden="1">{"TAB1",#N/A,TRUE,"GENERAL";"TAB2",#N/A,TRUE,"GENERAL";"TAB3",#N/A,TRUE,"GENERAL";"TAB4",#N/A,TRUE,"GENERAL";"TAB5",#N/A,TRUE,"GENERAL"}</definedName>
    <definedName name="____a5" hidden="1">{"TAB1",#N/A,TRUE,"GENERAL";"TAB2",#N/A,TRUE,"GENERAL";"TAB3",#N/A,TRUE,"GENERAL";"TAB4",#N/A,TRUE,"GENERAL";"TAB5",#N/A,TRUE,"GENERAL"}</definedName>
    <definedName name="____a6" localSheetId="16" hidden="1">{"TAB1",#N/A,TRUE,"GENERAL";"TAB2",#N/A,TRUE,"GENERAL";"TAB3",#N/A,TRUE,"GENERAL";"TAB4",#N/A,TRUE,"GENERAL";"TAB5",#N/A,TRUE,"GENERAL"}</definedName>
    <definedName name="____a6" hidden="1">{"TAB1",#N/A,TRUE,"GENERAL";"TAB2",#N/A,TRUE,"GENERAL";"TAB3",#N/A,TRUE,"GENERAL";"TAB4",#N/A,TRUE,"GENERAL";"TAB5",#N/A,TRUE,"GENERAL"}</definedName>
    <definedName name="____AFC1">#REF!</definedName>
    <definedName name="____AFC3">#REF!</definedName>
    <definedName name="____AFC5">#REF!</definedName>
    <definedName name="____aiu2">#REF!</definedName>
    <definedName name="____apu1">#REF!</definedName>
    <definedName name="____b2" localSheetId="16" hidden="1">{"TAB1",#N/A,TRUE,"GENERAL";"TAB2",#N/A,TRUE,"GENERAL";"TAB3",#N/A,TRUE,"GENERAL";"TAB4",#N/A,TRUE,"GENERAL";"TAB5",#N/A,TRUE,"GENERAL"}</definedName>
    <definedName name="____b2" hidden="1">{"TAB1",#N/A,TRUE,"GENERAL";"TAB2",#N/A,TRUE,"GENERAL";"TAB3",#N/A,TRUE,"GENERAL";"TAB4",#N/A,TRUE,"GENERAL";"TAB5",#N/A,TRUE,"GENERAL"}</definedName>
    <definedName name="____b3" localSheetId="16" hidden="1">{"TAB1",#N/A,TRUE,"GENERAL";"TAB2",#N/A,TRUE,"GENERAL";"TAB3",#N/A,TRUE,"GENERAL";"TAB4",#N/A,TRUE,"GENERAL";"TAB5",#N/A,TRUE,"GENERAL"}</definedName>
    <definedName name="____b3" hidden="1">{"TAB1",#N/A,TRUE,"GENERAL";"TAB2",#N/A,TRUE,"GENERAL";"TAB3",#N/A,TRUE,"GENERAL";"TAB4",#N/A,TRUE,"GENERAL";"TAB5",#N/A,TRUE,"GENERAL"}</definedName>
    <definedName name="____b4" localSheetId="16" hidden="1">{"TAB1",#N/A,TRUE,"GENERAL";"TAB2",#N/A,TRUE,"GENERAL";"TAB3",#N/A,TRUE,"GENERAL";"TAB4",#N/A,TRUE,"GENERAL";"TAB5",#N/A,TRUE,"GENERAL"}</definedName>
    <definedName name="____b4" hidden="1">{"TAB1",#N/A,TRUE,"GENERAL";"TAB2",#N/A,TRUE,"GENERAL";"TAB3",#N/A,TRUE,"GENERAL";"TAB4",#N/A,TRUE,"GENERAL";"TAB5",#N/A,TRUE,"GENERAL"}</definedName>
    <definedName name="____b5" localSheetId="16" hidden="1">{"TAB1",#N/A,TRUE,"GENERAL";"TAB2",#N/A,TRUE,"GENERAL";"TAB3",#N/A,TRUE,"GENERAL";"TAB4",#N/A,TRUE,"GENERAL";"TAB5",#N/A,TRUE,"GENERAL"}</definedName>
    <definedName name="____b5" hidden="1">{"TAB1",#N/A,TRUE,"GENERAL";"TAB2",#N/A,TRUE,"GENERAL";"TAB3",#N/A,TRUE,"GENERAL";"TAB4",#N/A,TRUE,"GENERAL";"TAB5",#N/A,TRUE,"GENERAL"}</definedName>
    <definedName name="____b6" localSheetId="16" hidden="1">{"TAB1",#N/A,TRUE,"GENERAL";"TAB2",#N/A,TRUE,"GENERAL";"TAB3",#N/A,TRUE,"GENERAL";"TAB4",#N/A,TRUE,"GENERAL";"TAB5",#N/A,TRUE,"GENERAL"}</definedName>
    <definedName name="____b6" hidden="1">{"TAB1",#N/A,TRUE,"GENERAL";"TAB2",#N/A,TRUE,"GENERAL";"TAB3",#N/A,TRUE,"GENERAL";"TAB4",#N/A,TRUE,"GENERAL";"TAB5",#N/A,TRUE,"GENERAL"}</definedName>
    <definedName name="____b7" localSheetId="16" hidden="1">{"via1",#N/A,TRUE,"general";"via2",#N/A,TRUE,"general";"via3",#N/A,TRUE,"general"}</definedName>
    <definedName name="____b7" hidden="1">{"via1",#N/A,TRUE,"general";"via2",#N/A,TRUE,"general";"via3",#N/A,TRUE,"general"}</definedName>
    <definedName name="____b8" localSheetId="16" hidden="1">{"via1",#N/A,TRUE,"general";"via2",#N/A,TRUE,"general";"via3",#N/A,TRUE,"general"}</definedName>
    <definedName name="____b8" hidden="1">{"via1",#N/A,TRUE,"general";"via2",#N/A,TRUE,"general";"via3",#N/A,TRUE,"general"}</definedName>
    <definedName name="____bb9" localSheetId="16" hidden="1">{"TAB1",#N/A,TRUE,"GENERAL";"TAB2",#N/A,TRUE,"GENERAL";"TAB3",#N/A,TRUE,"GENERAL";"TAB4",#N/A,TRUE,"GENERAL";"TAB5",#N/A,TRUE,"GENERAL"}</definedName>
    <definedName name="____bb9" hidden="1">{"TAB1",#N/A,TRUE,"GENERAL";"TAB2",#N/A,TRUE,"GENERAL";"TAB3",#N/A,TRUE,"GENERAL";"TAB4",#N/A,TRUE,"GENERAL";"TAB5",#N/A,TRUE,"GENERAL"}</definedName>
    <definedName name="____bgb5" localSheetId="16"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ua1">#REF!</definedName>
    <definedName name="____DMD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02">#REF!</definedName>
    <definedName name="____EXC1">#REF!</definedName>
    <definedName name="____EXC10">#REF!</definedName>
    <definedName name="____EXC11">#REF!</definedName>
    <definedName name="____EXC12">#REF!</definedName>
    <definedName name="____EXC2">#REF!</definedName>
    <definedName name="____exc24">#REF!</definedName>
    <definedName name="____EXC3">#REF!</definedName>
    <definedName name="____EXC4">#REF!</definedName>
    <definedName name="____exc40">#REF!</definedName>
    <definedName name="____EXC5">#REF!</definedName>
    <definedName name="____EXC6">#REF!</definedName>
    <definedName name="____EXC7">#REF!</definedName>
    <definedName name="____EXC8">#REF!</definedName>
    <definedName name="____EXC9">#REF!</definedName>
    <definedName name="____g2" localSheetId="16" hidden="1">{"TAB1",#N/A,TRUE,"GENERAL";"TAB2",#N/A,TRUE,"GENERAL";"TAB3",#N/A,TRUE,"GENERAL";"TAB4",#N/A,TRUE,"GENERAL";"TAB5",#N/A,TRUE,"GENERAL"}</definedName>
    <definedName name="____g2" hidden="1">{"TAB1",#N/A,TRUE,"GENERAL";"TAB2",#N/A,TRUE,"GENERAL";"TAB3",#N/A,TRUE,"GENERAL";"TAB4",#N/A,TRUE,"GENERAL";"TAB5",#N/A,TRUE,"GENERAL"}</definedName>
    <definedName name="____g3" localSheetId="16" hidden="1">{"via1",#N/A,TRUE,"general";"via2",#N/A,TRUE,"general";"via3",#N/A,TRUE,"general"}</definedName>
    <definedName name="____g3" hidden="1">{"via1",#N/A,TRUE,"general";"via2",#N/A,TRUE,"general";"via3",#N/A,TRUE,"general"}</definedName>
    <definedName name="____g4" localSheetId="16" hidden="1">{"via1",#N/A,TRUE,"general";"via2",#N/A,TRUE,"general";"via3",#N/A,TRUE,"general"}</definedName>
    <definedName name="____g4" hidden="1">{"via1",#N/A,TRUE,"general";"via2",#N/A,TRUE,"general";"via3",#N/A,TRUE,"general"}</definedName>
    <definedName name="____g5" localSheetId="16" hidden="1">{"via1",#N/A,TRUE,"general";"via2",#N/A,TRUE,"general";"via3",#N/A,TRUE,"general"}</definedName>
    <definedName name="____g5" hidden="1">{"via1",#N/A,TRUE,"general";"via2",#N/A,TRUE,"general";"via3",#N/A,TRUE,"general"}</definedName>
    <definedName name="____g6" localSheetId="16" hidden="1">{"via1",#N/A,TRUE,"general";"via2",#N/A,TRUE,"general";"via3",#N/A,TRUE,"general"}</definedName>
    <definedName name="____g6" hidden="1">{"via1",#N/A,TRUE,"general";"via2",#N/A,TRUE,"general";"via3",#N/A,TRUE,"general"}</definedName>
    <definedName name="____g7" localSheetId="16" hidden="1">{"TAB1",#N/A,TRUE,"GENERAL";"TAB2",#N/A,TRUE,"GENERAL";"TAB3",#N/A,TRUE,"GENERAL";"TAB4",#N/A,TRUE,"GENERAL";"TAB5",#N/A,TRUE,"GENERAL"}</definedName>
    <definedName name="____g7" hidden="1">{"TAB1",#N/A,TRUE,"GENERAL";"TAB2",#N/A,TRUE,"GENERAL";"TAB3",#N/A,TRUE,"GENERAL";"TAB4",#N/A,TRUE,"GENERAL";"TAB5",#N/A,TRUE,"GENERAL"}</definedName>
    <definedName name="____GR1" localSheetId="16" hidden="1">{"TAB1",#N/A,TRUE,"GENERAL";"TAB2",#N/A,TRUE,"GENERAL";"TAB3",#N/A,TRUE,"GENERAL";"TAB4",#N/A,TRUE,"GENERAL";"TAB5",#N/A,TRUE,"GENERAL"}</definedName>
    <definedName name="____GR1" hidden="1">{"TAB1",#N/A,TRUE,"GENERAL";"TAB2",#N/A,TRUE,"GENERAL";"TAB3",#N/A,TRUE,"GENERAL";"TAB4",#N/A,TRUE,"GENERAL";"TAB5",#N/A,TRUE,"GENERAL"}</definedName>
    <definedName name="____gtr4" localSheetId="16" hidden="1">{"via1",#N/A,TRUE,"general";"via2",#N/A,TRUE,"general";"via3",#N/A,TRUE,"general"}</definedName>
    <definedName name="____gtr4" hidden="1">{"via1",#N/A,TRUE,"general";"via2",#N/A,TRUE,"general";"via3",#N/A,TRUE,"general"}</definedName>
    <definedName name="____h2" localSheetId="16" hidden="1">{"via1",#N/A,TRUE,"general";"via2",#N/A,TRUE,"general";"via3",#N/A,TRUE,"general"}</definedName>
    <definedName name="____h2" hidden="1">{"via1",#N/A,TRUE,"general";"via2",#N/A,TRUE,"general";"via3",#N/A,TRUE,"general"}</definedName>
    <definedName name="____h3" localSheetId="16" hidden="1">{"via1",#N/A,TRUE,"general";"via2",#N/A,TRUE,"general";"via3",#N/A,TRUE,"general"}</definedName>
    <definedName name="____h3" hidden="1">{"via1",#N/A,TRUE,"general";"via2",#N/A,TRUE,"general";"via3",#N/A,TRUE,"general"}</definedName>
    <definedName name="____h4" localSheetId="16" hidden="1">{"TAB1",#N/A,TRUE,"GENERAL";"TAB2",#N/A,TRUE,"GENERAL";"TAB3",#N/A,TRUE,"GENERAL";"TAB4",#N/A,TRUE,"GENERAL";"TAB5",#N/A,TRUE,"GENERAL"}</definedName>
    <definedName name="____h4" hidden="1">{"TAB1",#N/A,TRUE,"GENERAL";"TAB2",#N/A,TRUE,"GENERAL";"TAB3",#N/A,TRUE,"GENERAL";"TAB4",#N/A,TRUE,"GENERAL";"TAB5",#N/A,TRUE,"GENERAL"}</definedName>
    <definedName name="____h5" localSheetId="16" hidden="1">{"TAB1",#N/A,TRUE,"GENERAL";"TAB2",#N/A,TRUE,"GENERAL";"TAB3",#N/A,TRUE,"GENERAL";"TAB4",#N/A,TRUE,"GENERAL";"TAB5",#N/A,TRUE,"GENERAL"}</definedName>
    <definedName name="____h5" hidden="1">{"TAB1",#N/A,TRUE,"GENERAL";"TAB2",#N/A,TRUE,"GENERAL";"TAB3",#N/A,TRUE,"GENERAL";"TAB4",#N/A,TRUE,"GENERAL";"TAB5",#N/A,TRUE,"GENERAL"}</definedName>
    <definedName name="____h6" localSheetId="16" hidden="1">{"via1",#N/A,TRUE,"general";"via2",#N/A,TRUE,"general";"via3",#N/A,TRUE,"general"}</definedName>
    <definedName name="____h6" hidden="1">{"via1",#N/A,TRUE,"general";"via2",#N/A,TRUE,"general";"via3",#N/A,TRUE,"general"}</definedName>
    <definedName name="____h7" localSheetId="16" hidden="1">{"TAB1",#N/A,TRUE,"GENERAL";"TAB2",#N/A,TRUE,"GENERAL";"TAB3",#N/A,TRUE,"GENERAL";"TAB4",#N/A,TRUE,"GENERAL";"TAB5",#N/A,TRUE,"GENERAL"}</definedName>
    <definedName name="____h7" hidden="1">{"TAB1",#N/A,TRUE,"GENERAL";"TAB2",#N/A,TRUE,"GENERAL";"TAB3",#N/A,TRUE,"GENERAL";"TAB4",#N/A,TRUE,"GENERAL";"TAB5",#N/A,TRUE,"GENERAL"}</definedName>
    <definedName name="____h8" localSheetId="16" hidden="1">{"via1",#N/A,TRUE,"general";"via2",#N/A,TRUE,"general";"via3",#N/A,TRUE,"general"}</definedName>
    <definedName name="____h8" hidden="1">{"via1",#N/A,TRUE,"general";"via2",#N/A,TRUE,"general";"via3",#N/A,TRUE,"general"}</definedName>
    <definedName name="____hfh7" localSheetId="16" hidden="1">{"via1",#N/A,TRUE,"general";"via2",#N/A,TRUE,"general";"via3",#N/A,TRUE,"general"}</definedName>
    <definedName name="____hfh7" hidden="1">{"via1",#N/A,TRUE,"general";"via2",#N/A,TRUE,"general";"via3",#N/A,TRUE,"general"}</definedName>
    <definedName name="____i4" localSheetId="16" hidden="1">{"via1",#N/A,TRUE,"general";"via2",#N/A,TRUE,"general";"via3",#N/A,TRUE,"general"}</definedName>
    <definedName name="____i4" hidden="1">{"via1",#N/A,TRUE,"general";"via2",#N/A,TRUE,"general";"via3",#N/A,TRUE,"general"}</definedName>
    <definedName name="____i5" localSheetId="16" hidden="1">{"TAB1",#N/A,TRUE,"GENERAL";"TAB2",#N/A,TRUE,"GENERAL";"TAB3",#N/A,TRUE,"GENERAL";"TAB4",#N/A,TRUE,"GENERAL";"TAB5",#N/A,TRUE,"GENERAL"}</definedName>
    <definedName name="____i5" hidden="1">{"TAB1",#N/A,TRUE,"GENERAL";"TAB2",#N/A,TRUE,"GENERAL";"TAB3",#N/A,TRUE,"GENERAL";"TAB4",#N/A,TRUE,"GENERAL";"TAB5",#N/A,TRUE,"GENERAL"}</definedName>
    <definedName name="____i6" localSheetId="16" hidden="1">{"TAB1",#N/A,TRUE,"GENERAL";"TAB2",#N/A,TRUE,"GENERAL";"TAB3",#N/A,TRUE,"GENERAL";"TAB4",#N/A,TRUE,"GENERAL";"TAB5",#N/A,TRUE,"GENERAL"}</definedName>
    <definedName name="____i6" hidden="1">{"TAB1",#N/A,TRUE,"GENERAL";"TAB2",#N/A,TRUE,"GENERAL";"TAB3",#N/A,TRUE,"GENERAL";"TAB4",#N/A,TRUE,"GENERAL";"TAB5",#N/A,TRUE,"GENERAL"}</definedName>
    <definedName name="____i7" localSheetId="16" hidden="1">{"via1",#N/A,TRUE,"general";"via2",#N/A,TRUE,"general";"via3",#N/A,TRUE,"general"}</definedName>
    <definedName name="____i7" hidden="1">{"via1",#N/A,TRUE,"general";"via2",#N/A,TRUE,"general";"via3",#N/A,TRUE,"general"}</definedName>
    <definedName name="____i77" localSheetId="16" hidden="1">{"TAB1",#N/A,TRUE,"GENERAL";"TAB2",#N/A,TRUE,"GENERAL";"TAB3",#N/A,TRUE,"GENERAL";"TAB4",#N/A,TRUE,"GENERAL";"TAB5",#N/A,TRUE,"GENERAL"}</definedName>
    <definedName name="____i77" hidden="1">{"TAB1",#N/A,TRUE,"GENERAL";"TAB2",#N/A,TRUE,"GENERAL";"TAB3",#N/A,TRUE,"GENERAL";"TAB4",#N/A,TRUE,"GENERAL";"TAB5",#N/A,TRUE,"GENERAL"}</definedName>
    <definedName name="____i8" localSheetId="16" hidden="1">{"via1",#N/A,TRUE,"general";"via2",#N/A,TRUE,"general";"via3",#N/A,TRUE,"general"}</definedName>
    <definedName name="____i8" hidden="1">{"via1",#N/A,TRUE,"general";"via2",#N/A,TRUE,"general";"via3",#N/A,TRUE,"general"}</definedName>
    <definedName name="____i9" localSheetId="16" hidden="1">{"TAB1",#N/A,TRUE,"GENERAL";"TAB2",#N/A,TRUE,"GENERAL";"TAB3",#N/A,TRUE,"GENERAL";"TAB4",#N/A,TRUE,"GENERAL";"TAB5",#N/A,TRUE,"GENERAL"}</definedName>
    <definedName name="____i9" hidden="1">{"TAB1",#N/A,TRUE,"GENERAL";"TAB2",#N/A,TRUE,"GENERAL";"TAB3",#N/A,TRUE,"GENERAL";"TAB4",#N/A,TRUE,"GENERAL";"TAB5",#N/A,TRUE,"GENERAL"}</definedName>
    <definedName name="____k3" localSheetId="16" hidden="1">{"TAB1",#N/A,TRUE,"GENERAL";"TAB2",#N/A,TRUE,"GENERAL";"TAB3",#N/A,TRUE,"GENERAL";"TAB4",#N/A,TRUE,"GENERAL";"TAB5",#N/A,TRUE,"GENERAL"}</definedName>
    <definedName name="____k3" hidden="1">{"TAB1",#N/A,TRUE,"GENERAL";"TAB2",#N/A,TRUE,"GENERAL";"TAB3",#N/A,TRUE,"GENERAL";"TAB4",#N/A,TRUE,"GENERAL";"TAB5",#N/A,TRUE,"GENERAL"}</definedName>
    <definedName name="____k4" localSheetId="16" hidden="1">{"via1",#N/A,TRUE,"general";"via2",#N/A,TRUE,"general";"via3",#N/A,TRUE,"general"}</definedName>
    <definedName name="____k4" hidden="1">{"via1",#N/A,TRUE,"general";"via2",#N/A,TRUE,"general";"via3",#N/A,TRUE,"general"}</definedName>
    <definedName name="____k5" localSheetId="16" hidden="1">{"via1",#N/A,TRUE,"general";"via2",#N/A,TRUE,"general";"via3",#N/A,TRUE,"general"}</definedName>
    <definedName name="____k5" hidden="1">{"via1",#N/A,TRUE,"general";"via2",#N/A,TRUE,"general";"via3",#N/A,TRUE,"general"}</definedName>
    <definedName name="____k6" localSheetId="16" hidden="1">{"TAB1",#N/A,TRUE,"GENERAL";"TAB2",#N/A,TRUE,"GENERAL";"TAB3",#N/A,TRUE,"GENERAL";"TAB4",#N/A,TRUE,"GENERAL";"TAB5",#N/A,TRUE,"GENERAL"}</definedName>
    <definedName name="____k6" hidden="1">{"TAB1",#N/A,TRUE,"GENERAL";"TAB2",#N/A,TRUE,"GENERAL";"TAB3",#N/A,TRUE,"GENERAL";"TAB4",#N/A,TRUE,"GENERAL";"TAB5",#N/A,TRUE,"GENERAL"}</definedName>
    <definedName name="____k7" localSheetId="16" hidden="1">{"via1",#N/A,TRUE,"general";"via2",#N/A,TRUE,"general";"via3",#N/A,TRUE,"general"}</definedName>
    <definedName name="____k7" hidden="1">{"via1",#N/A,TRUE,"general";"via2",#N/A,TRUE,"general";"via3",#N/A,TRUE,"general"}</definedName>
    <definedName name="____k8" localSheetId="16" hidden="1">{"via1",#N/A,TRUE,"general";"via2",#N/A,TRUE,"general";"via3",#N/A,TRUE,"general"}</definedName>
    <definedName name="____k8" hidden="1">{"via1",#N/A,TRUE,"general";"via2",#N/A,TRUE,"general";"via3",#N/A,TRUE,"general"}</definedName>
    <definedName name="____k9" localSheetId="16" hidden="1">{"TAB1",#N/A,TRUE,"GENERAL";"TAB2",#N/A,TRUE,"GENERAL";"TAB3",#N/A,TRUE,"GENERAL";"TAB4",#N/A,TRUE,"GENERAL";"TAB5",#N/A,TRUE,"GENERAL"}</definedName>
    <definedName name="____k9" hidden="1">{"TAB1",#N/A,TRUE,"GENERAL";"TAB2",#N/A,TRUE,"GENERAL";"TAB3",#N/A,TRUE,"GENERAL";"TAB4",#N/A,TRUE,"GENERAL";"TAB5",#N/A,TRUE,"GENERAL"}</definedName>
    <definedName name="____kjk6" localSheetId="16" hidden="1">{"TAB1",#N/A,TRUE,"GENERAL";"TAB2",#N/A,TRUE,"GENERAL";"TAB3",#N/A,TRUE,"GENERAL";"TAB4",#N/A,TRUE,"GENERAL";"TAB5",#N/A,TRUE,"GENERAL"}</definedName>
    <definedName name="____kjk6" hidden="1">{"TAB1",#N/A,TRUE,"GENERAL";"TAB2",#N/A,TRUE,"GENERAL";"TAB3",#N/A,TRUE,"GENERAL";"TAB4",#N/A,TRUE,"GENERAL";"TAB5",#N/A,TRUE,"GENERAL"}</definedName>
    <definedName name="____m3" localSheetId="16" hidden="1">{"via1",#N/A,TRUE,"general";"via2",#N/A,TRUE,"general";"via3",#N/A,TRUE,"general"}</definedName>
    <definedName name="____m3" hidden="1">{"via1",#N/A,TRUE,"general";"via2",#N/A,TRUE,"general";"via3",#N/A,TRUE,"general"}</definedName>
    <definedName name="____m4" localSheetId="16" hidden="1">{"TAB1",#N/A,TRUE,"GENERAL";"TAB2",#N/A,TRUE,"GENERAL";"TAB3",#N/A,TRUE,"GENERAL";"TAB4",#N/A,TRUE,"GENERAL";"TAB5",#N/A,TRUE,"GENERAL"}</definedName>
    <definedName name="____m4" hidden="1">{"TAB1",#N/A,TRUE,"GENERAL";"TAB2",#N/A,TRUE,"GENERAL";"TAB3",#N/A,TRUE,"GENERAL";"TAB4",#N/A,TRUE,"GENERAL";"TAB5",#N/A,TRUE,"GENERAL"}</definedName>
    <definedName name="____m5" localSheetId="16" hidden="1">{"via1",#N/A,TRUE,"general";"via2",#N/A,TRUE,"general";"via3",#N/A,TRUE,"general"}</definedName>
    <definedName name="____m5" hidden="1">{"via1",#N/A,TRUE,"general";"via2",#N/A,TRUE,"general";"via3",#N/A,TRUE,"general"}</definedName>
    <definedName name="____m6" localSheetId="16" hidden="1">{"TAB1",#N/A,TRUE,"GENERAL";"TAB2",#N/A,TRUE,"GENERAL";"TAB3",#N/A,TRUE,"GENERAL";"TAB4",#N/A,TRUE,"GENERAL";"TAB5",#N/A,TRUE,"GENERAL"}</definedName>
    <definedName name="____m6" hidden="1">{"TAB1",#N/A,TRUE,"GENERAL";"TAB2",#N/A,TRUE,"GENERAL";"TAB3",#N/A,TRUE,"GENERAL";"TAB4",#N/A,TRUE,"GENERAL";"TAB5",#N/A,TRUE,"GENERAL"}</definedName>
    <definedName name="____m7" localSheetId="16" hidden="1">{"TAB1",#N/A,TRUE,"GENERAL";"TAB2",#N/A,TRUE,"GENERAL";"TAB3",#N/A,TRUE,"GENERAL";"TAB4",#N/A,TRUE,"GENERAL";"TAB5",#N/A,TRUE,"GENERAL"}</definedName>
    <definedName name="____m7" hidden="1">{"TAB1",#N/A,TRUE,"GENERAL";"TAB2",#N/A,TRUE,"GENERAL";"TAB3",#N/A,TRUE,"GENERAL";"TAB4",#N/A,TRUE,"GENERAL";"TAB5",#N/A,TRUE,"GENERAL"}</definedName>
    <definedName name="____m8" localSheetId="16" hidden="1">{"via1",#N/A,TRUE,"general";"via2",#N/A,TRUE,"general";"via3",#N/A,TRUE,"general"}</definedName>
    <definedName name="____m8" hidden="1">{"via1",#N/A,TRUE,"general";"via2",#N/A,TRUE,"general";"via3",#N/A,TRUE,"general"}</definedName>
    <definedName name="____m9" localSheetId="16" hidden="1">{"via1",#N/A,TRUE,"general";"via2",#N/A,TRUE,"general";"via3",#N/A,TRUE,"general"}</definedName>
    <definedName name="____m9" hidden="1">{"via1",#N/A,TRUE,"general";"via2",#N/A,TRUE,"general";"via3",#N/A,TRUE,"general"}</definedName>
    <definedName name="____MA2">#REF!</definedName>
    <definedName name="____n3" localSheetId="16" hidden="1">{"TAB1",#N/A,TRUE,"GENERAL";"TAB2",#N/A,TRUE,"GENERAL";"TAB3",#N/A,TRUE,"GENERAL";"TAB4",#N/A,TRUE,"GENERAL";"TAB5",#N/A,TRUE,"GENERAL"}</definedName>
    <definedName name="____n3" hidden="1">{"TAB1",#N/A,TRUE,"GENERAL";"TAB2",#N/A,TRUE,"GENERAL";"TAB3",#N/A,TRUE,"GENERAL";"TAB4",#N/A,TRUE,"GENERAL";"TAB5",#N/A,TRUE,"GENERAL"}</definedName>
    <definedName name="____n4" localSheetId="16" hidden="1">{"via1",#N/A,TRUE,"general";"via2",#N/A,TRUE,"general";"via3",#N/A,TRUE,"general"}</definedName>
    <definedName name="____n4" hidden="1">{"via1",#N/A,TRUE,"general";"via2",#N/A,TRUE,"general";"via3",#N/A,TRUE,"general"}</definedName>
    <definedName name="____n5" localSheetId="16" hidden="1">{"TAB1",#N/A,TRUE,"GENERAL";"TAB2",#N/A,TRUE,"GENERAL";"TAB3",#N/A,TRUE,"GENERAL";"TAB4",#N/A,TRUE,"GENERAL";"TAB5",#N/A,TRUE,"GENERAL"}</definedName>
    <definedName name="____n5" hidden="1">{"TAB1",#N/A,TRUE,"GENERAL";"TAB2",#N/A,TRUE,"GENERAL";"TAB3",#N/A,TRUE,"GENERAL";"TAB4",#N/A,TRUE,"GENERAL";"TAB5",#N/A,TRUE,"GENERAL"}</definedName>
    <definedName name="____nyn7" localSheetId="16" hidden="1">{"via1",#N/A,TRUE,"general";"via2",#N/A,TRUE,"general";"via3",#N/A,TRUE,"general"}</definedName>
    <definedName name="____nyn7" hidden="1">{"via1",#N/A,TRUE,"general";"via2",#N/A,TRUE,"general";"via3",#N/A,TRUE,"general"}</definedName>
    <definedName name="____o4" localSheetId="16" hidden="1">{"via1",#N/A,TRUE,"general";"via2",#N/A,TRUE,"general";"via3",#N/A,TRUE,"general"}</definedName>
    <definedName name="____o4" hidden="1">{"via1",#N/A,TRUE,"general";"via2",#N/A,TRUE,"general";"via3",#N/A,TRUE,"general"}</definedName>
    <definedName name="____o5" localSheetId="16" hidden="1">{"TAB1",#N/A,TRUE,"GENERAL";"TAB2",#N/A,TRUE,"GENERAL";"TAB3",#N/A,TRUE,"GENERAL";"TAB4",#N/A,TRUE,"GENERAL";"TAB5",#N/A,TRUE,"GENERAL"}</definedName>
    <definedName name="____o5" hidden="1">{"TAB1",#N/A,TRUE,"GENERAL";"TAB2",#N/A,TRUE,"GENERAL";"TAB3",#N/A,TRUE,"GENERAL";"TAB4",#N/A,TRUE,"GENERAL";"TAB5",#N/A,TRUE,"GENERAL"}</definedName>
    <definedName name="____o6" localSheetId="16" hidden="1">{"TAB1",#N/A,TRUE,"GENERAL";"TAB2",#N/A,TRUE,"GENERAL";"TAB3",#N/A,TRUE,"GENERAL";"TAB4",#N/A,TRUE,"GENERAL";"TAB5",#N/A,TRUE,"GENERAL"}</definedName>
    <definedName name="____o6" hidden="1">{"TAB1",#N/A,TRUE,"GENERAL";"TAB2",#N/A,TRUE,"GENERAL";"TAB3",#N/A,TRUE,"GENERAL";"TAB4",#N/A,TRUE,"GENERAL";"TAB5",#N/A,TRUE,"GENERAL"}</definedName>
    <definedName name="____o7" localSheetId="16" hidden="1">{"TAB1",#N/A,TRUE,"GENERAL";"TAB2",#N/A,TRUE,"GENERAL";"TAB3",#N/A,TRUE,"GENERAL";"TAB4",#N/A,TRUE,"GENERAL";"TAB5",#N/A,TRUE,"GENERAL"}</definedName>
    <definedName name="____o7" hidden="1">{"TAB1",#N/A,TRUE,"GENERAL";"TAB2",#N/A,TRUE,"GENERAL";"TAB3",#N/A,TRUE,"GENERAL";"TAB4",#N/A,TRUE,"GENERAL";"TAB5",#N/A,TRUE,"GENERAL"}</definedName>
    <definedName name="____o8" localSheetId="16" hidden="1">{"via1",#N/A,TRUE,"general";"via2",#N/A,TRUE,"general";"via3",#N/A,TRUE,"general"}</definedName>
    <definedName name="____o8" hidden="1">{"via1",#N/A,TRUE,"general";"via2",#N/A,TRUE,"general";"via3",#N/A,TRUE,"general"}</definedName>
    <definedName name="____o9" localSheetId="16" hidden="1">{"TAB1",#N/A,TRUE,"GENERAL";"TAB2",#N/A,TRUE,"GENERAL";"TAB3",#N/A,TRUE,"GENERAL";"TAB4",#N/A,TRUE,"GENERAL";"TAB5",#N/A,TRUE,"GENERAL"}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16" hidden="1">{"via1",#N/A,TRUE,"general";"via2",#N/A,TRUE,"general";"via3",#N/A,TRUE,"general"}</definedName>
    <definedName name="____p6" hidden="1">{"via1",#N/A,TRUE,"general";"via2",#N/A,TRUE,"general";"via3",#N/A,TRUE,"general"}</definedName>
    <definedName name="____p7" localSheetId="16" hidden="1">{"via1",#N/A,TRUE,"general";"via2",#N/A,TRUE,"general";"via3",#N/A,TRUE,"general"}</definedName>
    <definedName name="____p7" hidden="1">{"via1",#N/A,TRUE,"general";"via2",#N/A,TRUE,"general";"via3",#N/A,TRUE,"general"}</definedName>
    <definedName name="____p8" localSheetId="16"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 localSheetId="16"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r4r" localSheetId="16" hidden="1">{"via1",#N/A,TRUE,"general";"via2",#N/A,TRUE,"general";"via3",#N/A,TRUE,"general"}</definedName>
    <definedName name="____r4r" hidden="1">{"via1",#N/A,TRUE,"general";"via2",#N/A,TRUE,"general";"via3",#N/A,TRUE,"general"}</definedName>
    <definedName name="____Rc">#REF!</definedName>
    <definedName name="____rtu6" localSheetId="16" hidden="1">{"via1",#N/A,TRUE,"general";"via2",#N/A,TRUE,"general";"via3",#N/A,TRUE,"general"}</definedName>
    <definedName name="____rtu6" hidden="1">{"via1",#N/A,TRUE,"general";"via2",#N/A,TRUE,"general";"via3",#N/A,TRUE,"general"}</definedName>
    <definedName name="____s1" localSheetId="16" hidden="1">{"via1",#N/A,TRUE,"general";"via2",#N/A,TRUE,"general";"via3",#N/A,TRUE,"general"}</definedName>
    <definedName name="____s1" hidden="1">{"via1",#N/A,TRUE,"general";"via2",#N/A,TRUE,"general";"via3",#N/A,TRUE,"general"}</definedName>
    <definedName name="____s2" localSheetId="16" hidden="1">{"TAB1",#N/A,TRUE,"GENERAL";"TAB2",#N/A,TRUE,"GENERAL";"TAB3",#N/A,TRUE,"GENERAL";"TAB4",#N/A,TRUE,"GENERAL";"TAB5",#N/A,TRUE,"GENERAL"}</definedName>
    <definedName name="____s2" hidden="1">{"TAB1",#N/A,TRUE,"GENERAL";"TAB2",#N/A,TRUE,"GENERAL";"TAB3",#N/A,TRUE,"GENERAL";"TAB4",#N/A,TRUE,"GENERAL";"TAB5",#N/A,TRUE,"GENERAL"}</definedName>
    <definedName name="____s3" localSheetId="16" hidden="1">{"TAB1",#N/A,TRUE,"GENERAL";"TAB2",#N/A,TRUE,"GENERAL";"TAB3",#N/A,TRUE,"GENERAL";"TAB4",#N/A,TRUE,"GENERAL";"TAB5",#N/A,TRUE,"GENERAL"}</definedName>
    <definedName name="____s3" hidden="1">{"TAB1",#N/A,TRUE,"GENERAL";"TAB2",#N/A,TRUE,"GENERAL";"TAB3",#N/A,TRUE,"GENERAL";"TAB4",#N/A,TRUE,"GENERAL";"TAB5",#N/A,TRUE,"GENERAL"}</definedName>
    <definedName name="____s4" localSheetId="16" hidden="1">{"via1",#N/A,TRUE,"general";"via2",#N/A,TRUE,"general";"via3",#N/A,TRUE,"general"}</definedName>
    <definedName name="____s4" hidden="1">{"via1",#N/A,TRUE,"general";"via2",#N/A,TRUE,"general";"via3",#N/A,TRUE,"general"}</definedName>
    <definedName name="____s5" localSheetId="16" hidden="1">{"via1",#N/A,TRUE,"general";"via2",#N/A,TRUE,"general";"via3",#N/A,TRUE,"general"}</definedName>
    <definedName name="____s5" hidden="1">{"via1",#N/A,TRUE,"general";"via2",#N/A,TRUE,"general";"via3",#N/A,TRUE,"general"}</definedName>
    <definedName name="____s6" localSheetId="16" hidden="1">{"TAB1",#N/A,TRUE,"GENERAL";"TAB2",#N/A,TRUE,"GENERAL";"TAB3",#N/A,TRUE,"GENERAL";"TAB4",#N/A,TRUE,"GENERAL";"TAB5",#N/A,TRUE,"GENERAL"}</definedName>
    <definedName name="____s6" hidden="1">{"TAB1",#N/A,TRUE,"GENERAL";"TAB2",#N/A,TRUE,"GENERAL";"TAB3",#N/A,TRUE,"GENERAL";"TAB4",#N/A,TRUE,"GENERAL";"TAB5",#N/A,TRUE,"GENERAL"}</definedName>
    <definedName name="____s7" localSheetId="16" hidden="1">{"via1",#N/A,TRUE,"general";"via2",#N/A,TRUE,"general";"via3",#N/A,TRUE,"general"}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t3" localSheetId="16" hidden="1">{"TAB1",#N/A,TRUE,"GENERAL";"TAB2",#N/A,TRUE,"GENERAL";"TAB3",#N/A,TRUE,"GENERAL";"TAB4",#N/A,TRUE,"GENERAL";"TAB5",#N/A,TRUE,"GENERAL"}</definedName>
    <definedName name="____t3" hidden="1">{"TAB1",#N/A,TRUE,"GENERAL";"TAB2",#N/A,TRUE,"GENERAL";"TAB3",#N/A,TRUE,"GENERAL";"TAB4",#N/A,TRUE,"GENERAL";"TAB5",#N/A,TRUE,"GENERAL"}</definedName>
    <definedName name="____t4" localSheetId="16" hidden="1">{"via1",#N/A,TRUE,"general";"via2",#N/A,TRUE,"general";"via3",#N/A,TRUE,"general"}</definedName>
    <definedName name="____t4" hidden="1">{"via1",#N/A,TRUE,"general";"via2",#N/A,TRUE,"general";"via3",#N/A,TRUE,"general"}</definedName>
    <definedName name="____t5" localSheetId="16" hidden="1">{"TAB1",#N/A,TRUE,"GENERAL";"TAB2",#N/A,TRUE,"GENERAL";"TAB3",#N/A,TRUE,"GENERAL";"TAB4",#N/A,TRUE,"GENERAL";"TAB5",#N/A,TRUE,"GENERAL"}</definedName>
    <definedName name="____t5" hidden="1">{"TAB1",#N/A,TRUE,"GENERAL";"TAB2",#N/A,TRUE,"GENERAL";"TAB3",#N/A,TRUE,"GENERAL";"TAB4",#N/A,TRUE,"GENERAL";"TAB5",#N/A,TRUE,"GENERAL"}</definedName>
    <definedName name="____t6" localSheetId="16" hidden="1">{"via1",#N/A,TRUE,"general";"via2",#N/A,TRUE,"general";"via3",#N/A,TRUE,"general"}</definedName>
    <definedName name="____t6" hidden="1">{"via1",#N/A,TRUE,"general";"via2",#N/A,TRUE,"general";"via3",#N/A,TRUE,"general"}</definedName>
    <definedName name="____t66" localSheetId="16" hidden="1">{"TAB1",#N/A,TRUE,"GENERAL";"TAB2",#N/A,TRUE,"GENERAL";"TAB3",#N/A,TRUE,"GENERAL";"TAB4",#N/A,TRUE,"GENERAL";"TAB5",#N/A,TRUE,"GENERAL"}</definedName>
    <definedName name="____t66" hidden="1">{"TAB1",#N/A,TRUE,"GENERAL";"TAB2",#N/A,TRUE,"GENERAL";"TAB3",#N/A,TRUE,"GENERAL";"TAB4",#N/A,TRUE,"GENERAL";"TAB5",#N/A,TRUE,"GENERAL"}</definedName>
    <definedName name="____t7" localSheetId="16" hidden="1">{"via1",#N/A,TRUE,"general";"via2",#N/A,TRUE,"general";"via3",#N/A,TRUE,"general"}</definedName>
    <definedName name="____t7" hidden="1">{"via1",#N/A,TRUE,"general";"via2",#N/A,TRUE,"general";"via3",#N/A,TRUE,"general"}</definedName>
    <definedName name="____t77" localSheetId="16" hidden="1">{"TAB1",#N/A,TRUE,"GENERAL";"TAB2",#N/A,TRUE,"GENERAL";"TAB3",#N/A,TRUE,"GENERAL";"TAB4",#N/A,TRUE,"GENERAL";"TAB5",#N/A,TRUE,"GENERAL"}</definedName>
    <definedName name="____t77" hidden="1">{"TAB1",#N/A,TRUE,"GENERAL";"TAB2",#N/A,TRUE,"GENERAL";"TAB3",#N/A,TRUE,"GENERAL";"TAB4",#N/A,TRUE,"GENERAL";"TAB5",#N/A,TRUE,"GENERAL"}</definedName>
    <definedName name="____t8" localSheetId="16" hidden="1">{"TAB1",#N/A,TRUE,"GENERAL";"TAB2",#N/A,TRUE,"GENERAL";"TAB3",#N/A,TRUE,"GENERAL";"TAB4",#N/A,TRUE,"GENERAL";"TAB5",#N/A,TRUE,"GENERAL"}</definedName>
    <definedName name="____t8" hidden="1">{"TAB1",#N/A,TRUE,"GENERAL";"TAB2",#N/A,TRUE,"GENERAL";"TAB3",#N/A,TRUE,"GENERAL";"TAB4",#N/A,TRUE,"GENERAL";"TAB5",#N/A,TRUE,"GENERAL"}</definedName>
    <definedName name="____t88" localSheetId="16" hidden="1">{"via1",#N/A,TRUE,"general";"via2",#N/A,TRUE,"general";"via3",#N/A,TRUE,"general"}</definedName>
    <definedName name="____t88" hidden="1">{"via1",#N/A,TRUE,"general";"via2",#N/A,TRUE,"general";"via3",#N/A,TRUE,"general"}</definedName>
    <definedName name="____t9" localSheetId="16" hidden="1">{"TAB1",#N/A,TRUE,"GENERAL";"TAB2",#N/A,TRUE,"GENERAL";"TAB3",#N/A,TRUE,"GENERAL";"TAB4",#N/A,TRUE,"GENERAL";"TAB5",#N/A,TRUE,"GENERAL"}</definedName>
    <definedName name="____t9" hidden="1">{"TAB1",#N/A,TRUE,"GENERAL";"TAB2",#N/A,TRUE,"GENERAL";"TAB3",#N/A,TRUE,"GENERAL";"TAB4",#N/A,TRUE,"GENERAL";"TAB5",#N/A,TRUE,"GENERAL"}</definedName>
    <definedName name="____t99" localSheetId="16"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u4" localSheetId="16" hidden="1">{"TAB1",#N/A,TRUE,"GENERAL";"TAB2",#N/A,TRUE,"GENERAL";"TAB3",#N/A,TRUE,"GENERAL";"TAB4",#N/A,TRUE,"GENERAL";"TAB5",#N/A,TRUE,"GENERAL"}</definedName>
    <definedName name="____u4" hidden="1">{"TAB1",#N/A,TRUE,"GENERAL";"TAB2",#N/A,TRUE,"GENERAL";"TAB3",#N/A,TRUE,"GENERAL";"TAB4",#N/A,TRUE,"GENERAL";"TAB5",#N/A,TRUE,"GENERAL"}</definedName>
    <definedName name="____u5" localSheetId="16" hidden="1">{"TAB1",#N/A,TRUE,"GENERAL";"TAB2",#N/A,TRUE,"GENERAL";"TAB3",#N/A,TRUE,"GENERAL";"TAB4",#N/A,TRUE,"GENERAL";"TAB5",#N/A,TRUE,"GENERAL"}</definedName>
    <definedName name="____u5" hidden="1">{"TAB1",#N/A,TRUE,"GENERAL";"TAB2",#N/A,TRUE,"GENERAL";"TAB3",#N/A,TRUE,"GENERAL";"TAB4",#N/A,TRUE,"GENERAL";"TAB5",#N/A,TRUE,"GENERAL"}</definedName>
    <definedName name="____u6" localSheetId="16" hidden="1">{"TAB1",#N/A,TRUE,"GENERAL";"TAB2",#N/A,TRUE,"GENERAL";"TAB3",#N/A,TRUE,"GENERAL";"TAB4",#N/A,TRUE,"GENERAL";"TAB5",#N/A,TRUE,"GENERAL"}</definedName>
    <definedName name="____u6" hidden="1">{"TAB1",#N/A,TRUE,"GENERAL";"TAB2",#N/A,TRUE,"GENERAL";"TAB3",#N/A,TRUE,"GENERAL";"TAB4",#N/A,TRUE,"GENERAL";"TAB5",#N/A,TRUE,"GENERAL"}</definedName>
    <definedName name="____u7" localSheetId="16" hidden="1">{"via1",#N/A,TRUE,"general";"via2",#N/A,TRUE,"general";"via3",#N/A,TRUE,"general"}</definedName>
    <definedName name="____u7" hidden="1">{"via1",#N/A,TRUE,"general";"via2",#N/A,TRUE,"general";"via3",#N/A,TRUE,"general"}</definedName>
    <definedName name="____u8" localSheetId="16" hidden="1">{"TAB1",#N/A,TRUE,"GENERAL";"TAB2",#N/A,TRUE,"GENERAL";"TAB3",#N/A,TRUE,"GENERAL";"TAB4",#N/A,TRUE,"GENERAL";"TAB5",#N/A,TRUE,"GENERAL"}</definedName>
    <definedName name="____u8" hidden="1">{"TAB1",#N/A,TRUE,"GENERAL";"TAB2",#N/A,TRUE,"GENERAL";"TAB3",#N/A,TRUE,"GENERAL";"TAB4",#N/A,TRUE,"GENERAL";"TAB5",#N/A,TRUE,"GENERAL"}</definedName>
    <definedName name="____u9" localSheetId="16" hidden="1">{"TAB1",#N/A,TRUE,"GENERAL";"TAB2",#N/A,TRUE,"GENERAL";"TAB3",#N/A,TRUE,"GENERAL";"TAB4",#N/A,TRUE,"GENERAL";"TAB5",#N/A,TRUE,"GENERAL"}</definedName>
    <definedName name="____u9" hidden="1">{"TAB1",#N/A,TRUE,"GENERAL";"TAB2",#N/A,TRUE,"GENERAL";"TAB3",#N/A,TRUE,"GENERAL";"TAB4",#N/A,TRUE,"GENERAL";"TAB5",#N/A,TRUE,"GENERAL"}</definedName>
    <definedName name="____ur7" localSheetId="16" hidden="1">{"TAB1",#N/A,TRUE,"GENERAL";"TAB2",#N/A,TRUE,"GENERAL";"TAB3",#N/A,TRUE,"GENERAL";"TAB4",#N/A,TRUE,"GENERAL";"TAB5",#N/A,TRUE,"GENERAL"}</definedName>
    <definedName name="____ur7" hidden="1">{"TAB1",#N/A,TRUE,"GENERAL";"TAB2",#N/A,TRUE,"GENERAL";"TAB3",#N/A,TRUE,"GENERAL";"TAB4",#N/A,TRUE,"GENERAL";"TAB5",#N/A,TRUE,"GENERAL"}</definedName>
    <definedName name="____v2" localSheetId="16" hidden="1">{"via1",#N/A,TRUE,"general";"via2",#N/A,TRUE,"general";"via3",#N/A,TRUE,"general"}</definedName>
    <definedName name="____v2" hidden="1">{"via1",#N/A,TRUE,"general";"via2",#N/A,TRUE,"general";"via3",#N/A,TRUE,"general"}</definedName>
    <definedName name="____v3" localSheetId="16" hidden="1">{"TAB1",#N/A,TRUE,"GENERAL";"TAB2",#N/A,TRUE,"GENERAL";"TAB3",#N/A,TRUE,"GENERAL";"TAB4",#N/A,TRUE,"GENERAL";"TAB5",#N/A,TRUE,"GENERAL"}</definedName>
    <definedName name="____v3" hidden="1">{"TAB1",#N/A,TRUE,"GENERAL";"TAB2",#N/A,TRUE,"GENERAL";"TAB3",#N/A,TRUE,"GENERAL";"TAB4",#N/A,TRUE,"GENERAL";"TAB5",#N/A,TRUE,"GENERAL"}</definedName>
    <definedName name="____v4" localSheetId="16" hidden="1">{"TAB1",#N/A,TRUE,"GENERAL";"TAB2",#N/A,TRUE,"GENERAL";"TAB3",#N/A,TRUE,"GENERAL";"TAB4",#N/A,TRUE,"GENERAL";"TAB5",#N/A,TRUE,"GENERAL"}</definedName>
    <definedName name="____v4" hidden="1">{"TAB1",#N/A,TRUE,"GENERAL";"TAB2",#N/A,TRUE,"GENERAL";"TAB3",#N/A,TRUE,"GENERAL";"TAB4",#N/A,TRUE,"GENERAL";"TAB5",#N/A,TRUE,"GENERAL"}</definedName>
    <definedName name="____v5" localSheetId="16" hidden="1">{"TAB1",#N/A,TRUE,"GENERAL";"TAB2",#N/A,TRUE,"GENERAL";"TAB3",#N/A,TRUE,"GENERAL";"TAB4",#N/A,TRUE,"GENERAL";"TAB5",#N/A,TRUE,"GENERAL"}</definedName>
    <definedName name="____v5" hidden="1">{"TAB1",#N/A,TRUE,"GENERAL";"TAB2",#N/A,TRUE,"GENERAL";"TAB3",#N/A,TRUE,"GENERAL";"TAB4",#N/A,TRUE,"GENERAL";"TAB5",#N/A,TRUE,"GENERAL"}</definedName>
    <definedName name="____v6" localSheetId="16" hidden="1">{"TAB1",#N/A,TRUE,"GENERAL";"TAB2",#N/A,TRUE,"GENERAL";"TAB3",#N/A,TRUE,"GENERAL";"TAB4",#N/A,TRUE,"GENERAL";"TAB5",#N/A,TRUE,"GENERAL"}</definedName>
    <definedName name="____v6" hidden="1">{"TAB1",#N/A,TRUE,"GENERAL";"TAB2",#N/A,TRUE,"GENERAL";"TAB3",#N/A,TRUE,"GENERAL";"TAB4",#N/A,TRUE,"GENERAL";"TAB5",#N/A,TRUE,"GENERAL"}</definedName>
    <definedName name="____v7" localSheetId="16" hidden="1">{"via1",#N/A,TRUE,"general";"via2",#N/A,TRUE,"general";"via3",#N/A,TRUE,"general"}</definedName>
    <definedName name="____v7" hidden="1">{"via1",#N/A,TRUE,"general";"via2",#N/A,TRUE,"general";"via3",#N/A,TRUE,"general"}</definedName>
    <definedName name="____v8" localSheetId="16" hidden="1">{"TAB1",#N/A,TRUE,"GENERAL";"TAB2",#N/A,TRUE,"GENERAL";"TAB3",#N/A,TRUE,"GENERAL";"TAB4",#N/A,TRUE,"GENERAL";"TAB5",#N/A,TRUE,"GENERAL"}</definedName>
    <definedName name="____v8" hidden="1">{"TAB1",#N/A,TRUE,"GENERAL";"TAB2",#N/A,TRUE,"GENERAL";"TAB3",#N/A,TRUE,"GENERAL";"TAB4",#N/A,TRUE,"GENERAL";"TAB5",#N/A,TRUE,"GENERAL"}</definedName>
    <definedName name="____v9" localSheetId="16" hidden="1">{"TAB1",#N/A,TRUE,"GENERAL";"TAB2",#N/A,TRUE,"GENERAL";"TAB3",#N/A,TRUE,"GENERAL";"TAB4",#N/A,TRUE,"GENERAL";"TAB5",#N/A,TRUE,"GENERAL"}</definedName>
    <definedName name="____v9" hidden="1">{"TAB1",#N/A,TRUE,"GENERAL";"TAB2",#N/A,TRUE,"GENERAL";"TAB3",#N/A,TRUE,"GENERAL";"TAB4",#N/A,TRUE,"GENERAL";"TAB5",#N/A,TRUE,"GENERAL"}</definedName>
    <definedName name="____vfv4" localSheetId="16" hidden="1">{"via1",#N/A,TRUE,"general";"via2",#N/A,TRUE,"general";"via3",#N/A,TRUE,"general"}</definedName>
    <definedName name="____vfv4" hidden="1">{"via1",#N/A,TRUE,"general";"via2",#N/A,TRUE,"general";"via3",#N/A,TRUE,"general"}</definedName>
    <definedName name="____VOL1" hidden="1">#REF!</definedName>
    <definedName name="____VPD1">#REF!</definedName>
    <definedName name="____VPI1">#REF!</definedName>
    <definedName name="____VRA1">#REF!</definedName>
    <definedName name="____x1" localSheetId="16" hidden="1">{"TAB1",#N/A,TRUE,"GENERAL";"TAB2",#N/A,TRUE,"GENERAL";"TAB3",#N/A,TRUE,"GENERAL";"TAB4",#N/A,TRUE,"GENERAL";"TAB5",#N/A,TRUE,"GENERAL"}</definedName>
    <definedName name="____x1" hidden="1">{"TAB1",#N/A,TRUE,"GENERAL";"TAB2",#N/A,TRUE,"GENERAL";"TAB3",#N/A,TRUE,"GENERAL";"TAB4",#N/A,TRUE,"GENERAL";"TAB5",#N/A,TRUE,"GENERAL"}</definedName>
    <definedName name="____x2" localSheetId="16" hidden="1">{"via1",#N/A,TRUE,"general";"via2",#N/A,TRUE,"general";"via3",#N/A,TRUE,"general"}</definedName>
    <definedName name="____x2" hidden="1">{"via1",#N/A,TRUE,"general";"via2",#N/A,TRUE,"general";"via3",#N/A,TRUE,"general"}</definedName>
    <definedName name="____x3" localSheetId="16" hidden="1">{"via1",#N/A,TRUE,"general";"via2",#N/A,TRUE,"general";"via3",#N/A,TRUE,"general"}</definedName>
    <definedName name="____x3" hidden="1">{"via1",#N/A,TRUE,"general";"via2",#N/A,TRUE,"general";"via3",#N/A,TRUE,"general"}</definedName>
    <definedName name="____x4" localSheetId="16" hidden="1">{"via1",#N/A,TRUE,"general";"via2",#N/A,TRUE,"general";"via3",#N/A,TRUE,"general"}</definedName>
    <definedName name="____x4" hidden="1">{"via1",#N/A,TRUE,"general";"via2",#N/A,TRUE,"general";"via3",#N/A,TRUE,"general"}</definedName>
    <definedName name="____x5" localSheetId="16" hidden="1">{"TAB1",#N/A,TRUE,"GENERAL";"TAB2",#N/A,TRUE,"GENERAL";"TAB3",#N/A,TRUE,"GENERAL";"TAB4",#N/A,TRUE,"GENERAL";"TAB5",#N/A,TRUE,"GENERAL"}</definedName>
    <definedName name="____x5" hidden="1">{"TAB1",#N/A,TRUE,"GENERAL";"TAB2",#N/A,TRUE,"GENERAL";"TAB3",#N/A,TRUE,"GENERAL";"TAB4",#N/A,TRUE,"GENERAL";"TAB5",#N/A,TRUE,"GENERAL"}</definedName>
    <definedName name="____x6" localSheetId="16" hidden="1">{"TAB1",#N/A,TRUE,"GENERAL";"TAB2",#N/A,TRUE,"GENERAL";"TAB3",#N/A,TRUE,"GENERAL";"TAB4",#N/A,TRUE,"GENERAL";"TAB5",#N/A,TRUE,"GENERAL"}</definedName>
    <definedName name="____x6" hidden="1">{"TAB1",#N/A,TRUE,"GENERAL";"TAB2",#N/A,TRUE,"GENERAL";"TAB3",#N/A,TRUE,"GENERAL";"TAB4",#N/A,TRUE,"GENERAL";"TAB5",#N/A,TRUE,"GENERAL"}</definedName>
    <definedName name="____x7" localSheetId="16" hidden="1">{"TAB1",#N/A,TRUE,"GENERAL";"TAB2",#N/A,TRUE,"GENERAL";"TAB3",#N/A,TRUE,"GENERAL";"TAB4",#N/A,TRUE,"GENERAL";"TAB5",#N/A,TRUE,"GENERAL"}</definedName>
    <definedName name="____x7" hidden="1">{"TAB1",#N/A,TRUE,"GENERAL";"TAB2",#N/A,TRUE,"GENERAL";"TAB3",#N/A,TRUE,"GENERAL";"TAB4",#N/A,TRUE,"GENERAL";"TAB5",#N/A,TRUE,"GENERAL"}</definedName>
    <definedName name="____x8" localSheetId="16" hidden="1">{"via1",#N/A,TRUE,"general";"via2",#N/A,TRUE,"general";"via3",#N/A,TRUE,"general"}</definedName>
    <definedName name="____x8" hidden="1">{"via1",#N/A,TRUE,"general";"via2",#N/A,TRUE,"general";"via3",#N/A,TRUE,"general"}</definedName>
    <definedName name="____x9" localSheetId="16" hidden="1">{"TAB1",#N/A,TRUE,"GENERAL";"TAB2",#N/A,TRUE,"GENERAL";"TAB3",#N/A,TRUE,"GENERAL";"TAB4",#N/A,TRUE,"GENERAL";"TAB5",#N/A,TRUE,"GENERAL"}</definedName>
    <definedName name="____x9" hidden="1">{"TAB1",#N/A,TRUE,"GENERAL";"TAB2",#N/A,TRUE,"GENERAL";"TAB3",#N/A,TRUE,"GENERAL";"TAB4",#N/A,TRUE,"GENERAL";"TAB5",#N/A,TRUE,"GENERAL"}</definedName>
    <definedName name="____y2" localSheetId="16" hidden="1">{"TAB1",#N/A,TRUE,"GENERAL";"TAB2",#N/A,TRUE,"GENERAL";"TAB3",#N/A,TRUE,"GENERAL";"TAB4",#N/A,TRUE,"GENERAL";"TAB5",#N/A,TRUE,"GENERAL"}</definedName>
    <definedName name="____y2" hidden="1">{"TAB1",#N/A,TRUE,"GENERAL";"TAB2",#N/A,TRUE,"GENERAL";"TAB3",#N/A,TRUE,"GENERAL";"TAB4",#N/A,TRUE,"GENERAL";"TAB5",#N/A,TRUE,"GENERAL"}</definedName>
    <definedName name="____y3" localSheetId="16" hidden="1">{"via1",#N/A,TRUE,"general";"via2",#N/A,TRUE,"general";"via3",#N/A,TRUE,"general"}</definedName>
    <definedName name="____y3" hidden="1">{"via1",#N/A,TRUE,"general";"via2",#N/A,TRUE,"general";"via3",#N/A,TRUE,"general"}</definedName>
    <definedName name="____y4" localSheetId="16" hidden="1">{"via1",#N/A,TRUE,"general";"via2",#N/A,TRUE,"general";"via3",#N/A,TRUE,"general"}</definedName>
    <definedName name="____y4" hidden="1">{"via1",#N/A,TRUE,"general";"via2",#N/A,TRUE,"general";"via3",#N/A,TRUE,"general"}</definedName>
    <definedName name="____y5" localSheetId="16" hidden="1">{"TAB1",#N/A,TRUE,"GENERAL";"TAB2",#N/A,TRUE,"GENERAL";"TAB3",#N/A,TRUE,"GENERAL";"TAB4",#N/A,TRUE,"GENERAL";"TAB5",#N/A,TRUE,"GENERAL"}</definedName>
    <definedName name="____y5" hidden="1">{"TAB1",#N/A,TRUE,"GENERAL";"TAB2",#N/A,TRUE,"GENERAL";"TAB3",#N/A,TRUE,"GENERAL";"TAB4",#N/A,TRUE,"GENERAL";"TAB5",#N/A,TRUE,"GENERAL"}</definedName>
    <definedName name="____y6" localSheetId="16" hidden="1">{"via1",#N/A,TRUE,"general";"via2",#N/A,TRUE,"general";"via3",#N/A,TRUE,"general"}</definedName>
    <definedName name="____y6" hidden="1">{"via1",#N/A,TRUE,"general";"via2",#N/A,TRUE,"general";"via3",#N/A,TRUE,"general"}</definedName>
    <definedName name="____y7" localSheetId="16" hidden="1">{"via1",#N/A,TRUE,"general";"via2",#N/A,TRUE,"general";"via3",#N/A,TRUE,"general"}</definedName>
    <definedName name="____y7" hidden="1">{"via1",#N/A,TRUE,"general";"via2",#N/A,TRUE,"general";"via3",#N/A,TRUE,"general"}</definedName>
    <definedName name="____y8" localSheetId="16" hidden="1">{"via1",#N/A,TRUE,"general";"via2",#N/A,TRUE,"general";"via3",#N/A,TRUE,"general"}</definedName>
    <definedName name="____y8" hidden="1">{"via1",#N/A,TRUE,"general";"via2",#N/A,TRUE,"general";"via3",#N/A,TRUE,"general"}</definedName>
    <definedName name="____y9" localSheetId="16" hidden="1">{"TAB1",#N/A,TRUE,"GENERAL";"TAB2",#N/A,TRUE,"GENERAL";"TAB3",#N/A,TRUE,"GENERAL";"TAB4",#N/A,TRUE,"GENERAL";"TAB5",#N/A,TRUE,"GENERAL"}</definedName>
    <definedName name="____y9" hidden="1">{"TAB1",#N/A,TRUE,"GENERAL";"TAB2",#N/A,TRUE,"GENERAL";"TAB3",#N/A,TRUE,"GENERAL";"TAB4",#N/A,TRUE,"GENERAL";"TAB5",#N/A,TRUE,"GENERAL"}</definedName>
    <definedName name="____z1" localSheetId="16" hidden="1">{"TAB1",#N/A,TRUE,"GENERAL";"TAB2",#N/A,TRUE,"GENERAL";"TAB3",#N/A,TRUE,"GENERAL";"TAB4",#N/A,TRUE,"GENERAL";"TAB5",#N/A,TRUE,"GENERAL"}</definedName>
    <definedName name="____z1" hidden="1">{"TAB1",#N/A,TRUE,"GENERAL";"TAB2",#N/A,TRUE,"GENERAL";"TAB3",#N/A,TRUE,"GENERAL";"TAB4",#N/A,TRUE,"GENERAL";"TAB5",#N/A,TRUE,"GENERAL"}</definedName>
    <definedName name="____z2" localSheetId="16" hidden="1">{"via1",#N/A,TRUE,"general";"via2",#N/A,TRUE,"general";"via3",#N/A,TRUE,"general"}</definedName>
    <definedName name="____z2" hidden="1">{"via1",#N/A,TRUE,"general";"via2",#N/A,TRUE,"general";"via3",#N/A,TRUE,"general"}</definedName>
    <definedName name="____z3" localSheetId="16" hidden="1">{"via1",#N/A,TRUE,"general";"via2",#N/A,TRUE,"general";"via3",#N/A,TRUE,"general"}</definedName>
    <definedName name="____z3" hidden="1">{"via1",#N/A,TRUE,"general";"via2",#N/A,TRUE,"general";"via3",#N/A,TRUE,"general"}</definedName>
    <definedName name="____z4" localSheetId="16" hidden="1">{"TAB1",#N/A,TRUE,"GENERAL";"TAB2",#N/A,TRUE,"GENERAL";"TAB3",#N/A,TRUE,"GENERAL";"TAB4",#N/A,TRUE,"GENERAL";"TAB5",#N/A,TRUE,"GENERAL"}</definedName>
    <definedName name="____z4" hidden="1">{"TAB1",#N/A,TRUE,"GENERAL";"TAB2",#N/A,TRUE,"GENERAL";"TAB3",#N/A,TRUE,"GENERAL";"TAB4",#N/A,TRUE,"GENERAL";"TAB5",#N/A,TRUE,"GENERAL"}</definedName>
    <definedName name="____z5" localSheetId="16" hidden="1">{"via1",#N/A,TRUE,"general";"via2",#N/A,TRUE,"general";"via3",#N/A,TRUE,"general"}</definedName>
    <definedName name="____z5" hidden="1">{"via1",#N/A,TRUE,"general";"via2",#N/A,TRUE,"general";"via3",#N/A,TRUE,"general"}</definedName>
    <definedName name="____z6" localSheetId="16" hidden="1">{"TAB1",#N/A,TRUE,"GENERAL";"TAB2",#N/A,TRUE,"GENERAL";"TAB3",#N/A,TRUE,"GENERAL";"TAB4",#N/A,TRUE,"GENERAL";"TAB5",#N/A,TRUE,"GENERAL"}</definedName>
    <definedName name="____z6" hidden="1">{"TAB1",#N/A,TRUE,"GENERAL";"TAB2",#N/A,TRUE,"GENERAL";"TAB3",#N/A,TRUE,"GENERAL";"TAB4",#N/A,TRUE,"GENERAL";"TAB5",#N/A,TRUE,"GENERAL"}</definedName>
    <definedName name="___a1" localSheetId="16"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16"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6" hidden="1">{"via1",#N/A,TRUE,"general";"via2",#N/A,TRUE,"general";"via3",#N/A,TRUE,"general"}</definedName>
    <definedName name="___a4" hidden="1">{"via1",#N/A,TRUE,"general";"via2",#N/A,TRUE,"general";"via3",#N/A,TRUE,"general"}</definedName>
    <definedName name="___a5" localSheetId="16" hidden="1">{"TAB1",#N/A,TRUE,"GENERAL";"TAB2",#N/A,TRUE,"GENERAL";"TAB3",#N/A,TRUE,"GENERAL";"TAB4",#N/A,TRUE,"GENERAL";"TAB5",#N/A,TRUE,"GENERAL"}</definedName>
    <definedName name="___a5" hidden="1">{"TAB1",#N/A,TRUE,"GENERAL";"TAB2",#N/A,TRUE,"GENERAL";"TAB3",#N/A,TRUE,"GENERAL";"TAB4",#N/A,TRUE,"GENERAL";"TAB5",#N/A,TRUE,"GENERAL"}</definedName>
    <definedName name="___a6" localSheetId="16" hidden="1">{"TAB1",#N/A,TRUE,"GENERAL";"TAB2",#N/A,TRUE,"GENERAL";"TAB3",#N/A,TRUE,"GENERAL";"TAB4",#N/A,TRUE,"GENERAL";"TAB5",#N/A,TRUE,"GENERAL"}</definedName>
    <definedName name="___a6" hidden="1">{"TAB1",#N/A,TRUE,"GENERAL";"TAB2",#N/A,TRUE,"GENERAL";"TAB3",#N/A,TRUE,"GENERAL";"TAB4",#N/A,TRUE,"GENERAL";"TAB5",#N/A,TRUE,"GENERAL"}</definedName>
    <definedName name="___AFC1">#REF!</definedName>
    <definedName name="___AFC3">#REF!</definedName>
    <definedName name="___AFC5">#REF!</definedName>
    <definedName name="___aiu2">#REF!</definedName>
    <definedName name="___ALL4">#REF!</definedName>
    <definedName name="___apu1">#REF!</definedName>
    <definedName name="___APU221">#REF!</definedName>
    <definedName name="___APU465">#REF!</definedName>
    <definedName name="___b2" localSheetId="16" hidden="1">{"TAB1",#N/A,TRUE,"GENERAL";"TAB2",#N/A,TRUE,"GENERAL";"TAB3",#N/A,TRUE,"GENERAL";"TAB4",#N/A,TRUE,"GENERAL";"TAB5",#N/A,TRUE,"GENERAL"}</definedName>
    <definedName name="___b2" hidden="1">{"TAB1",#N/A,TRUE,"GENERAL";"TAB2",#N/A,TRUE,"GENERAL";"TAB3",#N/A,TRUE,"GENERAL";"TAB4",#N/A,TRUE,"GENERAL";"TAB5",#N/A,TRUE,"GENERAL"}</definedName>
    <definedName name="___b3" localSheetId="16" hidden="1">{"TAB1",#N/A,TRUE,"GENERAL";"TAB2",#N/A,TRUE,"GENERAL";"TAB3",#N/A,TRUE,"GENERAL";"TAB4",#N/A,TRUE,"GENERAL";"TAB5",#N/A,TRUE,"GENERAL"}</definedName>
    <definedName name="___b3" hidden="1">{"TAB1",#N/A,TRUE,"GENERAL";"TAB2",#N/A,TRUE,"GENERAL";"TAB3",#N/A,TRUE,"GENERAL";"TAB4",#N/A,TRUE,"GENERAL";"TAB5",#N/A,TRUE,"GENERAL"}</definedName>
    <definedName name="___b4" localSheetId="16" hidden="1">{"TAB1",#N/A,TRUE,"GENERAL";"TAB2",#N/A,TRUE,"GENERAL";"TAB3",#N/A,TRUE,"GENERAL";"TAB4",#N/A,TRUE,"GENERAL";"TAB5",#N/A,TRUE,"GENERAL"}</definedName>
    <definedName name="___b4" hidden="1">{"TAB1",#N/A,TRUE,"GENERAL";"TAB2",#N/A,TRUE,"GENERAL";"TAB3",#N/A,TRUE,"GENERAL";"TAB4",#N/A,TRUE,"GENERAL";"TAB5",#N/A,TRUE,"GENERAL"}</definedName>
    <definedName name="___b5" localSheetId="16" hidden="1">{"TAB1",#N/A,TRUE,"GENERAL";"TAB2",#N/A,TRUE,"GENERAL";"TAB3",#N/A,TRUE,"GENERAL";"TAB4",#N/A,TRUE,"GENERAL";"TAB5",#N/A,TRUE,"GENERAL"}</definedName>
    <definedName name="___b5" hidden="1">{"TAB1",#N/A,TRUE,"GENERAL";"TAB2",#N/A,TRUE,"GENERAL";"TAB3",#N/A,TRUE,"GENERAL";"TAB4",#N/A,TRUE,"GENERAL";"TAB5",#N/A,TRUE,"GENERAL"}</definedName>
    <definedName name="___b6" localSheetId="16" hidden="1">{"TAB1",#N/A,TRUE,"GENERAL";"TAB2",#N/A,TRUE,"GENERAL";"TAB3",#N/A,TRUE,"GENERAL";"TAB4",#N/A,TRUE,"GENERAL";"TAB5",#N/A,TRUE,"GENERAL"}</definedName>
    <definedName name="___b6" hidden="1">{"TAB1",#N/A,TRUE,"GENERAL";"TAB2",#N/A,TRUE,"GENERAL";"TAB3",#N/A,TRUE,"GENERAL";"TAB4",#N/A,TRUE,"GENERAL";"TAB5",#N/A,TRUE,"GENERAL"}</definedName>
    <definedName name="___b7" localSheetId="16" hidden="1">{"via1",#N/A,TRUE,"general";"via2",#N/A,TRUE,"general";"via3",#N/A,TRUE,"general"}</definedName>
    <definedName name="___b7" hidden="1">{"via1",#N/A,TRUE,"general";"via2",#N/A,TRUE,"general";"via3",#N/A,TRUE,"general"}</definedName>
    <definedName name="___b8" localSheetId="16" hidden="1">{"via1",#N/A,TRUE,"general";"via2",#N/A,TRUE,"general";"via3",#N/A,TRUE,"general"}</definedName>
    <definedName name="___b8" hidden="1">{"via1",#N/A,TRUE,"general";"via2",#N/A,TRUE,"general";"via3",#N/A,TRUE,"general"}</definedName>
    <definedName name="___bb9" localSheetId="16" hidden="1">{"TAB1",#N/A,TRUE,"GENERAL";"TAB2",#N/A,TRUE,"GENERAL";"TAB3",#N/A,TRUE,"GENERAL";"TAB4",#N/A,TRUE,"GENERAL";"TAB5",#N/A,TRUE,"GENERAL"}</definedName>
    <definedName name="___bb9" hidden="1">{"TAB1",#N/A,TRUE,"GENERAL";"TAB2",#N/A,TRUE,"GENERAL";"TAB3",#N/A,TRUE,"GENERAL";"TAB4",#N/A,TRUE,"GENERAL";"TAB5",#N/A,TRUE,"GENERAL"}</definedName>
    <definedName name="___bgb5" localSheetId="16"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ua1">#REF!</definedName>
    <definedName name="___DMD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02">#REF!</definedName>
    <definedName name="___EXC1">#REF!</definedName>
    <definedName name="___EXC10">#REF!</definedName>
    <definedName name="___EXC11">#REF!</definedName>
    <definedName name="___EXC12">#REF!</definedName>
    <definedName name="___EXC2">#REF!</definedName>
    <definedName name="___exc24">#REF!</definedName>
    <definedName name="___EXC3">#REF!</definedName>
    <definedName name="___EXC4">#REF!</definedName>
    <definedName name="___exc40">#REF!</definedName>
    <definedName name="___EXC5">#REF!</definedName>
    <definedName name="___EXC6">#REF!</definedName>
    <definedName name="___EXC7">#REF!</definedName>
    <definedName name="___EXC8">#REF!</definedName>
    <definedName name="___EXC9">#REF!</definedName>
    <definedName name="___g2" localSheetId="16" hidden="1">{"TAB1",#N/A,TRUE,"GENERAL";"TAB2",#N/A,TRUE,"GENERAL";"TAB3",#N/A,TRUE,"GENERAL";"TAB4",#N/A,TRUE,"GENERAL";"TAB5",#N/A,TRUE,"GENERAL"}</definedName>
    <definedName name="___g2" hidden="1">{"TAB1",#N/A,TRUE,"GENERAL";"TAB2",#N/A,TRUE,"GENERAL";"TAB3",#N/A,TRUE,"GENERAL";"TAB4",#N/A,TRUE,"GENERAL";"TAB5",#N/A,TRUE,"GENERAL"}</definedName>
    <definedName name="___g3" localSheetId="16" hidden="1">{"via1",#N/A,TRUE,"general";"via2",#N/A,TRUE,"general";"via3",#N/A,TRUE,"general"}</definedName>
    <definedName name="___g3" hidden="1">{"via1",#N/A,TRUE,"general";"via2",#N/A,TRUE,"general";"via3",#N/A,TRUE,"general"}</definedName>
    <definedName name="___g4" localSheetId="16" hidden="1">{"via1",#N/A,TRUE,"general";"via2",#N/A,TRUE,"general";"via3",#N/A,TRUE,"general"}</definedName>
    <definedName name="___g4" hidden="1">{"via1",#N/A,TRUE,"general";"via2",#N/A,TRUE,"general";"via3",#N/A,TRUE,"general"}</definedName>
    <definedName name="___g5" localSheetId="16" hidden="1">{"via1",#N/A,TRUE,"general";"via2",#N/A,TRUE,"general";"via3",#N/A,TRUE,"general"}</definedName>
    <definedName name="___g5" hidden="1">{"via1",#N/A,TRUE,"general";"via2",#N/A,TRUE,"general";"via3",#N/A,TRUE,"general"}</definedName>
    <definedName name="___g6" localSheetId="16" hidden="1">{"via1",#N/A,TRUE,"general";"via2",#N/A,TRUE,"general";"via3",#N/A,TRUE,"general"}</definedName>
    <definedName name="___g6" hidden="1">{"via1",#N/A,TRUE,"general";"via2",#N/A,TRUE,"general";"via3",#N/A,TRUE,"general"}</definedName>
    <definedName name="___g7" localSheetId="16" hidden="1">{"TAB1",#N/A,TRUE,"GENERAL";"TAB2",#N/A,TRUE,"GENERAL";"TAB3",#N/A,TRUE,"GENERAL";"TAB4",#N/A,TRUE,"GENERAL";"TAB5",#N/A,TRUE,"GENERAL"}</definedName>
    <definedName name="___g7" hidden="1">{"TAB1",#N/A,TRUE,"GENERAL";"TAB2",#N/A,TRUE,"GENERAL";"TAB3",#N/A,TRUE,"GENERAL";"TAB4",#N/A,TRUE,"GENERAL";"TAB5",#N/A,TRUE,"GENERAL"}</definedName>
    <definedName name="___GR1" localSheetId="16" hidden="1">{"TAB1",#N/A,TRUE,"GENERAL";"TAB2",#N/A,TRUE,"GENERAL";"TAB3",#N/A,TRUE,"GENERAL";"TAB4",#N/A,TRUE,"GENERAL";"TAB5",#N/A,TRUE,"GENERAL"}</definedName>
    <definedName name="___GR1" hidden="1">{"TAB1",#N/A,TRUE,"GENERAL";"TAB2",#N/A,TRUE,"GENERAL";"TAB3",#N/A,TRUE,"GENERAL";"TAB4",#N/A,TRUE,"GENERAL";"TAB5",#N/A,TRUE,"GENERAL"}</definedName>
    <definedName name="___gtr4" localSheetId="16" hidden="1">{"via1",#N/A,TRUE,"general";"via2",#N/A,TRUE,"general";"via3",#N/A,TRUE,"general"}</definedName>
    <definedName name="___gtr4" hidden="1">{"via1",#N/A,TRUE,"general";"via2",#N/A,TRUE,"general";"via3",#N/A,TRUE,"general"}</definedName>
    <definedName name="___h2" localSheetId="16" hidden="1">{"via1",#N/A,TRUE,"general";"via2",#N/A,TRUE,"general";"via3",#N/A,TRUE,"general"}</definedName>
    <definedName name="___h2" hidden="1">{"via1",#N/A,TRUE,"general";"via2",#N/A,TRUE,"general";"via3",#N/A,TRUE,"general"}</definedName>
    <definedName name="___h3" localSheetId="16" hidden="1">{"via1",#N/A,TRUE,"general";"via2",#N/A,TRUE,"general";"via3",#N/A,TRUE,"general"}</definedName>
    <definedName name="___h3" hidden="1">{"via1",#N/A,TRUE,"general";"via2",#N/A,TRUE,"general";"via3",#N/A,TRUE,"general"}</definedName>
    <definedName name="___h4" localSheetId="16" hidden="1">{"TAB1",#N/A,TRUE,"GENERAL";"TAB2",#N/A,TRUE,"GENERAL";"TAB3",#N/A,TRUE,"GENERAL";"TAB4",#N/A,TRUE,"GENERAL";"TAB5",#N/A,TRUE,"GENERAL"}</definedName>
    <definedName name="___h4" hidden="1">{"TAB1",#N/A,TRUE,"GENERAL";"TAB2",#N/A,TRUE,"GENERAL";"TAB3",#N/A,TRUE,"GENERAL";"TAB4",#N/A,TRUE,"GENERAL";"TAB5",#N/A,TRUE,"GENERAL"}</definedName>
    <definedName name="___h5" localSheetId="16" hidden="1">{"TAB1",#N/A,TRUE,"GENERAL";"TAB2",#N/A,TRUE,"GENERAL";"TAB3",#N/A,TRUE,"GENERAL";"TAB4",#N/A,TRUE,"GENERAL";"TAB5",#N/A,TRUE,"GENERAL"}</definedName>
    <definedName name="___h5" hidden="1">{"TAB1",#N/A,TRUE,"GENERAL";"TAB2",#N/A,TRUE,"GENERAL";"TAB3",#N/A,TRUE,"GENERAL";"TAB4",#N/A,TRUE,"GENERAL";"TAB5",#N/A,TRUE,"GENERAL"}</definedName>
    <definedName name="___h6" localSheetId="16" hidden="1">{"via1",#N/A,TRUE,"general";"via2",#N/A,TRUE,"general";"via3",#N/A,TRUE,"general"}</definedName>
    <definedName name="___h6" hidden="1">{"via1",#N/A,TRUE,"general";"via2",#N/A,TRUE,"general";"via3",#N/A,TRUE,"general"}</definedName>
    <definedName name="___h7" localSheetId="16" hidden="1">{"TAB1",#N/A,TRUE,"GENERAL";"TAB2",#N/A,TRUE,"GENERAL";"TAB3",#N/A,TRUE,"GENERAL";"TAB4",#N/A,TRUE,"GENERAL";"TAB5",#N/A,TRUE,"GENERAL"}</definedName>
    <definedName name="___h7" hidden="1">{"TAB1",#N/A,TRUE,"GENERAL";"TAB2",#N/A,TRUE,"GENERAL";"TAB3",#N/A,TRUE,"GENERAL";"TAB4",#N/A,TRUE,"GENERAL";"TAB5",#N/A,TRUE,"GENERAL"}</definedName>
    <definedName name="___h8" localSheetId="16" hidden="1">{"via1",#N/A,TRUE,"general";"via2",#N/A,TRUE,"general";"via3",#N/A,TRUE,"general"}</definedName>
    <definedName name="___h8" hidden="1">{"via1",#N/A,TRUE,"general";"via2",#N/A,TRUE,"general";"via3",#N/A,TRUE,"general"}</definedName>
    <definedName name="___hfh7" localSheetId="16" hidden="1">{"via1",#N/A,TRUE,"general";"via2",#N/A,TRUE,"general";"via3",#N/A,TRUE,"general"}</definedName>
    <definedName name="___hfh7" hidden="1">{"via1",#N/A,TRUE,"general";"via2",#N/A,TRUE,"general";"via3",#N/A,TRUE,"general"}</definedName>
    <definedName name="___i4" localSheetId="16" hidden="1">{"via1",#N/A,TRUE,"general";"via2",#N/A,TRUE,"general";"via3",#N/A,TRUE,"general"}</definedName>
    <definedName name="___i4" hidden="1">{"via1",#N/A,TRUE,"general";"via2",#N/A,TRUE,"general";"via3",#N/A,TRUE,"general"}</definedName>
    <definedName name="___i5" localSheetId="16" hidden="1">{"TAB1",#N/A,TRUE,"GENERAL";"TAB2",#N/A,TRUE,"GENERAL";"TAB3",#N/A,TRUE,"GENERAL";"TAB4",#N/A,TRUE,"GENERAL";"TAB5",#N/A,TRUE,"GENERAL"}</definedName>
    <definedName name="___i5" hidden="1">{"TAB1",#N/A,TRUE,"GENERAL";"TAB2",#N/A,TRUE,"GENERAL";"TAB3",#N/A,TRUE,"GENERAL";"TAB4",#N/A,TRUE,"GENERAL";"TAB5",#N/A,TRUE,"GENERAL"}</definedName>
    <definedName name="___i6" localSheetId="16" hidden="1">{"TAB1",#N/A,TRUE,"GENERAL";"TAB2",#N/A,TRUE,"GENERAL";"TAB3",#N/A,TRUE,"GENERAL";"TAB4",#N/A,TRUE,"GENERAL";"TAB5",#N/A,TRUE,"GENERAL"}</definedName>
    <definedName name="___i6" hidden="1">{"TAB1",#N/A,TRUE,"GENERAL";"TAB2",#N/A,TRUE,"GENERAL";"TAB3",#N/A,TRUE,"GENERAL";"TAB4",#N/A,TRUE,"GENERAL";"TAB5",#N/A,TRUE,"GENERAL"}</definedName>
    <definedName name="___i7" localSheetId="16" hidden="1">{"via1",#N/A,TRUE,"general";"via2",#N/A,TRUE,"general";"via3",#N/A,TRUE,"general"}</definedName>
    <definedName name="___i7" hidden="1">{"via1",#N/A,TRUE,"general";"via2",#N/A,TRUE,"general";"via3",#N/A,TRUE,"general"}</definedName>
    <definedName name="___i77" localSheetId="16" hidden="1">{"TAB1",#N/A,TRUE,"GENERAL";"TAB2",#N/A,TRUE,"GENERAL";"TAB3",#N/A,TRUE,"GENERAL";"TAB4",#N/A,TRUE,"GENERAL";"TAB5",#N/A,TRUE,"GENERAL"}</definedName>
    <definedName name="___i77" hidden="1">{"TAB1",#N/A,TRUE,"GENERAL";"TAB2",#N/A,TRUE,"GENERAL";"TAB3",#N/A,TRUE,"GENERAL";"TAB4",#N/A,TRUE,"GENERAL";"TAB5",#N/A,TRUE,"GENERAL"}</definedName>
    <definedName name="___i8" localSheetId="16" hidden="1">{"via1",#N/A,TRUE,"general";"via2",#N/A,TRUE,"general";"via3",#N/A,TRUE,"general"}</definedName>
    <definedName name="___i8" hidden="1">{"via1",#N/A,TRUE,"general";"via2",#N/A,TRUE,"general";"via3",#N/A,TRUE,"general"}</definedName>
    <definedName name="___i9" localSheetId="16"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k3" localSheetId="16" hidden="1">{"TAB1",#N/A,TRUE,"GENERAL";"TAB2",#N/A,TRUE,"GENERAL";"TAB3",#N/A,TRUE,"GENERAL";"TAB4",#N/A,TRUE,"GENERAL";"TAB5",#N/A,TRUE,"GENERAL"}</definedName>
    <definedName name="___k3" hidden="1">{"TAB1",#N/A,TRUE,"GENERAL";"TAB2",#N/A,TRUE,"GENERAL";"TAB3",#N/A,TRUE,"GENERAL";"TAB4",#N/A,TRUE,"GENERAL";"TAB5",#N/A,TRUE,"GENERAL"}</definedName>
    <definedName name="___k4" localSheetId="16" hidden="1">{"via1",#N/A,TRUE,"general";"via2",#N/A,TRUE,"general";"via3",#N/A,TRUE,"general"}</definedName>
    <definedName name="___k4" hidden="1">{"via1",#N/A,TRUE,"general";"via2",#N/A,TRUE,"general";"via3",#N/A,TRUE,"general"}</definedName>
    <definedName name="___k5" localSheetId="16" hidden="1">{"via1",#N/A,TRUE,"general";"via2",#N/A,TRUE,"general";"via3",#N/A,TRUE,"general"}</definedName>
    <definedName name="___k5" hidden="1">{"via1",#N/A,TRUE,"general";"via2",#N/A,TRUE,"general";"via3",#N/A,TRUE,"general"}</definedName>
    <definedName name="___k6" localSheetId="16" hidden="1">{"TAB1",#N/A,TRUE,"GENERAL";"TAB2",#N/A,TRUE,"GENERAL";"TAB3",#N/A,TRUE,"GENERAL";"TAB4",#N/A,TRUE,"GENERAL";"TAB5",#N/A,TRUE,"GENERAL"}</definedName>
    <definedName name="___k6" hidden="1">{"TAB1",#N/A,TRUE,"GENERAL";"TAB2",#N/A,TRUE,"GENERAL";"TAB3",#N/A,TRUE,"GENERAL";"TAB4",#N/A,TRUE,"GENERAL";"TAB5",#N/A,TRUE,"GENERAL"}</definedName>
    <definedName name="___k7" localSheetId="16" hidden="1">{"via1",#N/A,TRUE,"general";"via2",#N/A,TRUE,"general";"via3",#N/A,TRUE,"general"}</definedName>
    <definedName name="___k7" hidden="1">{"via1",#N/A,TRUE,"general";"via2",#N/A,TRUE,"general";"via3",#N/A,TRUE,"general"}</definedName>
    <definedName name="___k8" localSheetId="16" hidden="1">{"via1",#N/A,TRUE,"general";"via2",#N/A,TRUE,"general";"via3",#N/A,TRUE,"general"}</definedName>
    <definedName name="___k8" hidden="1">{"via1",#N/A,TRUE,"general";"via2",#N/A,TRUE,"general";"via3",#N/A,TRUE,"general"}</definedName>
    <definedName name="___k9" localSheetId="16" hidden="1">{"TAB1",#N/A,TRUE,"GENERAL";"TAB2",#N/A,TRUE,"GENERAL";"TAB3",#N/A,TRUE,"GENERAL";"TAB4",#N/A,TRUE,"GENERAL";"TAB5",#N/A,TRUE,"GENERAL"}</definedName>
    <definedName name="___k9" hidden="1">{"TAB1",#N/A,TRUE,"GENERAL";"TAB2",#N/A,TRUE,"GENERAL";"TAB3",#N/A,TRUE,"GENERAL";"TAB4",#N/A,TRUE,"GENERAL";"TAB5",#N/A,TRUE,"GENERAL"}</definedName>
    <definedName name="___kjk6" localSheetId="16" hidden="1">{"TAB1",#N/A,TRUE,"GENERAL";"TAB2",#N/A,TRUE,"GENERAL";"TAB3",#N/A,TRUE,"GENERAL";"TAB4",#N/A,TRUE,"GENERAL";"TAB5",#N/A,TRUE,"GENERAL"}</definedName>
    <definedName name="___kjk6" hidden="1">{"TAB1",#N/A,TRUE,"GENERAL";"TAB2",#N/A,TRUE,"GENERAL";"TAB3",#N/A,TRUE,"GENERAL";"TAB4",#N/A,TRUE,"GENERAL";"TAB5",#N/A,TRUE,"GENERAL"}</definedName>
    <definedName name="___m3" localSheetId="16" hidden="1">{"via1",#N/A,TRUE,"general";"via2",#N/A,TRUE,"general";"via3",#N/A,TRUE,"general"}</definedName>
    <definedName name="___m3" hidden="1">{"via1",#N/A,TRUE,"general";"via2",#N/A,TRUE,"general";"via3",#N/A,TRUE,"general"}</definedName>
    <definedName name="___m4" localSheetId="16" hidden="1">{"TAB1",#N/A,TRUE,"GENERAL";"TAB2",#N/A,TRUE,"GENERAL";"TAB3",#N/A,TRUE,"GENERAL";"TAB4",#N/A,TRUE,"GENERAL";"TAB5",#N/A,TRUE,"GENERAL"}</definedName>
    <definedName name="___m4" hidden="1">{"TAB1",#N/A,TRUE,"GENERAL";"TAB2",#N/A,TRUE,"GENERAL";"TAB3",#N/A,TRUE,"GENERAL";"TAB4",#N/A,TRUE,"GENERAL";"TAB5",#N/A,TRUE,"GENERAL"}</definedName>
    <definedName name="___m5" localSheetId="16" hidden="1">{"via1",#N/A,TRUE,"general";"via2",#N/A,TRUE,"general";"via3",#N/A,TRUE,"general"}</definedName>
    <definedName name="___m5" hidden="1">{"via1",#N/A,TRUE,"general";"via2",#N/A,TRUE,"general";"via3",#N/A,TRUE,"general"}</definedName>
    <definedName name="___m6" localSheetId="16" hidden="1">{"TAB1",#N/A,TRUE,"GENERAL";"TAB2",#N/A,TRUE,"GENERAL";"TAB3",#N/A,TRUE,"GENERAL";"TAB4",#N/A,TRUE,"GENERAL";"TAB5",#N/A,TRUE,"GENERAL"}</definedName>
    <definedName name="___m6" hidden="1">{"TAB1",#N/A,TRUE,"GENERAL";"TAB2",#N/A,TRUE,"GENERAL";"TAB3",#N/A,TRUE,"GENERAL";"TAB4",#N/A,TRUE,"GENERAL";"TAB5",#N/A,TRUE,"GENERAL"}</definedName>
    <definedName name="___m7" localSheetId="16" hidden="1">{"TAB1",#N/A,TRUE,"GENERAL";"TAB2",#N/A,TRUE,"GENERAL";"TAB3",#N/A,TRUE,"GENERAL";"TAB4",#N/A,TRUE,"GENERAL";"TAB5",#N/A,TRUE,"GENERAL"}</definedName>
    <definedName name="___m7" hidden="1">{"TAB1",#N/A,TRUE,"GENERAL";"TAB2",#N/A,TRUE,"GENERAL";"TAB3",#N/A,TRUE,"GENERAL";"TAB4",#N/A,TRUE,"GENERAL";"TAB5",#N/A,TRUE,"GENERAL"}</definedName>
    <definedName name="___m8" localSheetId="16" hidden="1">{"via1",#N/A,TRUE,"general";"via2",#N/A,TRUE,"general";"via3",#N/A,TRUE,"general"}</definedName>
    <definedName name="___m8" hidden="1">{"via1",#N/A,TRUE,"general";"via2",#N/A,TRUE,"general";"via3",#N/A,TRUE,"general"}</definedName>
    <definedName name="___m9" localSheetId="16" hidden="1">{"via1",#N/A,TRUE,"general";"via2",#N/A,TRUE,"general";"via3",#N/A,TRUE,"general"}</definedName>
    <definedName name="___m9" hidden="1">{"via1",#N/A,TRUE,"general";"via2",#N/A,TRUE,"general";"via3",#N/A,TRUE,"general"}</definedName>
    <definedName name="___MA2">#REF!</definedName>
    <definedName name="___mor15">#REF!</definedName>
    <definedName name="___n3" localSheetId="16" hidden="1">{"TAB1",#N/A,TRUE,"GENERAL";"TAB2",#N/A,TRUE,"GENERAL";"TAB3",#N/A,TRUE,"GENERAL";"TAB4",#N/A,TRUE,"GENERAL";"TAB5",#N/A,TRUE,"GENERAL"}</definedName>
    <definedName name="___n3" hidden="1">{"TAB1",#N/A,TRUE,"GENERAL";"TAB2",#N/A,TRUE,"GENERAL";"TAB3",#N/A,TRUE,"GENERAL";"TAB4",#N/A,TRUE,"GENERAL";"TAB5",#N/A,TRUE,"GENERAL"}</definedName>
    <definedName name="___n4" localSheetId="16" hidden="1">{"via1",#N/A,TRUE,"general";"via2",#N/A,TRUE,"general";"via3",#N/A,TRUE,"general"}</definedName>
    <definedName name="___n4" hidden="1">{"via1",#N/A,TRUE,"general";"via2",#N/A,TRUE,"general";"via3",#N/A,TRUE,"general"}</definedName>
    <definedName name="___n5" localSheetId="16" hidden="1">{"TAB1",#N/A,TRUE,"GENERAL";"TAB2",#N/A,TRUE,"GENERAL";"TAB3",#N/A,TRUE,"GENERAL";"TAB4",#N/A,TRUE,"GENERAL";"TAB5",#N/A,TRUE,"GENERAL"}</definedName>
    <definedName name="___n5" hidden="1">{"TAB1",#N/A,TRUE,"GENERAL";"TAB2",#N/A,TRUE,"GENERAL";"TAB3",#N/A,TRUE,"GENERAL";"TAB4",#N/A,TRUE,"GENERAL";"TAB5",#N/A,TRUE,"GENERAL"}</definedName>
    <definedName name="___nyn7" localSheetId="16" hidden="1">{"via1",#N/A,TRUE,"general";"via2",#N/A,TRUE,"general";"via3",#N/A,TRUE,"general"}</definedName>
    <definedName name="___nyn7" hidden="1">{"via1",#N/A,TRUE,"general";"via2",#N/A,TRUE,"general";"via3",#N/A,TRUE,"general"}</definedName>
    <definedName name="___o4" localSheetId="16" hidden="1">{"via1",#N/A,TRUE,"general";"via2",#N/A,TRUE,"general";"via3",#N/A,TRUE,"general"}</definedName>
    <definedName name="___o4" hidden="1">{"via1",#N/A,TRUE,"general";"via2",#N/A,TRUE,"general";"via3",#N/A,TRUE,"general"}</definedName>
    <definedName name="___o5" localSheetId="16" hidden="1">{"TAB1",#N/A,TRUE,"GENERAL";"TAB2",#N/A,TRUE,"GENERAL";"TAB3",#N/A,TRUE,"GENERAL";"TAB4",#N/A,TRUE,"GENERAL";"TAB5",#N/A,TRUE,"GENERAL"}</definedName>
    <definedName name="___o5" hidden="1">{"TAB1",#N/A,TRUE,"GENERAL";"TAB2",#N/A,TRUE,"GENERAL";"TAB3",#N/A,TRUE,"GENERAL";"TAB4",#N/A,TRUE,"GENERAL";"TAB5",#N/A,TRUE,"GENERAL"}</definedName>
    <definedName name="___o6" localSheetId="16" hidden="1">{"TAB1",#N/A,TRUE,"GENERAL";"TAB2",#N/A,TRUE,"GENERAL";"TAB3",#N/A,TRUE,"GENERAL";"TAB4",#N/A,TRUE,"GENERAL";"TAB5",#N/A,TRUE,"GENERAL"}</definedName>
    <definedName name="___o6" hidden="1">{"TAB1",#N/A,TRUE,"GENERAL";"TAB2",#N/A,TRUE,"GENERAL";"TAB3",#N/A,TRUE,"GENERAL";"TAB4",#N/A,TRUE,"GENERAL";"TAB5",#N/A,TRUE,"GENERAL"}</definedName>
    <definedName name="___o7" localSheetId="16" hidden="1">{"TAB1",#N/A,TRUE,"GENERAL";"TAB2",#N/A,TRUE,"GENERAL";"TAB3",#N/A,TRUE,"GENERAL";"TAB4",#N/A,TRUE,"GENERAL";"TAB5",#N/A,TRUE,"GENERAL"}</definedName>
    <definedName name="___o7" hidden="1">{"TAB1",#N/A,TRUE,"GENERAL";"TAB2",#N/A,TRUE,"GENERAL";"TAB3",#N/A,TRUE,"GENERAL";"TAB4",#N/A,TRUE,"GENERAL";"TAB5",#N/A,TRUE,"GENERAL"}</definedName>
    <definedName name="___o8" localSheetId="16" hidden="1">{"via1",#N/A,TRUE,"general";"via2",#N/A,TRUE,"general";"via3",#N/A,TRUE,"general"}</definedName>
    <definedName name="___o8" hidden="1">{"via1",#N/A,TRUE,"general";"via2",#N/A,TRUE,"general";"via3",#N/A,TRUE,"general"}</definedName>
    <definedName name="___o9" localSheetId="16" hidden="1">{"TAB1",#N/A,TRUE,"GENERAL";"TAB2",#N/A,TRUE,"GENERAL";"TAB3",#N/A,TRUE,"GENERAL";"TAB4",#N/A,TRUE,"GENERAL";"TAB5",#N/A,TRUE,"GENERAL"}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16" hidden="1">{"via1",#N/A,TRUE,"general";"via2",#N/A,TRUE,"general";"via3",#N/A,TRUE,"general"}</definedName>
    <definedName name="___p6" hidden="1">{"via1",#N/A,TRUE,"general";"via2",#N/A,TRUE,"general";"via3",#N/A,TRUE,"general"}</definedName>
    <definedName name="___p7" localSheetId="16" hidden="1">{"via1",#N/A,TRUE,"general";"via2",#N/A,TRUE,"general";"via3",#N/A,TRUE,"general"}</definedName>
    <definedName name="___p7" hidden="1">{"via1",#N/A,TRUE,"general";"via2",#N/A,TRUE,"general";"via3",#N/A,TRUE,"general"}</definedName>
    <definedName name="___p8" localSheetId="16"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RE12">#REF!</definedName>
    <definedName name="___R" localSheetId="16"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r4r" localSheetId="16" hidden="1">{"via1",#N/A,TRUE,"general";"via2",#N/A,TRUE,"general";"via3",#N/A,TRUE,"general"}</definedName>
    <definedName name="___r4r" hidden="1">{"via1",#N/A,TRUE,"general";"via2",#N/A,TRUE,"general";"via3",#N/A,TRUE,"general"}</definedName>
    <definedName name="___Rc">#REF!</definedName>
    <definedName name="___rtu6" localSheetId="16" hidden="1">{"via1",#N/A,TRUE,"general";"via2",#N/A,TRUE,"general";"via3",#N/A,TRUE,"general"}</definedName>
    <definedName name="___rtu6" hidden="1">{"via1",#N/A,TRUE,"general";"via2",#N/A,TRUE,"general";"via3",#N/A,TRUE,"general"}</definedName>
    <definedName name="___s1" localSheetId="16" hidden="1">{"via1",#N/A,TRUE,"general";"via2",#N/A,TRUE,"general";"via3",#N/A,TRUE,"general"}</definedName>
    <definedName name="___s1" hidden="1">{"via1",#N/A,TRUE,"general";"via2",#N/A,TRUE,"general";"via3",#N/A,TRUE,"general"}</definedName>
    <definedName name="___s2" localSheetId="16" hidden="1">{"TAB1",#N/A,TRUE,"GENERAL";"TAB2",#N/A,TRUE,"GENERAL";"TAB3",#N/A,TRUE,"GENERAL";"TAB4",#N/A,TRUE,"GENERAL";"TAB5",#N/A,TRUE,"GENERAL"}</definedName>
    <definedName name="___s2" hidden="1">{"TAB1",#N/A,TRUE,"GENERAL";"TAB2",#N/A,TRUE,"GENERAL";"TAB3",#N/A,TRUE,"GENERAL";"TAB4",#N/A,TRUE,"GENERAL";"TAB5",#N/A,TRUE,"GENERAL"}</definedName>
    <definedName name="___s3" localSheetId="16" hidden="1">{"TAB1",#N/A,TRUE,"GENERAL";"TAB2",#N/A,TRUE,"GENERAL";"TAB3",#N/A,TRUE,"GENERAL";"TAB4",#N/A,TRUE,"GENERAL";"TAB5",#N/A,TRUE,"GENERAL"}</definedName>
    <definedName name="___s3" hidden="1">{"TAB1",#N/A,TRUE,"GENERAL";"TAB2",#N/A,TRUE,"GENERAL";"TAB3",#N/A,TRUE,"GENERAL";"TAB4",#N/A,TRUE,"GENERAL";"TAB5",#N/A,TRUE,"GENERAL"}</definedName>
    <definedName name="___s4" localSheetId="16" hidden="1">{"via1",#N/A,TRUE,"general";"via2",#N/A,TRUE,"general";"via3",#N/A,TRUE,"general"}</definedName>
    <definedName name="___s4" hidden="1">{"via1",#N/A,TRUE,"general";"via2",#N/A,TRUE,"general";"via3",#N/A,TRUE,"general"}</definedName>
    <definedName name="___s5" localSheetId="16" hidden="1">{"via1",#N/A,TRUE,"general";"via2",#N/A,TRUE,"general";"via3",#N/A,TRUE,"general"}</definedName>
    <definedName name="___s5" hidden="1">{"via1",#N/A,TRUE,"general";"via2",#N/A,TRUE,"general";"via3",#N/A,TRUE,"general"}</definedName>
    <definedName name="___s6" localSheetId="16" hidden="1">{"TAB1",#N/A,TRUE,"GENERAL";"TAB2",#N/A,TRUE,"GENERAL";"TAB3",#N/A,TRUE,"GENERAL";"TAB4",#N/A,TRUE,"GENERAL";"TAB5",#N/A,TRUE,"GENERAL"}</definedName>
    <definedName name="___s6" hidden="1">{"TAB1",#N/A,TRUE,"GENERAL";"TAB2",#N/A,TRUE,"GENERAL";"TAB3",#N/A,TRUE,"GENERAL";"TAB4",#N/A,TRUE,"GENERAL";"TAB5",#N/A,TRUE,"GENERAL"}</definedName>
    <definedName name="___s7" localSheetId="16" hidden="1">{"via1",#N/A,TRUE,"general";"via2",#N/A,TRUE,"general";"via3",#N/A,TRUE,"general"}</definedName>
    <definedName name="___s7" hidden="1">{"via1",#N/A,TRUE,"general";"via2",#N/A,TRUE,"general";"via3",#N/A,TRUE,"general"}</definedName>
    <definedName name="___SBC1">#REF!</definedName>
    <definedName name="___SBC3">#REF!</definedName>
    <definedName name="___SBC5">#REF!</definedName>
    <definedName name="___t3" localSheetId="16" hidden="1">{"TAB1",#N/A,TRUE,"GENERAL";"TAB2",#N/A,TRUE,"GENERAL";"TAB3",#N/A,TRUE,"GENERAL";"TAB4",#N/A,TRUE,"GENERAL";"TAB5",#N/A,TRUE,"GENERAL"}</definedName>
    <definedName name="___t3" hidden="1">{"TAB1",#N/A,TRUE,"GENERAL";"TAB2",#N/A,TRUE,"GENERAL";"TAB3",#N/A,TRUE,"GENERAL";"TAB4",#N/A,TRUE,"GENERAL";"TAB5",#N/A,TRUE,"GENERAL"}</definedName>
    <definedName name="___t4" localSheetId="16" hidden="1">{"via1",#N/A,TRUE,"general";"via2",#N/A,TRUE,"general";"via3",#N/A,TRUE,"general"}</definedName>
    <definedName name="___t4" hidden="1">{"via1",#N/A,TRUE,"general";"via2",#N/A,TRUE,"general";"via3",#N/A,TRUE,"general"}</definedName>
    <definedName name="___t5" localSheetId="16" hidden="1">{"TAB1",#N/A,TRUE,"GENERAL";"TAB2",#N/A,TRUE,"GENERAL";"TAB3",#N/A,TRUE,"GENERAL";"TAB4",#N/A,TRUE,"GENERAL";"TAB5",#N/A,TRUE,"GENERAL"}</definedName>
    <definedName name="___t5" hidden="1">{"TAB1",#N/A,TRUE,"GENERAL";"TAB2",#N/A,TRUE,"GENERAL";"TAB3",#N/A,TRUE,"GENERAL";"TAB4",#N/A,TRUE,"GENERAL";"TAB5",#N/A,TRUE,"GENERAL"}</definedName>
    <definedName name="___t6" localSheetId="16" hidden="1">{"via1",#N/A,TRUE,"general";"via2",#N/A,TRUE,"general";"via3",#N/A,TRUE,"general"}</definedName>
    <definedName name="___t6" hidden="1">{"via1",#N/A,TRUE,"general";"via2",#N/A,TRUE,"general";"via3",#N/A,TRUE,"general"}</definedName>
    <definedName name="___t66" localSheetId="16" hidden="1">{"TAB1",#N/A,TRUE,"GENERAL";"TAB2",#N/A,TRUE,"GENERAL";"TAB3",#N/A,TRUE,"GENERAL";"TAB4",#N/A,TRUE,"GENERAL";"TAB5",#N/A,TRUE,"GENERAL"}</definedName>
    <definedName name="___t66" hidden="1">{"TAB1",#N/A,TRUE,"GENERAL";"TAB2",#N/A,TRUE,"GENERAL";"TAB3",#N/A,TRUE,"GENERAL";"TAB4",#N/A,TRUE,"GENERAL";"TAB5",#N/A,TRUE,"GENERAL"}</definedName>
    <definedName name="___t7" localSheetId="16" hidden="1">{"via1",#N/A,TRUE,"general";"via2",#N/A,TRUE,"general";"via3",#N/A,TRUE,"general"}</definedName>
    <definedName name="___t7" hidden="1">{"via1",#N/A,TRUE,"general";"via2",#N/A,TRUE,"general";"via3",#N/A,TRUE,"general"}</definedName>
    <definedName name="___t77" localSheetId="16" hidden="1">{"TAB1",#N/A,TRUE,"GENERAL";"TAB2",#N/A,TRUE,"GENERAL";"TAB3",#N/A,TRUE,"GENERAL";"TAB4",#N/A,TRUE,"GENERAL";"TAB5",#N/A,TRUE,"GENERAL"}</definedName>
    <definedName name="___t77" hidden="1">{"TAB1",#N/A,TRUE,"GENERAL";"TAB2",#N/A,TRUE,"GENERAL";"TAB3",#N/A,TRUE,"GENERAL";"TAB4",#N/A,TRUE,"GENERAL";"TAB5",#N/A,TRUE,"GENERAL"}</definedName>
    <definedName name="___t8" localSheetId="16" hidden="1">{"TAB1",#N/A,TRUE,"GENERAL";"TAB2",#N/A,TRUE,"GENERAL";"TAB3",#N/A,TRUE,"GENERAL";"TAB4",#N/A,TRUE,"GENERAL";"TAB5",#N/A,TRUE,"GENERAL"}</definedName>
    <definedName name="___t8" hidden="1">{"TAB1",#N/A,TRUE,"GENERAL";"TAB2",#N/A,TRUE,"GENERAL";"TAB3",#N/A,TRUE,"GENERAL";"TAB4",#N/A,TRUE,"GENERAL";"TAB5",#N/A,TRUE,"GENERAL"}</definedName>
    <definedName name="___t88" localSheetId="16" hidden="1">{"via1",#N/A,TRUE,"general";"via2",#N/A,TRUE,"general";"via3",#N/A,TRUE,"general"}</definedName>
    <definedName name="___t88" hidden="1">{"via1",#N/A,TRUE,"general";"via2",#N/A,TRUE,"general";"via3",#N/A,TRUE,"general"}</definedName>
    <definedName name="___t9" localSheetId="16" hidden="1">{"TAB1",#N/A,TRUE,"GENERAL";"TAB2",#N/A,TRUE,"GENERAL";"TAB3",#N/A,TRUE,"GENERAL";"TAB4",#N/A,TRUE,"GENERAL";"TAB5",#N/A,TRUE,"GENERAL"}</definedName>
    <definedName name="___t9" hidden="1">{"TAB1",#N/A,TRUE,"GENERAL";"TAB2",#N/A,TRUE,"GENERAL";"TAB3",#N/A,TRUE,"GENERAL";"TAB4",#N/A,TRUE,"GENERAL";"TAB5",#N/A,TRUE,"GENERAL"}</definedName>
    <definedName name="___t99" localSheetId="16"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localSheetId="16" hidden="1">{"TAB1",#N/A,TRUE,"GENERAL";"TAB2",#N/A,TRUE,"GENERAL";"TAB3",#N/A,TRUE,"GENERAL";"TAB4",#N/A,TRUE,"GENERAL";"TAB5",#N/A,TRUE,"GENERAL"}</definedName>
    <definedName name="___u4" hidden="1">{"TAB1",#N/A,TRUE,"GENERAL";"TAB2",#N/A,TRUE,"GENERAL";"TAB3",#N/A,TRUE,"GENERAL";"TAB4",#N/A,TRUE,"GENERAL";"TAB5",#N/A,TRUE,"GENERAL"}</definedName>
    <definedName name="___u5" localSheetId="16" hidden="1">{"TAB1",#N/A,TRUE,"GENERAL";"TAB2",#N/A,TRUE,"GENERAL";"TAB3",#N/A,TRUE,"GENERAL";"TAB4",#N/A,TRUE,"GENERAL";"TAB5",#N/A,TRUE,"GENERAL"}</definedName>
    <definedName name="___u5" hidden="1">{"TAB1",#N/A,TRUE,"GENERAL";"TAB2",#N/A,TRUE,"GENERAL";"TAB3",#N/A,TRUE,"GENERAL";"TAB4",#N/A,TRUE,"GENERAL";"TAB5",#N/A,TRUE,"GENERAL"}</definedName>
    <definedName name="___u6" localSheetId="16" hidden="1">{"TAB1",#N/A,TRUE,"GENERAL";"TAB2",#N/A,TRUE,"GENERAL";"TAB3",#N/A,TRUE,"GENERAL";"TAB4",#N/A,TRUE,"GENERAL";"TAB5",#N/A,TRUE,"GENERAL"}</definedName>
    <definedName name="___u6" hidden="1">{"TAB1",#N/A,TRUE,"GENERAL";"TAB2",#N/A,TRUE,"GENERAL";"TAB3",#N/A,TRUE,"GENERAL";"TAB4",#N/A,TRUE,"GENERAL";"TAB5",#N/A,TRUE,"GENERAL"}</definedName>
    <definedName name="___u7" localSheetId="16" hidden="1">{"via1",#N/A,TRUE,"general";"via2",#N/A,TRUE,"general";"via3",#N/A,TRUE,"general"}</definedName>
    <definedName name="___u7" hidden="1">{"via1",#N/A,TRUE,"general";"via2",#N/A,TRUE,"general";"via3",#N/A,TRUE,"general"}</definedName>
    <definedName name="___u8" localSheetId="16" hidden="1">{"TAB1",#N/A,TRUE,"GENERAL";"TAB2",#N/A,TRUE,"GENERAL";"TAB3",#N/A,TRUE,"GENERAL";"TAB4",#N/A,TRUE,"GENERAL";"TAB5",#N/A,TRUE,"GENERAL"}</definedName>
    <definedName name="___u8" hidden="1">{"TAB1",#N/A,TRUE,"GENERAL";"TAB2",#N/A,TRUE,"GENERAL";"TAB3",#N/A,TRUE,"GENERAL";"TAB4",#N/A,TRUE,"GENERAL";"TAB5",#N/A,TRUE,"GENERAL"}</definedName>
    <definedName name="___u9" localSheetId="16" hidden="1">{"TAB1",#N/A,TRUE,"GENERAL";"TAB2",#N/A,TRUE,"GENERAL";"TAB3",#N/A,TRUE,"GENERAL";"TAB4",#N/A,TRUE,"GENERAL";"TAB5",#N/A,TRUE,"GENERAL"}</definedName>
    <definedName name="___u9" hidden="1">{"TAB1",#N/A,TRUE,"GENERAL";"TAB2",#N/A,TRUE,"GENERAL";"TAB3",#N/A,TRUE,"GENERAL";"TAB4",#N/A,TRUE,"GENERAL";"TAB5",#N/A,TRUE,"GENERAL"}</definedName>
    <definedName name="___ur7" localSheetId="16" hidden="1">{"TAB1",#N/A,TRUE,"GENERAL";"TAB2",#N/A,TRUE,"GENERAL";"TAB3",#N/A,TRUE,"GENERAL";"TAB4",#N/A,TRUE,"GENERAL";"TAB5",#N/A,TRUE,"GENERAL"}</definedName>
    <definedName name="___ur7" hidden="1">{"TAB1",#N/A,TRUE,"GENERAL";"TAB2",#N/A,TRUE,"GENERAL";"TAB3",#N/A,TRUE,"GENERAL";"TAB4",#N/A,TRUE,"GENERAL";"TAB5",#N/A,TRUE,"GENERAL"}</definedName>
    <definedName name="___v2" localSheetId="16" hidden="1">{"via1",#N/A,TRUE,"general";"via2",#N/A,TRUE,"general";"via3",#N/A,TRUE,"general"}</definedName>
    <definedName name="___v2" hidden="1">{"via1",#N/A,TRUE,"general";"via2",#N/A,TRUE,"general";"via3",#N/A,TRUE,"general"}</definedName>
    <definedName name="___v3" localSheetId="16" hidden="1">{"TAB1",#N/A,TRUE,"GENERAL";"TAB2",#N/A,TRUE,"GENERAL";"TAB3",#N/A,TRUE,"GENERAL";"TAB4",#N/A,TRUE,"GENERAL";"TAB5",#N/A,TRUE,"GENERAL"}</definedName>
    <definedName name="___v3" hidden="1">{"TAB1",#N/A,TRUE,"GENERAL";"TAB2",#N/A,TRUE,"GENERAL";"TAB3",#N/A,TRUE,"GENERAL";"TAB4",#N/A,TRUE,"GENERAL";"TAB5",#N/A,TRUE,"GENERAL"}</definedName>
    <definedName name="___v4" localSheetId="16" hidden="1">{"TAB1",#N/A,TRUE,"GENERAL";"TAB2",#N/A,TRUE,"GENERAL";"TAB3",#N/A,TRUE,"GENERAL";"TAB4",#N/A,TRUE,"GENERAL";"TAB5",#N/A,TRUE,"GENERAL"}</definedName>
    <definedName name="___v4" hidden="1">{"TAB1",#N/A,TRUE,"GENERAL";"TAB2",#N/A,TRUE,"GENERAL";"TAB3",#N/A,TRUE,"GENERAL";"TAB4",#N/A,TRUE,"GENERAL";"TAB5",#N/A,TRUE,"GENERAL"}</definedName>
    <definedName name="___v5" localSheetId="16" hidden="1">{"TAB1",#N/A,TRUE,"GENERAL";"TAB2",#N/A,TRUE,"GENERAL";"TAB3",#N/A,TRUE,"GENERAL";"TAB4",#N/A,TRUE,"GENERAL";"TAB5",#N/A,TRUE,"GENERAL"}</definedName>
    <definedName name="___v5" hidden="1">{"TAB1",#N/A,TRUE,"GENERAL";"TAB2",#N/A,TRUE,"GENERAL";"TAB3",#N/A,TRUE,"GENERAL";"TAB4",#N/A,TRUE,"GENERAL";"TAB5",#N/A,TRUE,"GENERAL"}</definedName>
    <definedName name="___v6" localSheetId="16" hidden="1">{"TAB1",#N/A,TRUE,"GENERAL";"TAB2",#N/A,TRUE,"GENERAL";"TAB3",#N/A,TRUE,"GENERAL";"TAB4",#N/A,TRUE,"GENERAL";"TAB5",#N/A,TRUE,"GENERAL"}</definedName>
    <definedName name="___v6" hidden="1">{"TAB1",#N/A,TRUE,"GENERAL";"TAB2",#N/A,TRUE,"GENERAL";"TAB3",#N/A,TRUE,"GENERAL";"TAB4",#N/A,TRUE,"GENERAL";"TAB5",#N/A,TRUE,"GENERAL"}</definedName>
    <definedName name="___v7" localSheetId="16" hidden="1">{"via1",#N/A,TRUE,"general";"via2",#N/A,TRUE,"general";"via3",#N/A,TRUE,"general"}</definedName>
    <definedName name="___v7" hidden="1">{"via1",#N/A,TRUE,"general";"via2",#N/A,TRUE,"general";"via3",#N/A,TRUE,"general"}</definedName>
    <definedName name="___v8" localSheetId="16" hidden="1">{"TAB1",#N/A,TRUE,"GENERAL";"TAB2",#N/A,TRUE,"GENERAL";"TAB3",#N/A,TRUE,"GENERAL";"TAB4",#N/A,TRUE,"GENERAL";"TAB5",#N/A,TRUE,"GENERAL"}</definedName>
    <definedName name="___v8" hidden="1">{"TAB1",#N/A,TRUE,"GENERAL";"TAB2",#N/A,TRUE,"GENERAL";"TAB3",#N/A,TRUE,"GENERAL";"TAB4",#N/A,TRUE,"GENERAL";"TAB5",#N/A,TRUE,"GENERAL"}</definedName>
    <definedName name="___v9" localSheetId="16" hidden="1">{"TAB1",#N/A,TRUE,"GENERAL";"TAB2",#N/A,TRUE,"GENERAL";"TAB3",#N/A,TRUE,"GENERAL";"TAB4",#N/A,TRUE,"GENERAL";"TAB5",#N/A,TRUE,"GENERAL"}</definedName>
    <definedName name="___v9" hidden="1">{"TAB1",#N/A,TRUE,"GENERAL";"TAB2",#N/A,TRUE,"GENERAL";"TAB3",#N/A,TRUE,"GENERAL";"TAB4",#N/A,TRUE,"GENERAL";"TAB5",#N/A,TRUE,"GENERAL"}</definedName>
    <definedName name="___vfv4" localSheetId="16" hidden="1">{"via1",#N/A,TRUE,"general";"via2",#N/A,TRUE,"general";"via3",#N/A,TRUE,"general"}</definedName>
    <definedName name="___vfv4" hidden="1">{"via1",#N/A,TRUE,"general";"via2",#N/A,TRUE,"general";"via3",#N/A,TRUE,"general"}</definedName>
    <definedName name="___VOL1" hidden="1">#REF!</definedName>
    <definedName name="___VPD1">#REF!</definedName>
    <definedName name="___VPI1">#REF!</definedName>
    <definedName name="___VRA1">#REF!</definedName>
    <definedName name="___x1" localSheetId="16" hidden="1">{"TAB1",#N/A,TRUE,"GENERAL";"TAB2",#N/A,TRUE,"GENERAL";"TAB3",#N/A,TRUE,"GENERAL";"TAB4",#N/A,TRUE,"GENERAL";"TAB5",#N/A,TRUE,"GENERAL"}</definedName>
    <definedName name="___x1" hidden="1">{"TAB1",#N/A,TRUE,"GENERAL";"TAB2",#N/A,TRUE,"GENERAL";"TAB3",#N/A,TRUE,"GENERAL";"TAB4",#N/A,TRUE,"GENERAL";"TAB5",#N/A,TRUE,"GENERAL"}</definedName>
    <definedName name="___x2" localSheetId="16" hidden="1">{"via1",#N/A,TRUE,"general";"via2",#N/A,TRUE,"general";"via3",#N/A,TRUE,"general"}</definedName>
    <definedName name="___x2" hidden="1">{"via1",#N/A,TRUE,"general";"via2",#N/A,TRUE,"general";"via3",#N/A,TRUE,"general"}</definedName>
    <definedName name="___x3" localSheetId="16" hidden="1">{"via1",#N/A,TRUE,"general";"via2",#N/A,TRUE,"general";"via3",#N/A,TRUE,"general"}</definedName>
    <definedName name="___x3" hidden="1">{"via1",#N/A,TRUE,"general";"via2",#N/A,TRUE,"general";"via3",#N/A,TRUE,"general"}</definedName>
    <definedName name="___x4" localSheetId="16" hidden="1">{"via1",#N/A,TRUE,"general";"via2",#N/A,TRUE,"general";"via3",#N/A,TRUE,"general"}</definedName>
    <definedName name="___x4" hidden="1">{"via1",#N/A,TRUE,"general";"via2",#N/A,TRUE,"general";"via3",#N/A,TRUE,"general"}</definedName>
    <definedName name="___x5" localSheetId="16" hidden="1">{"TAB1",#N/A,TRUE,"GENERAL";"TAB2",#N/A,TRUE,"GENERAL";"TAB3",#N/A,TRUE,"GENERAL";"TAB4",#N/A,TRUE,"GENERAL";"TAB5",#N/A,TRUE,"GENERAL"}</definedName>
    <definedName name="___x5" hidden="1">{"TAB1",#N/A,TRUE,"GENERAL";"TAB2",#N/A,TRUE,"GENERAL";"TAB3",#N/A,TRUE,"GENERAL";"TAB4",#N/A,TRUE,"GENERAL";"TAB5",#N/A,TRUE,"GENERAL"}</definedName>
    <definedName name="___x6" localSheetId="16" hidden="1">{"TAB1",#N/A,TRUE,"GENERAL";"TAB2",#N/A,TRUE,"GENERAL";"TAB3",#N/A,TRUE,"GENERAL";"TAB4",#N/A,TRUE,"GENERAL";"TAB5",#N/A,TRUE,"GENERAL"}</definedName>
    <definedName name="___x6" hidden="1">{"TAB1",#N/A,TRUE,"GENERAL";"TAB2",#N/A,TRUE,"GENERAL";"TAB3",#N/A,TRUE,"GENERAL";"TAB4",#N/A,TRUE,"GENERAL";"TAB5",#N/A,TRUE,"GENERAL"}</definedName>
    <definedName name="___x7" localSheetId="16" hidden="1">{"TAB1",#N/A,TRUE,"GENERAL";"TAB2",#N/A,TRUE,"GENERAL";"TAB3",#N/A,TRUE,"GENERAL";"TAB4",#N/A,TRUE,"GENERAL";"TAB5",#N/A,TRUE,"GENERAL"}</definedName>
    <definedName name="___x7" hidden="1">{"TAB1",#N/A,TRUE,"GENERAL";"TAB2",#N/A,TRUE,"GENERAL";"TAB3",#N/A,TRUE,"GENERAL";"TAB4",#N/A,TRUE,"GENERAL";"TAB5",#N/A,TRUE,"GENERAL"}</definedName>
    <definedName name="___x8" localSheetId="16" hidden="1">{"via1",#N/A,TRUE,"general";"via2",#N/A,TRUE,"general";"via3",#N/A,TRUE,"general"}</definedName>
    <definedName name="___x8" hidden="1">{"via1",#N/A,TRUE,"general";"via2",#N/A,TRUE,"general";"via3",#N/A,TRUE,"general"}</definedName>
    <definedName name="___x9" localSheetId="16" hidden="1">{"TAB1",#N/A,TRUE,"GENERAL";"TAB2",#N/A,TRUE,"GENERAL";"TAB3",#N/A,TRUE,"GENERAL";"TAB4",#N/A,TRUE,"GENERAL";"TAB5",#N/A,TRUE,"GENERAL"}</definedName>
    <definedName name="___x9" hidden="1">{"TAB1",#N/A,TRUE,"GENERAL";"TAB2",#N/A,TRUE,"GENERAL";"TAB3",#N/A,TRUE,"GENERAL";"TAB4",#N/A,TRUE,"GENERAL";"TAB5",#N/A,TRUE,"GENERAL"}</definedName>
    <definedName name="___y2" localSheetId="16" hidden="1">{"TAB1",#N/A,TRUE,"GENERAL";"TAB2",#N/A,TRUE,"GENERAL";"TAB3",#N/A,TRUE,"GENERAL";"TAB4",#N/A,TRUE,"GENERAL";"TAB5",#N/A,TRUE,"GENERAL"}</definedName>
    <definedName name="___y2" hidden="1">{"TAB1",#N/A,TRUE,"GENERAL";"TAB2",#N/A,TRUE,"GENERAL";"TAB3",#N/A,TRUE,"GENERAL";"TAB4",#N/A,TRUE,"GENERAL";"TAB5",#N/A,TRUE,"GENERAL"}</definedName>
    <definedName name="___y3" localSheetId="16" hidden="1">{"via1",#N/A,TRUE,"general";"via2",#N/A,TRUE,"general";"via3",#N/A,TRUE,"general"}</definedName>
    <definedName name="___y3" hidden="1">{"via1",#N/A,TRUE,"general";"via2",#N/A,TRUE,"general";"via3",#N/A,TRUE,"general"}</definedName>
    <definedName name="___y4" localSheetId="16" hidden="1">{"via1",#N/A,TRUE,"general";"via2",#N/A,TRUE,"general";"via3",#N/A,TRUE,"general"}</definedName>
    <definedName name="___y4" hidden="1">{"via1",#N/A,TRUE,"general";"via2",#N/A,TRUE,"general";"via3",#N/A,TRUE,"general"}</definedName>
    <definedName name="___y5" localSheetId="16" hidden="1">{"TAB1",#N/A,TRUE,"GENERAL";"TAB2",#N/A,TRUE,"GENERAL";"TAB3",#N/A,TRUE,"GENERAL";"TAB4",#N/A,TRUE,"GENERAL";"TAB5",#N/A,TRUE,"GENERAL"}</definedName>
    <definedName name="___y5" hidden="1">{"TAB1",#N/A,TRUE,"GENERAL";"TAB2",#N/A,TRUE,"GENERAL";"TAB3",#N/A,TRUE,"GENERAL";"TAB4",#N/A,TRUE,"GENERAL";"TAB5",#N/A,TRUE,"GENERAL"}</definedName>
    <definedName name="___y6" localSheetId="16" hidden="1">{"via1",#N/A,TRUE,"general";"via2",#N/A,TRUE,"general";"via3",#N/A,TRUE,"general"}</definedName>
    <definedName name="___y6" hidden="1">{"via1",#N/A,TRUE,"general";"via2",#N/A,TRUE,"general";"via3",#N/A,TRUE,"general"}</definedName>
    <definedName name="___y7" localSheetId="16" hidden="1">{"via1",#N/A,TRUE,"general";"via2",#N/A,TRUE,"general";"via3",#N/A,TRUE,"general"}</definedName>
    <definedName name="___y7" hidden="1">{"via1",#N/A,TRUE,"general";"via2",#N/A,TRUE,"general";"via3",#N/A,TRUE,"general"}</definedName>
    <definedName name="___y8" localSheetId="16" hidden="1">{"via1",#N/A,TRUE,"general";"via2",#N/A,TRUE,"general";"via3",#N/A,TRUE,"general"}</definedName>
    <definedName name="___y8" hidden="1">{"via1",#N/A,TRUE,"general";"via2",#N/A,TRUE,"general";"via3",#N/A,TRUE,"general"}</definedName>
    <definedName name="___y9" localSheetId="16" hidden="1">{"TAB1",#N/A,TRUE,"GENERAL";"TAB2",#N/A,TRUE,"GENERAL";"TAB3",#N/A,TRUE,"GENERAL";"TAB4",#N/A,TRUE,"GENERAL";"TAB5",#N/A,TRUE,"GENERAL"}</definedName>
    <definedName name="___y9" hidden="1">{"TAB1",#N/A,TRUE,"GENERAL";"TAB2",#N/A,TRUE,"GENERAL";"TAB3",#N/A,TRUE,"GENERAL";"TAB4",#N/A,TRUE,"GENERAL";"TAB5",#N/A,TRUE,"GENERAL"}</definedName>
    <definedName name="___z1" localSheetId="16" hidden="1">{"TAB1",#N/A,TRUE,"GENERAL";"TAB2",#N/A,TRUE,"GENERAL";"TAB3",#N/A,TRUE,"GENERAL";"TAB4",#N/A,TRUE,"GENERAL";"TAB5",#N/A,TRUE,"GENERAL"}</definedName>
    <definedName name="___z1" hidden="1">{"TAB1",#N/A,TRUE,"GENERAL";"TAB2",#N/A,TRUE,"GENERAL";"TAB3",#N/A,TRUE,"GENERAL";"TAB4",#N/A,TRUE,"GENERAL";"TAB5",#N/A,TRUE,"GENERAL"}</definedName>
    <definedName name="___z2" localSheetId="16" hidden="1">{"via1",#N/A,TRUE,"general";"via2",#N/A,TRUE,"general";"via3",#N/A,TRUE,"general"}</definedName>
    <definedName name="___z2" hidden="1">{"via1",#N/A,TRUE,"general";"via2",#N/A,TRUE,"general";"via3",#N/A,TRUE,"general"}</definedName>
    <definedName name="___z3" localSheetId="16" hidden="1">{"via1",#N/A,TRUE,"general";"via2",#N/A,TRUE,"general";"via3",#N/A,TRUE,"general"}</definedName>
    <definedName name="___z3" hidden="1">{"via1",#N/A,TRUE,"general";"via2",#N/A,TRUE,"general";"via3",#N/A,TRUE,"general"}</definedName>
    <definedName name="___z4" localSheetId="16" hidden="1">{"TAB1",#N/A,TRUE,"GENERAL";"TAB2",#N/A,TRUE,"GENERAL";"TAB3",#N/A,TRUE,"GENERAL";"TAB4",#N/A,TRUE,"GENERAL";"TAB5",#N/A,TRUE,"GENERAL"}</definedName>
    <definedName name="___z4" hidden="1">{"TAB1",#N/A,TRUE,"GENERAL";"TAB2",#N/A,TRUE,"GENERAL";"TAB3",#N/A,TRUE,"GENERAL";"TAB4",#N/A,TRUE,"GENERAL";"TAB5",#N/A,TRUE,"GENERAL"}</definedName>
    <definedName name="___z5" localSheetId="16" hidden="1">{"via1",#N/A,TRUE,"general";"via2",#N/A,TRUE,"general";"via3",#N/A,TRUE,"general"}</definedName>
    <definedName name="___z5" hidden="1">{"via1",#N/A,TRUE,"general";"via2",#N/A,TRUE,"general";"via3",#N/A,TRUE,"general"}</definedName>
    <definedName name="___z6" localSheetId="16" hidden="1">{"TAB1",#N/A,TRUE,"GENERAL";"TAB2",#N/A,TRUE,"GENERAL";"TAB3",#N/A,TRUE,"GENERAL";"TAB4",#N/A,TRUE,"GENERAL";"TAB5",#N/A,TRUE,"GENERAL"}</definedName>
    <definedName name="___z6" hidden="1">{"TAB1",#N/A,TRUE,"GENERAL";"TAB2",#N/A,TRUE,"GENERAL";"TAB3",#N/A,TRUE,"GENERAL";"TAB4",#N/A,TRUE,"GENERAL";"TAB5",#N/A,TRUE,"GENERAL"}</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a1" localSheetId="16"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16"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6" hidden="1">{"via1",#N/A,TRUE,"general";"via2",#N/A,TRUE,"general";"via3",#N/A,TRUE,"general"}</definedName>
    <definedName name="__a4" hidden="1">{"via1",#N/A,TRUE,"general";"via2",#N/A,TRUE,"general";"via3",#N/A,TRUE,"general"}</definedName>
    <definedName name="__a5" localSheetId="16" hidden="1">{"TAB1",#N/A,TRUE,"GENERAL";"TAB2",#N/A,TRUE,"GENERAL";"TAB3",#N/A,TRUE,"GENERAL";"TAB4",#N/A,TRUE,"GENERAL";"TAB5",#N/A,TRUE,"GENERAL"}</definedName>
    <definedName name="__a5" hidden="1">{"TAB1",#N/A,TRUE,"GENERAL";"TAB2",#N/A,TRUE,"GENERAL";"TAB3",#N/A,TRUE,"GENERAL";"TAB4",#N/A,TRUE,"GENERAL";"TAB5",#N/A,TRUE,"GENERAL"}</definedName>
    <definedName name="__a6" localSheetId="16"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#REF!</definedName>
    <definedName name="__apu1">#REF!</definedName>
    <definedName name="__APU221">#REF!</definedName>
    <definedName name="__APU465">#REF!</definedName>
    <definedName name="__b2" localSheetId="16" hidden="1">{"TAB1",#N/A,TRUE,"GENERAL";"TAB2",#N/A,TRUE,"GENERAL";"TAB3",#N/A,TRUE,"GENERAL";"TAB4",#N/A,TRUE,"GENERAL";"TAB5",#N/A,TRUE,"GENERAL"}</definedName>
    <definedName name="__b2" hidden="1">{"TAB1",#N/A,TRUE,"GENERAL";"TAB2",#N/A,TRUE,"GENERAL";"TAB3",#N/A,TRUE,"GENERAL";"TAB4",#N/A,TRUE,"GENERAL";"TAB5",#N/A,TRUE,"GENERAL"}</definedName>
    <definedName name="__b3" localSheetId="16" hidden="1">{"TAB1",#N/A,TRUE,"GENERAL";"TAB2",#N/A,TRUE,"GENERAL";"TAB3",#N/A,TRUE,"GENERAL";"TAB4",#N/A,TRUE,"GENERAL";"TAB5",#N/A,TRUE,"GENERAL"}</definedName>
    <definedName name="__b3" hidden="1">{"TAB1",#N/A,TRUE,"GENERAL";"TAB2",#N/A,TRUE,"GENERAL";"TAB3",#N/A,TRUE,"GENERAL";"TAB4",#N/A,TRUE,"GENERAL";"TAB5",#N/A,TRUE,"GENERAL"}</definedName>
    <definedName name="__b4" localSheetId="16" hidden="1">{"TAB1",#N/A,TRUE,"GENERAL";"TAB2",#N/A,TRUE,"GENERAL";"TAB3",#N/A,TRUE,"GENERAL";"TAB4",#N/A,TRUE,"GENERAL";"TAB5",#N/A,TRUE,"GENERAL"}</definedName>
    <definedName name="__b4" hidden="1">{"TAB1",#N/A,TRUE,"GENERAL";"TAB2",#N/A,TRUE,"GENERAL";"TAB3",#N/A,TRUE,"GENERAL";"TAB4",#N/A,TRUE,"GENERAL";"TAB5",#N/A,TRUE,"GENERAL"}</definedName>
    <definedName name="__b5" localSheetId="16" hidden="1">{"TAB1",#N/A,TRUE,"GENERAL";"TAB2",#N/A,TRUE,"GENERAL";"TAB3",#N/A,TRUE,"GENERAL";"TAB4",#N/A,TRUE,"GENERAL";"TAB5",#N/A,TRUE,"GENERAL"}</definedName>
    <definedName name="__b5" hidden="1">{"TAB1",#N/A,TRUE,"GENERAL";"TAB2",#N/A,TRUE,"GENERAL";"TAB3",#N/A,TRUE,"GENERAL";"TAB4",#N/A,TRUE,"GENERAL";"TAB5",#N/A,TRUE,"GENERAL"}</definedName>
    <definedName name="__b6" localSheetId="16" hidden="1">{"TAB1",#N/A,TRUE,"GENERAL";"TAB2",#N/A,TRUE,"GENERAL";"TAB3",#N/A,TRUE,"GENERAL";"TAB4",#N/A,TRUE,"GENERAL";"TAB5",#N/A,TRUE,"GENERAL"}</definedName>
    <definedName name="__b6" hidden="1">{"TAB1",#N/A,TRUE,"GENERAL";"TAB2",#N/A,TRUE,"GENERAL";"TAB3",#N/A,TRUE,"GENERAL";"TAB4",#N/A,TRUE,"GENERAL";"TAB5",#N/A,TRUE,"GENERAL"}</definedName>
    <definedName name="__b7" localSheetId="16" hidden="1">{"via1",#N/A,TRUE,"general";"via2",#N/A,TRUE,"general";"via3",#N/A,TRUE,"general"}</definedName>
    <definedName name="__b7" hidden="1">{"via1",#N/A,TRUE,"general";"via2",#N/A,TRUE,"general";"via3",#N/A,TRUE,"general"}</definedName>
    <definedName name="__b8" localSheetId="16" hidden="1">{"via1",#N/A,TRUE,"general";"via2",#N/A,TRUE,"general";"via3",#N/A,TRUE,"general"}</definedName>
    <definedName name="__b8" hidden="1">{"via1",#N/A,TRUE,"general";"via2",#N/A,TRUE,"general";"via3",#N/A,TRUE,"general"}</definedName>
    <definedName name="__bb9" localSheetId="16" hidden="1">{"TAB1",#N/A,TRUE,"GENERAL";"TAB2",#N/A,TRUE,"GENERAL";"TAB3",#N/A,TRUE,"GENERAL";"TAB4",#N/A,TRUE,"GENERAL";"TAB5",#N/A,TRUE,"GENERAL"}</definedName>
    <definedName name="__bb9" hidden="1">{"TAB1",#N/A,TRUE,"GENERAL";"TAB2",#N/A,TRUE,"GENERAL";"TAB3",#N/A,TRUE,"GENERAL";"TAB4",#N/A,TRUE,"GENERAL";"TAB5",#N/A,TRUE,"GENERAL"}</definedName>
    <definedName name="__bgb5" localSheetId="16"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ua1">#REF!</definedName>
    <definedName name="__DMD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02">#REF!</definedName>
    <definedName name="__EXC1">#REF!</definedName>
    <definedName name="__EXC10">#REF!</definedName>
    <definedName name="__EXC11">#REF!</definedName>
    <definedName name="__EXC12">#REF!</definedName>
    <definedName name="__EXC2">#REF!</definedName>
    <definedName name="__exc24">#REF!</definedName>
    <definedName name="__EXC3">#REF!</definedName>
    <definedName name="__EXC4">#REF!</definedName>
    <definedName name="__exc40">#REF!</definedName>
    <definedName name="__EXC5">#REF!</definedName>
    <definedName name="__EXC6">#REF!</definedName>
    <definedName name="__EXC7">#REF!</definedName>
    <definedName name="__EXC8">#REF!</definedName>
    <definedName name="__EXC9">#REF!</definedName>
    <definedName name="__fcv1">#REF!</definedName>
    <definedName name="__g2" localSheetId="16" hidden="1">{"TAB1",#N/A,TRUE,"GENERAL";"TAB2",#N/A,TRUE,"GENERAL";"TAB3",#N/A,TRUE,"GENERAL";"TAB4",#N/A,TRUE,"GENERAL";"TAB5",#N/A,TRUE,"GENERAL"}</definedName>
    <definedName name="__g2" hidden="1">{"TAB1",#N/A,TRUE,"GENERAL";"TAB2",#N/A,TRUE,"GENERAL";"TAB3",#N/A,TRUE,"GENERAL";"TAB4",#N/A,TRUE,"GENERAL";"TAB5",#N/A,TRUE,"GENERAL"}</definedName>
    <definedName name="__g3" localSheetId="16" hidden="1">{"via1",#N/A,TRUE,"general";"via2",#N/A,TRUE,"general";"via3",#N/A,TRUE,"general"}</definedName>
    <definedName name="__g3" hidden="1">{"via1",#N/A,TRUE,"general";"via2",#N/A,TRUE,"general";"via3",#N/A,TRUE,"general"}</definedName>
    <definedName name="__g4" localSheetId="16" hidden="1">{"via1",#N/A,TRUE,"general";"via2",#N/A,TRUE,"general";"via3",#N/A,TRUE,"general"}</definedName>
    <definedName name="__g4" hidden="1">{"via1",#N/A,TRUE,"general";"via2",#N/A,TRUE,"general";"via3",#N/A,TRUE,"general"}</definedName>
    <definedName name="__g5" localSheetId="16" hidden="1">{"via1",#N/A,TRUE,"general";"via2",#N/A,TRUE,"general";"via3",#N/A,TRUE,"general"}</definedName>
    <definedName name="__g5" hidden="1">{"via1",#N/A,TRUE,"general";"via2",#N/A,TRUE,"general";"via3",#N/A,TRUE,"general"}</definedName>
    <definedName name="__g6" localSheetId="16" hidden="1">{"via1",#N/A,TRUE,"general";"via2",#N/A,TRUE,"general";"via3",#N/A,TRUE,"general"}</definedName>
    <definedName name="__g6" hidden="1">{"via1",#N/A,TRUE,"general";"via2",#N/A,TRUE,"general";"via3",#N/A,TRUE,"general"}</definedName>
    <definedName name="__g7" localSheetId="16" hidden="1">{"TAB1",#N/A,TRUE,"GENERAL";"TAB2",#N/A,TRUE,"GENERAL";"TAB3",#N/A,TRUE,"GENERAL";"TAB4",#N/A,TRUE,"GENERAL";"TAB5",#N/A,TRUE,"GENERAL"}</definedName>
    <definedName name="__g7" hidden="1">{"TAB1",#N/A,TRUE,"GENERAL";"TAB2",#N/A,TRUE,"GENERAL";"TAB3",#N/A,TRUE,"GENERAL";"TAB4",#N/A,TRUE,"GENERAL";"TAB5",#N/A,TRUE,"GENERAL"}</definedName>
    <definedName name="__GR1" localSheetId="16" hidden="1">{"TAB1",#N/A,TRUE,"GENERAL";"TAB2",#N/A,TRUE,"GENERAL";"TAB3",#N/A,TRUE,"GENERAL";"TAB4",#N/A,TRUE,"GENERAL";"TAB5",#N/A,TRUE,"GENERAL"}</definedName>
    <definedName name="__GR1" hidden="1">{"TAB1",#N/A,TRUE,"GENERAL";"TAB2",#N/A,TRUE,"GENERAL";"TAB3",#N/A,TRUE,"GENERAL";"TAB4",#N/A,TRUE,"GENERAL";"TAB5",#N/A,TRUE,"GENERAL"}</definedName>
    <definedName name="__gtr4" localSheetId="16" hidden="1">{"via1",#N/A,TRUE,"general";"via2",#N/A,TRUE,"general";"via3",#N/A,TRUE,"general"}</definedName>
    <definedName name="__gtr4" hidden="1">{"via1",#N/A,TRUE,"general";"via2",#N/A,TRUE,"general";"via3",#N/A,TRUE,"general"}</definedName>
    <definedName name="__h2" localSheetId="16" hidden="1">{"via1",#N/A,TRUE,"general";"via2",#N/A,TRUE,"general";"via3",#N/A,TRUE,"general"}</definedName>
    <definedName name="__h2" hidden="1">{"via1",#N/A,TRUE,"general";"via2",#N/A,TRUE,"general";"via3",#N/A,TRUE,"general"}</definedName>
    <definedName name="__h3" localSheetId="16" hidden="1">{"via1",#N/A,TRUE,"general";"via2",#N/A,TRUE,"general";"via3",#N/A,TRUE,"general"}</definedName>
    <definedName name="__h3" hidden="1">{"via1",#N/A,TRUE,"general";"via2",#N/A,TRUE,"general";"via3",#N/A,TRUE,"general"}</definedName>
    <definedName name="__h4" localSheetId="16" hidden="1">{"TAB1",#N/A,TRUE,"GENERAL";"TAB2",#N/A,TRUE,"GENERAL";"TAB3",#N/A,TRUE,"GENERAL";"TAB4",#N/A,TRUE,"GENERAL";"TAB5",#N/A,TRUE,"GENERAL"}</definedName>
    <definedName name="__h4" hidden="1">{"TAB1",#N/A,TRUE,"GENERAL";"TAB2",#N/A,TRUE,"GENERAL";"TAB3",#N/A,TRUE,"GENERAL";"TAB4",#N/A,TRUE,"GENERAL";"TAB5",#N/A,TRUE,"GENERAL"}</definedName>
    <definedName name="__h5" localSheetId="16" hidden="1">{"TAB1",#N/A,TRUE,"GENERAL";"TAB2",#N/A,TRUE,"GENERAL";"TAB3",#N/A,TRUE,"GENERAL";"TAB4",#N/A,TRUE,"GENERAL";"TAB5",#N/A,TRUE,"GENERAL"}</definedName>
    <definedName name="__h5" hidden="1">{"TAB1",#N/A,TRUE,"GENERAL";"TAB2",#N/A,TRUE,"GENERAL";"TAB3",#N/A,TRUE,"GENERAL";"TAB4",#N/A,TRUE,"GENERAL";"TAB5",#N/A,TRUE,"GENERAL"}</definedName>
    <definedName name="__h6" localSheetId="16" hidden="1">{"via1",#N/A,TRUE,"general";"via2",#N/A,TRUE,"general";"via3",#N/A,TRUE,"general"}</definedName>
    <definedName name="__h6" hidden="1">{"via1",#N/A,TRUE,"general";"via2",#N/A,TRUE,"general";"via3",#N/A,TRUE,"general"}</definedName>
    <definedName name="__h7" localSheetId="16" hidden="1">{"TAB1",#N/A,TRUE,"GENERAL";"TAB2",#N/A,TRUE,"GENERAL";"TAB3",#N/A,TRUE,"GENERAL";"TAB4",#N/A,TRUE,"GENERAL";"TAB5",#N/A,TRUE,"GENERAL"}</definedName>
    <definedName name="__h7" hidden="1">{"TAB1",#N/A,TRUE,"GENERAL";"TAB2",#N/A,TRUE,"GENERAL";"TAB3",#N/A,TRUE,"GENERAL";"TAB4",#N/A,TRUE,"GENERAL";"TAB5",#N/A,TRUE,"GENERAL"}</definedName>
    <definedName name="__h8" localSheetId="16" hidden="1">{"via1",#N/A,TRUE,"general";"via2",#N/A,TRUE,"general";"via3",#N/A,TRUE,"general"}</definedName>
    <definedName name="__h8" hidden="1">{"via1",#N/A,TRUE,"general";"via2",#N/A,TRUE,"general";"via3",#N/A,TRUE,"general"}</definedName>
    <definedName name="__hfh7" localSheetId="16" hidden="1">{"via1",#N/A,TRUE,"general";"via2",#N/A,TRUE,"general";"via3",#N/A,TRUE,"general"}</definedName>
    <definedName name="__hfh7" hidden="1">{"via1",#N/A,TRUE,"general";"via2",#N/A,TRUE,"general";"via3",#N/A,TRUE,"general"}</definedName>
    <definedName name="__i4" localSheetId="16" hidden="1">{"via1",#N/A,TRUE,"general";"via2",#N/A,TRUE,"general";"via3",#N/A,TRUE,"general"}</definedName>
    <definedName name="__i4" hidden="1">{"via1",#N/A,TRUE,"general";"via2",#N/A,TRUE,"general";"via3",#N/A,TRUE,"general"}</definedName>
    <definedName name="__i5" localSheetId="16" hidden="1">{"TAB1",#N/A,TRUE,"GENERAL";"TAB2",#N/A,TRUE,"GENERAL";"TAB3",#N/A,TRUE,"GENERAL";"TAB4",#N/A,TRUE,"GENERAL";"TAB5",#N/A,TRUE,"GENERAL"}</definedName>
    <definedName name="__i5" hidden="1">{"TAB1",#N/A,TRUE,"GENERAL";"TAB2",#N/A,TRUE,"GENERAL";"TAB3",#N/A,TRUE,"GENERAL";"TAB4",#N/A,TRUE,"GENERAL";"TAB5",#N/A,TRUE,"GENERAL"}</definedName>
    <definedName name="__i6" localSheetId="16" hidden="1">{"TAB1",#N/A,TRUE,"GENERAL";"TAB2",#N/A,TRUE,"GENERAL";"TAB3",#N/A,TRUE,"GENERAL";"TAB4",#N/A,TRUE,"GENERAL";"TAB5",#N/A,TRUE,"GENERAL"}</definedName>
    <definedName name="__i6" hidden="1">{"TAB1",#N/A,TRUE,"GENERAL";"TAB2",#N/A,TRUE,"GENERAL";"TAB3",#N/A,TRUE,"GENERAL";"TAB4",#N/A,TRUE,"GENERAL";"TAB5",#N/A,TRUE,"GENERAL"}</definedName>
    <definedName name="__i7" localSheetId="16" hidden="1">{"via1",#N/A,TRUE,"general";"via2",#N/A,TRUE,"general";"via3",#N/A,TRUE,"general"}</definedName>
    <definedName name="__i7" hidden="1">{"via1",#N/A,TRUE,"general";"via2",#N/A,TRUE,"general";"via3",#N/A,TRUE,"general"}</definedName>
    <definedName name="__i77" localSheetId="16" hidden="1">{"TAB1",#N/A,TRUE,"GENERAL";"TAB2",#N/A,TRUE,"GENERAL";"TAB3",#N/A,TRUE,"GENERAL";"TAB4",#N/A,TRUE,"GENERAL";"TAB5",#N/A,TRUE,"GENERAL"}</definedName>
    <definedName name="__i77" hidden="1">{"TAB1",#N/A,TRUE,"GENERAL";"TAB2",#N/A,TRUE,"GENERAL";"TAB3",#N/A,TRUE,"GENERAL";"TAB4",#N/A,TRUE,"GENERAL";"TAB5",#N/A,TRUE,"GENERAL"}</definedName>
    <definedName name="__i8" localSheetId="16" hidden="1">{"via1",#N/A,TRUE,"general";"via2",#N/A,TRUE,"general";"via3",#N/A,TRUE,"general"}</definedName>
    <definedName name="__i8" hidden="1">{"via1",#N/A,TRUE,"general";"via2",#N/A,TRUE,"general";"via3",#N/A,TRUE,"general"}</definedName>
    <definedName name="__i9" localSheetId="16" hidden="1">{"TAB1",#N/A,TRUE,"GENERAL";"TAB2",#N/A,TRUE,"GENERAL";"TAB3",#N/A,TRUE,"GENERAL";"TAB4",#N/A,TRUE,"GENERAL";"TAB5",#N/A,TRUE,"GENERAL"}</definedName>
    <definedName name="__i9" hidden="1">{"TAB1",#N/A,TRUE,"GENERAL";"TAB2",#N/A,TRUE,"GENERAL";"TAB3",#N/A,TRUE,"GENERAL";"TAB4",#N/A,TRUE,"GENERAL";"TAB5",#N/A,TRUE,"GENERAL"}</definedName>
    <definedName name="__k3" localSheetId="16" hidden="1">{"TAB1",#N/A,TRUE,"GENERAL";"TAB2",#N/A,TRUE,"GENERAL";"TAB3",#N/A,TRUE,"GENERAL";"TAB4",#N/A,TRUE,"GENERAL";"TAB5",#N/A,TRUE,"GENERAL"}</definedName>
    <definedName name="__k3" hidden="1">{"TAB1",#N/A,TRUE,"GENERAL";"TAB2",#N/A,TRUE,"GENERAL";"TAB3",#N/A,TRUE,"GENERAL";"TAB4",#N/A,TRUE,"GENERAL";"TAB5",#N/A,TRUE,"GENERAL"}</definedName>
    <definedName name="__k4" localSheetId="16" hidden="1">{"via1",#N/A,TRUE,"general";"via2",#N/A,TRUE,"general";"via3",#N/A,TRUE,"general"}</definedName>
    <definedName name="__k4" hidden="1">{"via1",#N/A,TRUE,"general";"via2",#N/A,TRUE,"general";"via3",#N/A,TRUE,"general"}</definedName>
    <definedName name="__k5" localSheetId="16" hidden="1">{"via1",#N/A,TRUE,"general";"via2",#N/A,TRUE,"general";"via3",#N/A,TRUE,"general"}</definedName>
    <definedName name="__k5" hidden="1">{"via1",#N/A,TRUE,"general";"via2",#N/A,TRUE,"general";"via3",#N/A,TRUE,"general"}</definedName>
    <definedName name="__k6" localSheetId="16" hidden="1">{"TAB1",#N/A,TRUE,"GENERAL";"TAB2",#N/A,TRUE,"GENERAL";"TAB3",#N/A,TRUE,"GENERAL";"TAB4",#N/A,TRUE,"GENERAL";"TAB5",#N/A,TRUE,"GENERAL"}</definedName>
    <definedName name="__k6" hidden="1">{"TAB1",#N/A,TRUE,"GENERAL";"TAB2",#N/A,TRUE,"GENERAL";"TAB3",#N/A,TRUE,"GENERAL";"TAB4",#N/A,TRUE,"GENERAL";"TAB5",#N/A,TRUE,"GENERAL"}</definedName>
    <definedName name="__k7" localSheetId="16" hidden="1">{"via1",#N/A,TRUE,"general";"via2",#N/A,TRUE,"general";"via3",#N/A,TRUE,"general"}</definedName>
    <definedName name="__k7" hidden="1">{"via1",#N/A,TRUE,"general";"via2",#N/A,TRUE,"general";"via3",#N/A,TRUE,"general"}</definedName>
    <definedName name="__k8" localSheetId="16" hidden="1">{"via1",#N/A,TRUE,"general";"via2",#N/A,TRUE,"general";"via3",#N/A,TRUE,"general"}</definedName>
    <definedName name="__k8" hidden="1">{"via1",#N/A,TRUE,"general";"via2",#N/A,TRUE,"general";"via3",#N/A,TRUE,"general"}</definedName>
    <definedName name="__k9" localSheetId="16" hidden="1">{"TAB1",#N/A,TRUE,"GENERAL";"TAB2",#N/A,TRUE,"GENERAL";"TAB3",#N/A,TRUE,"GENERAL";"TAB4",#N/A,TRUE,"GENERAL";"TAB5",#N/A,TRUE,"GENERAL"}</definedName>
    <definedName name="__k9" hidden="1">{"TAB1",#N/A,TRUE,"GENERAL";"TAB2",#N/A,TRUE,"GENERAL";"TAB3",#N/A,TRUE,"GENERAL";"TAB4",#N/A,TRUE,"GENERAL";"TAB5",#N/A,TRUE,"GENERAL"}</definedName>
    <definedName name="__kjk6" localSheetId="16" hidden="1">{"TAB1",#N/A,TRUE,"GENERAL";"TAB2",#N/A,TRUE,"GENERAL";"TAB3",#N/A,TRUE,"GENERAL";"TAB4",#N/A,TRUE,"GENERAL";"TAB5",#N/A,TRUE,"GENERAL"}</definedName>
    <definedName name="__kjk6" hidden="1">{"TAB1",#N/A,TRUE,"GENERAL";"TAB2",#N/A,TRUE,"GENERAL";"TAB3",#N/A,TRUE,"GENERAL";"TAB4",#N/A,TRUE,"GENERAL";"TAB5",#N/A,TRUE,"GENERAL"}</definedName>
    <definedName name="__m3" localSheetId="16" hidden="1">{"via1",#N/A,TRUE,"general";"via2",#N/A,TRUE,"general";"via3",#N/A,TRUE,"general"}</definedName>
    <definedName name="__m3" hidden="1">{"via1",#N/A,TRUE,"general";"via2",#N/A,TRUE,"general";"via3",#N/A,TRUE,"general"}</definedName>
    <definedName name="__m4" localSheetId="16" hidden="1">{"TAB1",#N/A,TRUE,"GENERAL";"TAB2",#N/A,TRUE,"GENERAL";"TAB3",#N/A,TRUE,"GENERAL";"TAB4",#N/A,TRUE,"GENERAL";"TAB5",#N/A,TRUE,"GENERAL"}</definedName>
    <definedName name="__m4" hidden="1">{"TAB1",#N/A,TRUE,"GENERAL";"TAB2",#N/A,TRUE,"GENERAL";"TAB3",#N/A,TRUE,"GENERAL";"TAB4",#N/A,TRUE,"GENERAL";"TAB5",#N/A,TRUE,"GENERAL"}</definedName>
    <definedName name="__m5" localSheetId="16" hidden="1">{"via1",#N/A,TRUE,"general";"via2",#N/A,TRUE,"general";"via3",#N/A,TRUE,"general"}</definedName>
    <definedName name="__m5" hidden="1">{"via1",#N/A,TRUE,"general";"via2",#N/A,TRUE,"general";"via3",#N/A,TRUE,"general"}</definedName>
    <definedName name="__m6" localSheetId="16" hidden="1">{"TAB1",#N/A,TRUE,"GENERAL";"TAB2",#N/A,TRUE,"GENERAL";"TAB3",#N/A,TRUE,"GENERAL";"TAB4",#N/A,TRUE,"GENERAL";"TAB5",#N/A,TRUE,"GENERAL"}</definedName>
    <definedName name="__m6" hidden="1">{"TAB1",#N/A,TRUE,"GENERAL";"TAB2",#N/A,TRUE,"GENERAL";"TAB3",#N/A,TRUE,"GENERAL";"TAB4",#N/A,TRUE,"GENERAL";"TAB5",#N/A,TRUE,"GENERAL"}</definedName>
    <definedName name="__m7" localSheetId="16" hidden="1">{"TAB1",#N/A,TRUE,"GENERAL";"TAB2",#N/A,TRUE,"GENERAL";"TAB3",#N/A,TRUE,"GENERAL";"TAB4",#N/A,TRUE,"GENERAL";"TAB5",#N/A,TRUE,"GENERAL"}</definedName>
    <definedName name="__m7" hidden="1">{"TAB1",#N/A,TRUE,"GENERAL";"TAB2",#N/A,TRUE,"GENERAL";"TAB3",#N/A,TRUE,"GENERAL";"TAB4",#N/A,TRUE,"GENERAL";"TAB5",#N/A,TRUE,"GENERAL"}</definedName>
    <definedName name="__m8" localSheetId="16" hidden="1">{"via1",#N/A,TRUE,"general";"via2",#N/A,TRUE,"general";"via3",#N/A,TRUE,"general"}</definedName>
    <definedName name="__m8" hidden="1">{"via1",#N/A,TRUE,"general";"via2",#N/A,TRUE,"general";"via3",#N/A,TRUE,"general"}</definedName>
    <definedName name="__m9" localSheetId="16" hidden="1">{"via1",#N/A,TRUE,"general";"via2",#N/A,TRUE,"general";"via3",#N/A,TRUE,"general"}</definedName>
    <definedName name="__m9" hidden="1">{"via1",#N/A,TRUE,"general";"via2",#N/A,TRUE,"general";"via3",#N/A,TRUE,"general"}</definedName>
    <definedName name="__MA2">#REF!</definedName>
    <definedName name="__n3" localSheetId="16" hidden="1">{"TAB1",#N/A,TRUE,"GENERAL";"TAB2",#N/A,TRUE,"GENERAL";"TAB3",#N/A,TRUE,"GENERAL";"TAB4",#N/A,TRUE,"GENERAL";"TAB5",#N/A,TRUE,"GENERAL"}</definedName>
    <definedName name="__n3" hidden="1">{"TAB1",#N/A,TRUE,"GENERAL";"TAB2",#N/A,TRUE,"GENERAL";"TAB3",#N/A,TRUE,"GENERAL";"TAB4",#N/A,TRUE,"GENERAL";"TAB5",#N/A,TRUE,"GENERAL"}</definedName>
    <definedName name="__n4" localSheetId="16" hidden="1">{"via1",#N/A,TRUE,"general";"via2",#N/A,TRUE,"general";"via3",#N/A,TRUE,"general"}</definedName>
    <definedName name="__n4" hidden="1">{"via1",#N/A,TRUE,"general";"via2",#N/A,TRUE,"general";"via3",#N/A,TRUE,"general"}</definedName>
    <definedName name="__n5" localSheetId="16" hidden="1">{"TAB1",#N/A,TRUE,"GENERAL";"TAB2",#N/A,TRUE,"GENERAL";"TAB3",#N/A,TRUE,"GENERAL";"TAB4",#N/A,TRUE,"GENERAL";"TAB5",#N/A,TRUE,"GENERAL"}</definedName>
    <definedName name="__n5" hidden="1">{"TAB1",#N/A,TRUE,"GENERAL";"TAB2",#N/A,TRUE,"GENERAL";"TAB3",#N/A,TRUE,"GENERAL";"TAB4",#N/A,TRUE,"GENERAL";"TAB5",#N/A,TRUE,"GENERAL"}</definedName>
    <definedName name="__nyn7" localSheetId="16" hidden="1">{"via1",#N/A,TRUE,"general";"via2",#N/A,TRUE,"general";"via3",#N/A,TRUE,"general"}</definedName>
    <definedName name="__nyn7" hidden="1">{"via1",#N/A,TRUE,"general";"via2",#N/A,TRUE,"general";"via3",#N/A,TRUE,"general"}</definedName>
    <definedName name="__o4" localSheetId="16" hidden="1">{"via1",#N/A,TRUE,"general";"via2",#N/A,TRUE,"general";"via3",#N/A,TRUE,"general"}</definedName>
    <definedName name="__o4" hidden="1">{"via1",#N/A,TRUE,"general";"via2",#N/A,TRUE,"general";"via3",#N/A,TRUE,"general"}</definedName>
    <definedName name="__o5" localSheetId="16" hidden="1">{"TAB1",#N/A,TRUE,"GENERAL";"TAB2",#N/A,TRUE,"GENERAL";"TAB3",#N/A,TRUE,"GENERAL";"TAB4",#N/A,TRUE,"GENERAL";"TAB5",#N/A,TRUE,"GENERAL"}</definedName>
    <definedName name="__o5" hidden="1">{"TAB1",#N/A,TRUE,"GENERAL";"TAB2",#N/A,TRUE,"GENERAL";"TAB3",#N/A,TRUE,"GENERAL";"TAB4",#N/A,TRUE,"GENERAL";"TAB5",#N/A,TRUE,"GENERAL"}</definedName>
    <definedName name="__o6" localSheetId="16" hidden="1">{"TAB1",#N/A,TRUE,"GENERAL";"TAB2",#N/A,TRUE,"GENERAL";"TAB3",#N/A,TRUE,"GENERAL";"TAB4",#N/A,TRUE,"GENERAL";"TAB5",#N/A,TRUE,"GENERAL"}</definedName>
    <definedName name="__o6" hidden="1">{"TAB1",#N/A,TRUE,"GENERAL";"TAB2",#N/A,TRUE,"GENERAL";"TAB3",#N/A,TRUE,"GENERAL";"TAB4",#N/A,TRUE,"GENERAL";"TAB5",#N/A,TRUE,"GENERAL"}</definedName>
    <definedName name="__o7" localSheetId="16" hidden="1">{"TAB1",#N/A,TRUE,"GENERAL";"TAB2",#N/A,TRUE,"GENERAL";"TAB3",#N/A,TRUE,"GENERAL";"TAB4",#N/A,TRUE,"GENERAL";"TAB5",#N/A,TRUE,"GENERAL"}</definedName>
    <definedName name="__o7" hidden="1">{"TAB1",#N/A,TRUE,"GENERAL";"TAB2",#N/A,TRUE,"GENERAL";"TAB3",#N/A,TRUE,"GENERAL";"TAB4",#N/A,TRUE,"GENERAL";"TAB5",#N/A,TRUE,"GENERAL"}</definedName>
    <definedName name="__o8" localSheetId="16" hidden="1">{"via1",#N/A,TRUE,"general";"via2",#N/A,TRUE,"general";"via3",#N/A,TRUE,"general"}</definedName>
    <definedName name="__o8" hidden="1">{"via1",#N/A,TRUE,"general";"via2",#N/A,TRUE,"general";"via3",#N/A,TRUE,"general"}</definedName>
    <definedName name="__o9" localSheetId="16" hidden="1">{"TAB1",#N/A,TRUE,"GENERAL";"TAB2",#N/A,TRUE,"GENERAL";"TAB3",#N/A,TRUE,"GENERAL";"TAB4",#N/A,TRUE,"GENERAL";"TAB5",#N/A,TRUE,"GENERAL"}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16" hidden="1">{"via1",#N/A,TRUE,"general";"via2",#N/A,TRUE,"general";"via3",#N/A,TRUE,"general"}</definedName>
    <definedName name="__p6" hidden="1">{"via1",#N/A,TRUE,"general";"via2",#N/A,TRUE,"general";"via3",#N/A,TRUE,"general"}</definedName>
    <definedName name="__p7" localSheetId="16" hidden="1">{"via1",#N/A,TRUE,"general";"via2",#N/A,TRUE,"general";"via3",#N/A,TRUE,"general"}</definedName>
    <definedName name="__p7" hidden="1">{"via1",#N/A,TRUE,"general";"via2",#N/A,TRUE,"general";"via3",#N/A,TRUE,"general"}</definedName>
    <definedName name="__p8" localSheetId="16"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#REF!</definedName>
    <definedName name="__r4r" localSheetId="16" hidden="1">{"via1",#N/A,TRUE,"general";"via2",#N/A,TRUE,"general";"via3",#N/A,TRUE,"general"}</definedName>
    <definedName name="__r4r" hidden="1">{"via1",#N/A,TRUE,"general";"via2",#N/A,TRUE,"general";"via3",#N/A,TRUE,"general"}</definedName>
    <definedName name="__Rc">#REF!</definedName>
    <definedName name="__rtu6" localSheetId="16" hidden="1">{"via1",#N/A,TRUE,"general";"via2",#N/A,TRUE,"general";"via3",#N/A,TRUE,"general"}</definedName>
    <definedName name="__rtu6" hidden="1">{"via1",#N/A,TRUE,"general";"via2",#N/A,TRUE,"general";"via3",#N/A,TRUE,"general"}</definedName>
    <definedName name="__s1" localSheetId="16" hidden="1">{"via1",#N/A,TRUE,"general";"via2",#N/A,TRUE,"general";"via3",#N/A,TRUE,"general"}</definedName>
    <definedName name="__s1" hidden="1">{"via1",#N/A,TRUE,"general";"via2",#N/A,TRUE,"general";"via3",#N/A,TRUE,"general"}</definedName>
    <definedName name="__s2" localSheetId="16" hidden="1">{"TAB1",#N/A,TRUE,"GENERAL";"TAB2",#N/A,TRUE,"GENERAL";"TAB3",#N/A,TRUE,"GENERAL";"TAB4",#N/A,TRUE,"GENERAL";"TAB5",#N/A,TRUE,"GENERAL"}</definedName>
    <definedName name="__s2" hidden="1">{"TAB1",#N/A,TRUE,"GENERAL";"TAB2",#N/A,TRUE,"GENERAL";"TAB3",#N/A,TRUE,"GENERAL";"TAB4",#N/A,TRUE,"GENERAL";"TAB5",#N/A,TRUE,"GENERAL"}</definedName>
    <definedName name="__s3" localSheetId="16" hidden="1">{"TAB1",#N/A,TRUE,"GENERAL";"TAB2",#N/A,TRUE,"GENERAL";"TAB3",#N/A,TRUE,"GENERAL";"TAB4",#N/A,TRUE,"GENERAL";"TAB5",#N/A,TRUE,"GENERAL"}</definedName>
    <definedName name="__s3" hidden="1">{"TAB1",#N/A,TRUE,"GENERAL";"TAB2",#N/A,TRUE,"GENERAL";"TAB3",#N/A,TRUE,"GENERAL";"TAB4",#N/A,TRUE,"GENERAL";"TAB5",#N/A,TRUE,"GENERAL"}</definedName>
    <definedName name="__s4" localSheetId="16" hidden="1">{"via1",#N/A,TRUE,"general";"via2",#N/A,TRUE,"general";"via3",#N/A,TRUE,"general"}</definedName>
    <definedName name="__s4" hidden="1">{"via1",#N/A,TRUE,"general";"via2",#N/A,TRUE,"general";"via3",#N/A,TRUE,"general"}</definedName>
    <definedName name="__s5" localSheetId="16" hidden="1">{"via1",#N/A,TRUE,"general";"via2",#N/A,TRUE,"general";"via3",#N/A,TRUE,"general"}</definedName>
    <definedName name="__s5" hidden="1">{"via1",#N/A,TRUE,"general";"via2",#N/A,TRUE,"general";"via3",#N/A,TRUE,"general"}</definedName>
    <definedName name="__s6" localSheetId="16" hidden="1">{"TAB1",#N/A,TRUE,"GENERAL";"TAB2",#N/A,TRUE,"GENERAL";"TAB3",#N/A,TRUE,"GENERAL";"TAB4",#N/A,TRUE,"GENERAL";"TAB5",#N/A,TRUE,"GENERAL"}</definedName>
    <definedName name="__s6" hidden="1">{"TAB1",#N/A,TRUE,"GENERAL";"TAB2",#N/A,TRUE,"GENERAL";"TAB3",#N/A,TRUE,"GENERAL";"TAB4",#N/A,TRUE,"GENERAL";"TAB5",#N/A,TRUE,"GENERAL"}</definedName>
    <definedName name="__s7" localSheetId="16"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t3" localSheetId="16" hidden="1">{"TAB1",#N/A,TRUE,"GENERAL";"TAB2",#N/A,TRUE,"GENERAL";"TAB3",#N/A,TRUE,"GENERAL";"TAB4",#N/A,TRUE,"GENERAL";"TAB5",#N/A,TRUE,"GENERAL"}</definedName>
    <definedName name="__t3" hidden="1">{"TAB1",#N/A,TRUE,"GENERAL";"TAB2",#N/A,TRUE,"GENERAL";"TAB3",#N/A,TRUE,"GENERAL";"TAB4",#N/A,TRUE,"GENERAL";"TAB5",#N/A,TRUE,"GENERAL"}</definedName>
    <definedName name="__t4" localSheetId="16" hidden="1">{"via1",#N/A,TRUE,"general";"via2",#N/A,TRUE,"general";"via3",#N/A,TRUE,"general"}</definedName>
    <definedName name="__t4" hidden="1">{"via1",#N/A,TRUE,"general";"via2",#N/A,TRUE,"general";"via3",#N/A,TRUE,"general"}</definedName>
    <definedName name="__t5" localSheetId="16" hidden="1">{"TAB1",#N/A,TRUE,"GENERAL";"TAB2",#N/A,TRUE,"GENERAL";"TAB3",#N/A,TRUE,"GENERAL";"TAB4",#N/A,TRUE,"GENERAL";"TAB5",#N/A,TRUE,"GENERAL"}</definedName>
    <definedName name="__t5" hidden="1">{"TAB1",#N/A,TRUE,"GENERAL";"TAB2",#N/A,TRUE,"GENERAL";"TAB3",#N/A,TRUE,"GENERAL";"TAB4",#N/A,TRUE,"GENERAL";"TAB5",#N/A,TRUE,"GENERAL"}</definedName>
    <definedName name="__t6" localSheetId="16" hidden="1">{"via1",#N/A,TRUE,"general";"via2",#N/A,TRUE,"general";"via3",#N/A,TRUE,"general"}</definedName>
    <definedName name="__t6" hidden="1">{"via1",#N/A,TRUE,"general";"via2",#N/A,TRUE,"general";"via3",#N/A,TRUE,"general"}</definedName>
    <definedName name="__t66" localSheetId="16" hidden="1">{"TAB1",#N/A,TRUE,"GENERAL";"TAB2",#N/A,TRUE,"GENERAL";"TAB3",#N/A,TRUE,"GENERAL";"TAB4",#N/A,TRUE,"GENERAL";"TAB5",#N/A,TRUE,"GENERAL"}</definedName>
    <definedName name="__t66" hidden="1">{"TAB1",#N/A,TRUE,"GENERAL";"TAB2",#N/A,TRUE,"GENERAL";"TAB3",#N/A,TRUE,"GENERAL";"TAB4",#N/A,TRUE,"GENERAL";"TAB5",#N/A,TRUE,"GENERAL"}</definedName>
    <definedName name="__t7" localSheetId="16" hidden="1">{"via1",#N/A,TRUE,"general";"via2",#N/A,TRUE,"general";"via3",#N/A,TRUE,"general"}</definedName>
    <definedName name="__t7" hidden="1">{"via1",#N/A,TRUE,"general";"via2",#N/A,TRUE,"general";"via3",#N/A,TRUE,"general"}</definedName>
    <definedName name="__t77" localSheetId="16" hidden="1">{"TAB1",#N/A,TRUE,"GENERAL";"TAB2",#N/A,TRUE,"GENERAL";"TAB3",#N/A,TRUE,"GENERAL";"TAB4",#N/A,TRUE,"GENERAL";"TAB5",#N/A,TRUE,"GENERAL"}</definedName>
    <definedName name="__t77" hidden="1">{"TAB1",#N/A,TRUE,"GENERAL";"TAB2",#N/A,TRUE,"GENERAL";"TAB3",#N/A,TRUE,"GENERAL";"TAB4",#N/A,TRUE,"GENERAL";"TAB5",#N/A,TRUE,"GENERAL"}</definedName>
    <definedName name="__t8" localSheetId="16" hidden="1">{"TAB1",#N/A,TRUE,"GENERAL";"TAB2",#N/A,TRUE,"GENERAL";"TAB3",#N/A,TRUE,"GENERAL";"TAB4",#N/A,TRUE,"GENERAL";"TAB5",#N/A,TRUE,"GENERAL"}</definedName>
    <definedName name="__t8" hidden="1">{"TAB1",#N/A,TRUE,"GENERAL";"TAB2",#N/A,TRUE,"GENERAL";"TAB3",#N/A,TRUE,"GENERAL";"TAB4",#N/A,TRUE,"GENERAL";"TAB5",#N/A,TRUE,"GENERAL"}</definedName>
    <definedName name="__t88" localSheetId="16" hidden="1">{"via1",#N/A,TRUE,"general";"via2",#N/A,TRUE,"general";"via3",#N/A,TRUE,"general"}</definedName>
    <definedName name="__t88" hidden="1">{"via1",#N/A,TRUE,"general";"via2",#N/A,TRUE,"general";"via3",#N/A,TRUE,"general"}</definedName>
    <definedName name="__t9" localSheetId="16" hidden="1">{"TAB1",#N/A,TRUE,"GENERAL";"TAB2",#N/A,TRUE,"GENERAL";"TAB3",#N/A,TRUE,"GENERAL";"TAB4",#N/A,TRUE,"GENERAL";"TAB5",#N/A,TRUE,"GENERAL"}</definedName>
    <definedName name="__t9" hidden="1">{"TAB1",#N/A,TRUE,"GENERAL";"TAB2",#N/A,TRUE,"GENERAL";"TAB3",#N/A,TRUE,"GENERAL";"TAB4",#N/A,TRUE,"GENERAL";"TAB5",#N/A,TRUE,"GENERAL"}</definedName>
    <definedName name="__t99" localSheetId="16"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16" hidden="1">{"TAB1",#N/A,TRUE,"GENERAL";"TAB2",#N/A,TRUE,"GENERAL";"TAB3",#N/A,TRUE,"GENERAL";"TAB4",#N/A,TRUE,"GENERAL";"TAB5",#N/A,TRUE,"GENERAL"}</definedName>
    <definedName name="__u4" hidden="1">{"TAB1",#N/A,TRUE,"GENERAL";"TAB2",#N/A,TRUE,"GENERAL";"TAB3",#N/A,TRUE,"GENERAL";"TAB4",#N/A,TRUE,"GENERAL";"TAB5",#N/A,TRUE,"GENERAL"}</definedName>
    <definedName name="__u5" localSheetId="16" hidden="1">{"TAB1",#N/A,TRUE,"GENERAL";"TAB2",#N/A,TRUE,"GENERAL";"TAB3",#N/A,TRUE,"GENERAL";"TAB4",#N/A,TRUE,"GENERAL";"TAB5",#N/A,TRUE,"GENERAL"}</definedName>
    <definedName name="__u5" hidden="1">{"TAB1",#N/A,TRUE,"GENERAL";"TAB2",#N/A,TRUE,"GENERAL";"TAB3",#N/A,TRUE,"GENERAL";"TAB4",#N/A,TRUE,"GENERAL";"TAB5",#N/A,TRUE,"GENERAL"}</definedName>
    <definedName name="__u6" localSheetId="16" hidden="1">{"TAB1",#N/A,TRUE,"GENERAL";"TAB2",#N/A,TRUE,"GENERAL";"TAB3",#N/A,TRUE,"GENERAL";"TAB4",#N/A,TRUE,"GENERAL";"TAB5",#N/A,TRUE,"GENERAL"}</definedName>
    <definedName name="__u6" hidden="1">{"TAB1",#N/A,TRUE,"GENERAL";"TAB2",#N/A,TRUE,"GENERAL";"TAB3",#N/A,TRUE,"GENERAL";"TAB4",#N/A,TRUE,"GENERAL";"TAB5",#N/A,TRUE,"GENERAL"}</definedName>
    <definedName name="__u7" localSheetId="16" hidden="1">{"via1",#N/A,TRUE,"general";"via2",#N/A,TRUE,"general";"via3",#N/A,TRUE,"general"}</definedName>
    <definedName name="__u7" hidden="1">{"via1",#N/A,TRUE,"general";"via2",#N/A,TRUE,"general";"via3",#N/A,TRUE,"general"}</definedName>
    <definedName name="__u8" localSheetId="16" hidden="1">{"TAB1",#N/A,TRUE,"GENERAL";"TAB2",#N/A,TRUE,"GENERAL";"TAB3",#N/A,TRUE,"GENERAL";"TAB4",#N/A,TRUE,"GENERAL";"TAB5",#N/A,TRUE,"GENERAL"}</definedName>
    <definedName name="__u8" hidden="1">{"TAB1",#N/A,TRUE,"GENERAL";"TAB2",#N/A,TRUE,"GENERAL";"TAB3",#N/A,TRUE,"GENERAL";"TAB4",#N/A,TRUE,"GENERAL";"TAB5",#N/A,TRUE,"GENERAL"}</definedName>
    <definedName name="__u9" localSheetId="16" hidden="1">{"TAB1",#N/A,TRUE,"GENERAL";"TAB2",#N/A,TRUE,"GENERAL";"TAB3",#N/A,TRUE,"GENERAL";"TAB4",#N/A,TRUE,"GENERAL";"TAB5",#N/A,TRUE,"GENERAL"}</definedName>
    <definedName name="__u9" hidden="1">{"TAB1",#N/A,TRUE,"GENERAL";"TAB2",#N/A,TRUE,"GENERAL";"TAB3",#N/A,TRUE,"GENERAL";"TAB4",#N/A,TRUE,"GENERAL";"TAB5",#N/A,TRUE,"GENERAL"}</definedName>
    <definedName name="__ur7" localSheetId="16" hidden="1">{"TAB1",#N/A,TRUE,"GENERAL";"TAB2",#N/A,TRUE,"GENERAL";"TAB3",#N/A,TRUE,"GENERAL";"TAB4",#N/A,TRUE,"GENERAL";"TAB5",#N/A,TRUE,"GENERAL"}</definedName>
    <definedName name="__ur7" hidden="1">{"TAB1",#N/A,TRUE,"GENERAL";"TAB2",#N/A,TRUE,"GENERAL";"TAB3",#N/A,TRUE,"GENERAL";"TAB4",#N/A,TRUE,"GENERAL";"TAB5",#N/A,TRUE,"GENERAL"}</definedName>
    <definedName name="__v2" localSheetId="16" hidden="1">{"via1",#N/A,TRUE,"general";"via2",#N/A,TRUE,"general";"via3",#N/A,TRUE,"general"}</definedName>
    <definedName name="__v2" hidden="1">{"via1",#N/A,TRUE,"general";"via2",#N/A,TRUE,"general";"via3",#N/A,TRUE,"general"}</definedName>
    <definedName name="__v3" localSheetId="16" hidden="1">{"TAB1",#N/A,TRUE,"GENERAL";"TAB2",#N/A,TRUE,"GENERAL";"TAB3",#N/A,TRUE,"GENERAL";"TAB4",#N/A,TRUE,"GENERAL";"TAB5",#N/A,TRUE,"GENERAL"}</definedName>
    <definedName name="__v3" hidden="1">{"TAB1",#N/A,TRUE,"GENERAL";"TAB2",#N/A,TRUE,"GENERAL";"TAB3",#N/A,TRUE,"GENERAL";"TAB4",#N/A,TRUE,"GENERAL";"TAB5",#N/A,TRUE,"GENERAL"}</definedName>
    <definedName name="__v4" localSheetId="16" hidden="1">{"TAB1",#N/A,TRUE,"GENERAL";"TAB2",#N/A,TRUE,"GENERAL";"TAB3",#N/A,TRUE,"GENERAL";"TAB4",#N/A,TRUE,"GENERAL";"TAB5",#N/A,TRUE,"GENERAL"}</definedName>
    <definedName name="__v4" hidden="1">{"TAB1",#N/A,TRUE,"GENERAL";"TAB2",#N/A,TRUE,"GENERAL";"TAB3",#N/A,TRUE,"GENERAL";"TAB4",#N/A,TRUE,"GENERAL";"TAB5",#N/A,TRUE,"GENERAL"}</definedName>
    <definedName name="__v5" localSheetId="16" hidden="1">{"TAB1",#N/A,TRUE,"GENERAL";"TAB2",#N/A,TRUE,"GENERAL";"TAB3",#N/A,TRUE,"GENERAL";"TAB4",#N/A,TRUE,"GENERAL";"TAB5",#N/A,TRUE,"GENERAL"}</definedName>
    <definedName name="__v5" hidden="1">{"TAB1",#N/A,TRUE,"GENERAL";"TAB2",#N/A,TRUE,"GENERAL";"TAB3",#N/A,TRUE,"GENERAL";"TAB4",#N/A,TRUE,"GENERAL";"TAB5",#N/A,TRUE,"GENERAL"}</definedName>
    <definedName name="__v6" localSheetId="16" hidden="1">{"TAB1",#N/A,TRUE,"GENERAL";"TAB2",#N/A,TRUE,"GENERAL";"TAB3",#N/A,TRUE,"GENERAL";"TAB4",#N/A,TRUE,"GENERAL";"TAB5",#N/A,TRUE,"GENERAL"}</definedName>
    <definedName name="__v6" hidden="1">{"TAB1",#N/A,TRUE,"GENERAL";"TAB2",#N/A,TRUE,"GENERAL";"TAB3",#N/A,TRUE,"GENERAL";"TAB4",#N/A,TRUE,"GENERAL";"TAB5",#N/A,TRUE,"GENERAL"}</definedName>
    <definedName name="__v7" localSheetId="16" hidden="1">{"via1",#N/A,TRUE,"general";"via2",#N/A,TRUE,"general";"via3",#N/A,TRUE,"general"}</definedName>
    <definedName name="__v7" hidden="1">{"via1",#N/A,TRUE,"general";"via2",#N/A,TRUE,"general";"via3",#N/A,TRUE,"general"}</definedName>
    <definedName name="__v8" localSheetId="16" hidden="1">{"TAB1",#N/A,TRUE,"GENERAL";"TAB2",#N/A,TRUE,"GENERAL";"TAB3",#N/A,TRUE,"GENERAL";"TAB4",#N/A,TRUE,"GENERAL";"TAB5",#N/A,TRUE,"GENERAL"}</definedName>
    <definedName name="__v8" hidden="1">{"TAB1",#N/A,TRUE,"GENERAL";"TAB2",#N/A,TRUE,"GENERAL";"TAB3",#N/A,TRUE,"GENERAL";"TAB4",#N/A,TRUE,"GENERAL";"TAB5",#N/A,TRUE,"GENERAL"}</definedName>
    <definedName name="__v9" localSheetId="16" hidden="1">{"TAB1",#N/A,TRUE,"GENERAL";"TAB2",#N/A,TRUE,"GENERAL";"TAB3",#N/A,TRUE,"GENERAL";"TAB4",#N/A,TRUE,"GENERAL";"TAB5",#N/A,TRUE,"GENERAL"}</definedName>
    <definedName name="__v9" hidden="1">{"TAB1",#N/A,TRUE,"GENERAL";"TAB2",#N/A,TRUE,"GENERAL";"TAB3",#N/A,TRUE,"GENERAL";"TAB4",#N/A,TRUE,"GENERAL";"TAB5",#N/A,TRUE,"GENERAL"}</definedName>
    <definedName name="__vfv4" localSheetId="16" hidden="1">{"via1",#N/A,TRUE,"general";"via2",#N/A,TRUE,"general";"via3",#N/A,TRUE,"general"}</definedName>
    <definedName name="__vfv4" hidden="1">{"via1",#N/A,TRUE,"general";"via2",#N/A,TRUE,"general";"via3",#N/A,TRUE,"general"}</definedName>
    <definedName name="__VOL1" hidden="1">#REF!</definedName>
    <definedName name="__VPD1">#REF!</definedName>
    <definedName name="__VPI1">#REF!</definedName>
    <definedName name="__VRA1">#REF!</definedName>
    <definedName name="__x1" localSheetId="16" hidden="1">{"TAB1",#N/A,TRUE,"GENERAL";"TAB2",#N/A,TRUE,"GENERAL";"TAB3",#N/A,TRUE,"GENERAL";"TAB4",#N/A,TRUE,"GENERAL";"TAB5",#N/A,TRUE,"GENERAL"}</definedName>
    <definedName name="__x1" hidden="1">{"TAB1",#N/A,TRUE,"GENERAL";"TAB2",#N/A,TRUE,"GENERAL";"TAB3",#N/A,TRUE,"GENERAL";"TAB4",#N/A,TRUE,"GENERAL";"TAB5",#N/A,TRUE,"GENERAL"}</definedName>
    <definedName name="__x2" localSheetId="16" hidden="1">{"via1",#N/A,TRUE,"general";"via2",#N/A,TRUE,"general";"via3",#N/A,TRUE,"general"}</definedName>
    <definedName name="__x2" hidden="1">{"via1",#N/A,TRUE,"general";"via2",#N/A,TRUE,"general";"via3",#N/A,TRUE,"general"}</definedName>
    <definedName name="__x3" localSheetId="16" hidden="1">{"via1",#N/A,TRUE,"general";"via2",#N/A,TRUE,"general";"via3",#N/A,TRUE,"general"}</definedName>
    <definedName name="__x3" hidden="1">{"via1",#N/A,TRUE,"general";"via2",#N/A,TRUE,"general";"via3",#N/A,TRUE,"general"}</definedName>
    <definedName name="__x4" localSheetId="16" hidden="1">{"via1",#N/A,TRUE,"general";"via2",#N/A,TRUE,"general";"via3",#N/A,TRUE,"general"}</definedName>
    <definedName name="__x4" hidden="1">{"via1",#N/A,TRUE,"general";"via2",#N/A,TRUE,"general";"via3",#N/A,TRUE,"general"}</definedName>
    <definedName name="__x5" localSheetId="16" hidden="1">{"TAB1",#N/A,TRUE,"GENERAL";"TAB2",#N/A,TRUE,"GENERAL";"TAB3",#N/A,TRUE,"GENERAL";"TAB4",#N/A,TRUE,"GENERAL";"TAB5",#N/A,TRUE,"GENERAL"}</definedName>
    <definedName name="__x5" hidden="1">{"TAB1",#N/A,TRUE,"GENERAL";"TAB2",#N/A,TRUE,"GENERAL";"TAB3",#N/A,TRUE,"GENERAL";"TAB4",#N/A,TRUE,"GENERAL";"TAB5",#N/A,TRUE,"GENERAL"}</definedName>
    <definedName name="__x6" localSheetId="16" hidden="1">{"TAB1",#N/A,TRUE,"GENERAL";"TAB2",#N/A,TRUE,"GENERAL";"TAB3",#N/A,TRUE,"GENERAL";"TAB4",#N/A,TRUE,"GENERAL";"TAB5",#N/A,TRUE,"GENERAL"}</definedName>
    <definedName name="__x6" hidden="1">{"TAB1",#N/A,TRUE,"GENERAL";"TAB2",#N/A,TRUE,"GENERAL";"TAB3",#N/A,TRUE,"GENERAL";"TAB4",#N/A,TRUE,"GENERAL";"TAB5",#N/A,TRUE,"GENERAL"}</definedName>
    <definedName name="__x7" localSheetId="16" hidden="1">{"TAB1",#N/A,TRUE,"GENERAL";"TAB2",#N/A,TRUE,"GENERAL";"TAB3",#N/A,TRUE,"GENERAL";"TAB4",#N/A,TRUE,"GENERAL";"TAB5",#N/A,TRUE,"GENERAL"}</definedName>
    <definedName name="__x7" hidden="1">{"TAB1",#N/A,TRUE,"GENERAL";"TAB2",#N/A,TRUE,"GENERAL";"TAB3",#N/A,TRUE,"GENERAL";"TAB4",#N/A,TRUE,"GENERAL";"TAB5",#N/A,TRUE,"GENERAL"}</definedName>
    <definedName name="__x8" localSheetId="16" hidden="1">{"via1",#N/A,TRUE,"general";"via2",#N/A,TRUE,"general";"via3",#N/A,TRUE,"general"}</definedName>
    <definedName name="__x8" hidden="1">{"via1",#N/A,TRUE,"general";"via2",#N/A,TRUE,"general";"via3",#N/A,TRUE,"general"}</definedName>
    <definedName name="__x9" localSheetId="16"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6" hidden="1">{"TAB1",#N/A,TRUE,"GENERAL";"TAB2",#N/A,TRUE,"GENERAL";"TAB3",#N/A,TRUE,"GENERAL";"TAB4",#N/A,TRUE,"GENERAL";"TAB5",#N/A,TRUE,"GENERAL"}</definedName>
    <definedName name="__y2" hidden="1">{"TAB1",#N/A,TRUE,"GENERAL";"TAB2",#N/A,TRUE,"GENERAL";"TAB3",#N/A,TRUE,"GENERAL";"TAB4",#N/A,TRUE,"GENERAL";"TAB5",#N/A,TRUE,"GENERAL"}</definedName>
    <definedName name="__y3" localSheetId="16" hidden="1">{"via1",#N/A,TRUE,"general";"via2",#N/A,TRUE,"general";"via3",#N/A,TRUE,"general"}</definedName>
    <definedName name="__y3" hidden="1">{"via1",#N/A,TRUE,"general";"via2",#N/A,TRUE,"general";"via3",#N/A,TRUE,"general"}</definedName>
    <definedName name="__y4" localSheetId="16" hidden="1">{"via1",#N/A,TRUE,"general";"via2",#N/A,TRUE,"general";"via3",#N/A,TRUE,"general"}</definedName>
    <definedName name="__y4" hidden="1">{"via1",#N/A,TRUE,"general";"via2",#N/A,TRUE,"general";"via3",#N/A,TRUE,"general"}</definedName>
    <definedName name="__y5" localSheetId="16" hidden="1">{"TAB1",#N/A,TRUE,"GENERAL";"TAB2",#N/A,TRUE,"GENERAL";"TAB3",#N/A,TRUE,"GENERAL";"TAB4",#N/A,TRUE,"GENERAL";"TAB5",#N/A,TRUE,"GENERAL"}</definedName>
    <definedName name="__y5" hidden="1">{"TAB1",#N/A,TRUE,"GENERAL";"TAB2",#N/A,TRUE,"GENERAL";"TAB3",#N/A,TRUE,"GENERAL";"TAB4",#N/A,TRUE,"GENERAL";"TAB5",#N/A,TRUE,"GENERAL"}</definedName>
    <definedName name="__y6" localSheetId="16" hidden="1">{"via1",#N/A,TRUE,"general";"via2",#N/A,TRUE,"general";"via3",#N/A,TRUE,"general"}</definedName>
    <definedName name="__y6" hidden="1">{"via1",#N/A,TRUE,"general";"via2",#N/A,TRUE,"general";"via3",#N/A,TRUE,"general"}</definedName>
    <definedName name="__y7" localSheetId="16" hidden="1">{"via1",#N/A,TRUE,"general";"via2",#N/A,TRUE,"general";"via3",#N/A,TRUE,"general"}</definedName>
    <definedName name="__y7" hidden="1">{"via1",#N/A,TRUE,"general";"via2",#N/A,TRUE,"general";"via3",#N/A,TRUE,"general"}</definedName>
    <definedName name="__y8" localSheetId="16" hidden="1">{"via1",#N/A,TRUE,"general";"via2",#N/A,TRUE,"general";"via3",#N/A,TRUE,"general"}</definedName>
    <definedName name="__y8" hidden="1">{"via1",#N/A,TRUE,"general";"via2",#N/A,TRUE,"general";"via3",#N/A,TRUE,"general"}</definedName>
    <definedName name="__y9" localSheetId="16" hidden="1">{"TAB1",#N/A,TRUE,"GENERAL";"TAB2",#N/A,TRUE,"GENERAL";"TAB3",#N/A,TRUE,"GENERAL";"TAB4",#N/A,TRUE,"GENERAL";"TAB5",#N/A,TRUE,"GENERAL"}</definedName>
    <definedName name="__y9" hidden="1">{"TAB1",#N/A,TRUE,"GENERAL";"TAB2",#N/A,TRUE,"GENERAL";"TAB3",#N/A,TRUE,"GENERAL";"TAB4",#N/A,TRUE,"GENERAL";"TAB5",#N/A,TRUE,"GENERAL"}</definedName>
    <definedName name="__z1" localSheetId="16" hidden="1">{"TAB1",#N/A,TRUE,"GENERAL";"TAB2",#N/A,TRUE,"GENERAL";"TAB3",#N/A,TRUE,"GENERAL";"TAB4",#N/A,TRUE,"GENERAL";"TAB5",#N/A,TRUE,"GENERAL"}</definedName>
    <definedName name="__z1" hidden="1">{"TAB1",#N/A,TRUE,"GENERAL";"TAB2",#N/A,TRUE,"GENERAL";"TAB3",#N/A,TRUE,"GENERAL";"TAB4",#N/A,TRUE,"GENERAL";"TAB5",#N/A,TRUE,"GENERAL"}</definedName>
    <definedName name="__z2" localSheetId="16" hidden="1">{"via1",#N/A,TRUE,"general";"via2",#N/A,TRUE,"general";"via3",#N/A,TRUE,"general"}</definedName>
    <definedName name="__z2" hidden="1">{"via1",#N/A,TRUE,"general";"via2",#N/A,TRUE,"general";"via3",#N/A,TRUE,"general"}</definedName>
    <definedName name="__z3" localSheetId="16" hidden="1">{"via1",#N/A,TRUE,"general";"via2",#N/A,TRUE,"general";"via3",#N/A,TRUE,"general"}</definedName>
    <definedName name="__z3" hidden="1">{"via1",#N/A,TRUE,"general";"via2",#N/A,TRUE,"general";"via3",#N/A,TRUE,"general"}</definedName>
    <definedName name="__z4" localSheetId="16" hidden="1">{"TAB1",#N/A,TRUE,"GENERAL";"TAB2",#N/A,TRUE,"GENERAL";"TAB3",#N/A,TRUE,"GENERAL";"TAB4",#N/A,TRUE,"GENERAL";"TAB5",#N/A,TRUE,"GENERAL"}</definedName>
    <definedName name="__z4" hidden="1">{"TAB1",#N/A,TRUE,"GENERAL";"TAB2",#N/A,TRUE,"GENERAL";"TAB3",#N/A,TRUE,"GENERAL";"TAB4",#N/A,TRUE,"GENERAL";"TAB5",#N/A,TRUE,"GENERAL"}</definedName>
    <definedName name="__z5" localSheetId="16" hidden="1">{"via1",#N/A,TRUE,"general";"via2",#N/A,TRUE,"general";"via3",#N/A,TRUE,"general"}</definedName>
    <definedName name="__z5" hidden="1">{"via1",#N/A,TRUE,"general";"via2",#N/A,TRUE,"general";"via3",#N/A,TRUE,"general"}</definedName>
    <definedName name="__z6" localSheetId="16" hidden="1">{"TAB1",#N/A,TRUE,"GENERAL";"TAB2",#N/A,TRUE,"GENERAL";"TAB3",#N/A,TRUE,"GENERAL";"TAB4",#N/A,TRUE,"GENERAL";"TAB5",#N/A,TRUE,"GENERAL"}</definedName>
    <definedName name="__z6" hidden="1">{"TAB1",#N/A,TRUE,"GENERAL";"TAB2",#N/A,TRUE,"GENERAL";"TAB3",#N/A,TRUE,"GENERAL";"TAB4",#N/A,TRUE,"GENERAL";"TAB5",#N/A,TRUE,"GENERAL"}</definedName>
    <definedName name="_123" hidden="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42C">#REF!</definedName>
    <definedName name="_42D">#REF!</definedName>
    <definedName name="_42E">#REF!</definedName>
    <definedName name="_44">#REF!</definedName>
    <definedName name="_6">#REF!</definedName>
    <definedName name="_a1" localSheetId="16" hidden="1">{"TAB1",#N/A,TRUE,"GENERAL";"TAB2",#N/A,TRUE,"GENERAL";"TAB3",#N/A,TRUE,"GENERAL";"TAB4",#N/A,TRUE,"GENERAL";"TAB5",#N/A,TRUE,"GENERAL"}</definedName>
    <definedName name="_a1" hidden="1">{"TAB1",#N/A,TRUE,"GENERAL";"TAB2",#N/A,TRUE,"GENERAL";"TAB3",#N/A,TRUE,"GENERAL";"TAB4",#N/A,TRUE,"GENERAL";"TAB5",#N/A,TRUE,"GENERAL"}</definedName>
    <definedName name="_A1_1" localSheetId="16" hidden="1">{#N/A,#N/A,TRUE,"1842CWN0"}</definedName>
    <definedName name="_A1_1" hidden="1">{#N/A,#N/A,TRUE,"1842CWN0"}</definedName>
    <definedName name="_A1_2" localSheetId="16" hidden="1">{#N/A,#N/A,TRUE,"1842CWN0"}</definedName>
    <definedName name="_A1_2" hidden="1">{#N/A,#N/A,TRUE,"1842CWN0"}</definedName>
    <definedName name="_A17000">#REF!</definedName>
    <definedName name="_A20000">#REF!</definedName>
    <definedName name="_a3" localSheetId="16"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6" hidden="1">{"via1",#N/A,TRUE,"general";"via2",#N/A,TRUE,"general";"via3",#N/A,TRUE,"general"}</definedName>
    <definedName name="_a4" hidden="1">{"via1",#N/A,TRUE,"general";"via2",#N/A,TRUE,"general";"via3",#N/A,TRUE,"general"}</definedName>
    <definedName name="_a5" localSheetId="16" hidden="1">{"TAB1",#N/A,TRUE,"GENERAL";"TAB2",#N/A,TRUE,"GENERAL";"TAB3",#N/A,TRUE,"GENERAL";"TAB4",#N/A,TRUE,"GENERAL";"TAB5",#N/A,TRUE,"GENERAL"}</definedName>
    <definedName name="_a5" hidden="1">{"TAB1",#N/A,TRUE,"GENERAL";"TAB2",#N/A,TRUE,"GENERAL";"TAB3",#N/A,TRUE,"GENERAL";"TAB4",#N/A,TRUE,"GENERAL";"TAB5",#N/A,TRUE,"GENERAL"}</definedName>
    <definedName name="_a6" localSheetId="16" hidden="1">{"TAB1",#N/A,TRUE,"GENERAL";"TAB2",#N/A,TRUE,"GENERAL";"TAB3",#N/A,TRUE,"GENERAL";"TAB4",#N/A,TRUE,"GENERAL";"TAB5",#N/A,TRUE,"GENERAL"}</definedName>
    <definedName name="_a6" hidden="1">{"TAB1",#N/A,TRUE,"GENERAL";"TAB2",#N/A,TRUE,"GENERAL";"TAB3",#N/A,TRUE,"GENERAL";"TAB4",#N/A,TRUE,"GENERAL";"TAB5",#N/A,TRUE,"GENERAL"}</definedName>
    <definedName name="_AAS1" localSheetId="16" hidden="1">{#N/A,#N/A,TRUE,"INGENIERIA";#N/A,#N/A,TRUE,"COMPRAS";#N/A,#N/A,TRUE,"DIRECCION";#N/A,#N/A,TRUE,"RESUMEN"}</definedName>
    <definedName name="_AAS1" hidden="1">{#N/A,#N/A,TRUE,"INGENIERIA";#N/A,#N/A,TRUE,"COMPRAS";#N/A,#N/A,TRUE,"DIRECCION";#N/A,#N/A,TRUE,"RESUMEN"}</definedName>
    <definedName name="_AAS1_1" localSheetId="16" hidden="1">{#N/A,#N/A,TRUE,"INGENIERIA";#N/A,#N/A,TRUE,"COMPRAS";#N/A,#N/A,TRUE,"DIRECCION";#N/A,#N/A,TRUE,"RESUMEN"}</definedName>
    <definedName name="_AAS1_1" hidden="1">{#N/A,#N/A,TRUE,"INGENIERIA";#N/A,#N/A,TRUE,"COMPRAS";#N/A,#N/A,TRUE,"DIRECCION";#N/A,#N/A,TRUE,"RESUMEN"}</definedName>
    <definedName name="_AAS1_2" localSheetId="16" hidden="1">{#N/A,#N/A,TRUE,"INGENIERIA";#N/A,#N/A,TRUE,"COMPRAS";#N/A,#N/A,TRUE,"DIRECCION";#N/A,#N/A,TRUE,"RESUMEN"}</definedName>
    <definedName name="_AAS1_2" hidden="1">{#N/A,#N/A,TRUE,"INGENIERIA";#N/A,#N/A,TRUE,"COMPRAS";#N/A,#N/A,TRUE,"DIRECCION";#N/A,#N/A,TRUE,"RESUMEN"}</definedName>
    <definedName name="_ABC1" localSheetId="16" hidden="1">{#N/A,#N/A,TRUE,"1842CWN0"}</definedName>
    <definedName name="_ABC1" hidden="1">{#N/A,#N/A,TRUE,"1842CWN0"}</definedName>
    <definedName name="_ABC1_1" localSheetId="16" hidden="1">{#N/A,#N/A,TRUE,"1842CWN0"}</definedName>
    <definedName name="_ABC1_1" hidden="1">{#N/A,#N/A,TRUE,"1842CWN0"}</definedName>
    <definedName name="_ABC1_2" localSheetId="16" hidden="1">{#N/A,#N/A,TRUE,"1842CWN0"}</definedName>
    <definedName name="_ABC1_2" hidden="1">{#N/A,#N/A,TRUE,"1842CWN0"}</definedName>
    <definedName name="_abc2" localSheetId="16" hidden="1">{#N/A,#N/A,TRUE,"1842CWN0"}</definedName>
    <definedName name="_abc2" hidden="1">{#N/A,#N/A,TRUE,"1842CWN0"}</definedName>
    <definedName name="_abc2_1" localSheetId="16" hidden="1">{#N/A,#N/A,TRUE,"1842CWN0"}</definedName>
    <definedName name="_abc2_1" hidden="1">{#N/A,#N/A,TRUE,"1842CWN0"}</definedName>
    <definedName name="_abc2_2" localSheetId="16" hidden="1">{#N/A,#N/A,TRUE,"1842CWN0"}</definedName>
    <definedName name="_abc2_2" hidden="1">{#N/A,#N/A,TRUE,"1842CWN0"}</definedName>
    <definedName name="_AFC1">#REF!</definedName>
    <definedName name="_AFC3">#REF!</definedName>
    <definedName name="_AFC5">#REF!</definedName>
    <definedName name="_aiu2">#REF!</definedName>
    <definedName name="_ALL4">#REF!</definedName>
    <definedName name="_apu1">#REF!</definedName>
    <definedName name="_APU221">#REF!</definedName>
    <definedName name="_APU3">#REF!</definedName>
    <definedName name="_APU465">#REF!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6" hidden="1">{"TAB1",#N/A,TRUE,"GENERAL";"TAB2",#N/A,TRUE,"GENERAL";"TAB3",#N/A,TRUE,"GENERAL";"TAB4",#N/A,TRUE,"GENERAL";"TAB5",#N/A,TRUE,"GENERAL"}</definedName>
    <definedName name="_b2" hidden="1">{"TAB1",#N/A,TRUE,"GENERAL";"TAB2",#N/A,TRUE,"GENERAL";"TAB3",#N/A,TRUE,"GENERAL";"TAB4",#N/A,TRUE,"GENERAL";"TAB5",#N/A,TRUE,"GENERAL"}</definedName>
    <definedName name="_b3" localSheetId="16" hidden="1">{"TAB1",#N/A,TRUE,"GENERAL";"TAB2",#N/A,TRUE,"GENERAL";"TAB3",#N/A,TRUE,"GENERAL";"TAB4",#N/A,TRUE,"GENERAL";"TAB5",#N/A,TRUE,"GENERAL"}</definedName>
    <definedName name="_b3" hidden="1">{"TAB1",#N/A,TRUE,"GENERAL";"TAB2",#N/A,TRUE,"GENERAL";"TAB3",#N/A,TRUE,"GENERAL";"TAB4",#N/A,TRUE,"GENERAL";"TAB5",#N/A,TRUE,"GENERAL"}</definedName>
    <definedName name="_b4" localSheetId="16" hidden="1">{"TAB1",#N/A,TRUE,"GENERAL";"TAB2",#N/A,TRUE,"GENERAL";"TAB3",#N/A,TRUE,"GENERAL";"TAB4",#N/A,TRUE,"GENERAL";"TAB5",#N/A,TRUE,"GENERAL"}</definedName>
    <definedName name="_b4" hidden="1">{"TAB1",#N/A,TRUE,"GENERAL";"TAB2",#N/A,TRUE,"GENERAL";"TAB3",#N/A,TRUE,"GENERAL";"TAB4",#N/A,TRUE,"GENERAL";"TAB5",#N/A,TRUE,"GENERAL"}</definedName>
    <definedName name="_b5" localSheetId="16" hidden="1">{"TAB1",#N/A,TRUE,"GENERAL";"TAB2",#N/A,TRUE,"GENERAL";"TAB3",#N/A,TRUE,"GENERAL";"TAB4",#N/A,TRUE,"GENERAL";"TAB5",#N/A,TRUE,"GENERAL"}</definedName>
    <definedName name="_b5" hidden="1">{"TAB1",#N/A,TRUE,"GENERAL";"TAB2",#N/A,TRUE,"GENERAL";"TAB3",#N/A,TRUE,"GENERAL";"TAB4",#N/A,TRUE,"GENERAL";"TAB5",#N/A,TRUE,"GENERAL"}</definedName>
    <definedName name="_b6" localSheetId="16" hidden="1">{"TAB1",#N/A,TRUE,"GENERAL";"TAB2",#N/A,TRUE,"GENERAL";"TAB3",#N/A,TRUE,"GENERAL";"TAB4",#N/A,TRUE,"GENERAL";"TAB5",#N/A,TRUE,"GENERAL"}</definedName>
    <definedName name="_b6" hidden="1">{"TAB1",#N/A,TRUE,"GENERAL";"TAB2",#N/A,TRUE,"GENERAL";"TAB3",#N/A,TRUE,"GENERAL";"TAB4",#N/A,TRUE,"GENERAL";"TAB5",#N/A,TRUE,"GENERAL"}</definedName>
    <definedName name="_b7" localSheetId="16" hidden="1">{"via1",#N/A,TRUE,"general";"via2",#N/A,TRUE,"general";"via3",#N/A,TRUE,"general"}</definedName>
    <definedName name="_b7" hidden="1">{"via1",#N/A,TRUE,"general";"via2",#N/A,TRUE,"general";"via3",#N/A,TRUE,"general"}</definedName>
    <definedName name="_b8" localSheetId="16" hidden="1">{"via1",#N/A,TRUE,"general";"via2",#N/A,TRUE,"general";"via3",#N/A,TRUE,"general"}</definedName>
    <definedName name="_b8" hidden="1">{"via1",#N/A,TRUE,"general";"via2",#N/A,TRUE,"general";"via3",#N/A,TRUE,"general"}</definedName>
    <definedName name="_bb9" localSheetId="16" hidden="1">{"TAB1",#N/A,TRUE,"GENERAL";"TAB2",#N/A,TRUE,"GENERAL";"TAB3",#N/A,TRUE,"GENERAL";"TAB4",#N/A,TRUE,"GENERAL";"TAB5",#N/A,TRUE,"GENERAL"}</definedName>
    <definedName name="_bb9" hidden="1">{"TAB1",#N/A,TRUE,"GENERAL";"TAB2",#N/A,TRUE,"GENERAL";"TAB3",#N/A,TRUE,"GENERAL";"TAB4",#N/A,TRUE,"GENERAL";"TAB5",#N/A,TRUE,"GENERAL"}</definedName>
    <definedName name="_bgb5" localSheetId="16"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ua1">#REF!</definedName>
    <definedName name="_dasd" hidden="1">#REF!</definedName>
    <definedName name="_DAT5">#REF!</definedName>
    <definedName name="_Dist_Bin" hidden="1">#REF!</definedName>
    <definedName name="_Dist_Values" hidden="1">#REF!</definedName>
    <definedName name="_DM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02">#REF!</definedName>
    <definedName name="_EXC1">#REF!</definedName>
    <definedName name="_EXC10">#REF!</definedName>
    <definedName name="_EXC11">#REF!</definedName>
    <definedName name="_EXC12">#REF!</definedName>
    <definedName name="_EXC2">#REF!</definedName>
    <definedName name="_exc24">#REF!</definedName>
    <definedName name="_EXC3">#REF!</definedName>
    <definedName name="_EXC4">#REF!</definedName>
    <definedName name="_exc40">#REF!</definedName>
    <definedName name="_EXC5">#REF!</definedName>
    <definedName name="_EXC6">#REF!</definedName>
    <definedName name="_EXC7">#REF!</definedName>
    <definedName name="_EXC8">#REF!</definedName>
    <definedName name="_EXC9">#REF!</definedName>
    <definedName name="_FC">#REF!</definedName>
    <definedName name="_fcv1">#REF!</definedName>
    <definedName name="_Fill" hidden="1">#REF!</definedName>
    <definedName name="_xlnm._FilterDatabase" hidden="1">#REF!</definedName>
    <definedName name="_g2" localSheetId="16" hidden="1">{"TAB1",#N/A,TRUE,"GENERAL";"TAB2",#N/A,TRUE,"GENERAL";"TAB3",#N/A,TRUE,"GENERAL";"TAB4",#N/A,TRUE,"GENERAL";"TAB5",#N/A,TRUE,"GENERAL"}</definedName>
    <definedName name="_g2" hidden="1">{"TAB1",#N/A,TRUE,"GENERAL";"TAB2",#N/A,TRUE,"GENERAL";"TAB3",#N/A,TRUE,"GENERAL";"TAB4",#N/A,TRUE,"GENERAL";"TAB5",#N/A,TRUE,"GENERAL"}</definedName>
    <definedName name="_g3" localSheetId="16" hidden="1">{"via1",#N/A,TRUE,"general";"via2",#N/A,TRUE,"general";"via3",#N/A,TRUE,"general"}</definedName>
    <definedName name="_g3" hidden="1">{"via1",#N/A,TRUE,"general";"via2",#N/A,TRUE,"general";"via3",#N/A,TRUE,"general"}</definedName>
    <definedName name="_g4" localSheetId="16" hidden="1">{"via1",#N/A,TRUE,"general";"via2",#N/A,TRUE,"general";"via3",#N/A,TRUE,"general"}</definedName>
    <definedName name="_g4" hidden="1">{"via1",#N/A,TRUE,"general";"via2",#N/A,TRUE,"general";"via3",#N/A,TRUE,"general"}</definedName>
    <definedName name="_g5" localSheetId="16" hidden="1">{"via1",#N/A,TRUE,"general";"via2",#N/A,TRUE,"general";"via3",#N/A,TRUE,"general"}</definedName>
    <definedName name="_g5" hidden="1">{"via1",#N/A,TRUE,"general";"via2",#N/A,TRUE,"general";"via3",#N/A,TRUE,"general"}</definedName>
    <definedName name="_g6" localSheetId="16" hidden="1">{"via1",#N/A,TRUE,"general";"via2",#N/A,TRUE,"general";"via3",#N/A,TRUE,"general"}</definedName>
    <definedName name="_g6" hidden="1">{"via1",#N/A,TRUE,"general";"via2",#N/A,TRUE,"general";"via3",#N/A,TRUE,"general"}</definedName>
    <definedName name="_g7" localSheetId="16" hidden="1">{"TAB1",#N/A,TRUE,"GENERAL";"TAB2",#N/A,TRUE,"GENERAL";"TAB3",#N/A,TRUE,"GENERAL";"TAB4",#N/A,TRUE,"GENERAL";"TAB5",#N/A,TRUE,"GENERAL"}</definedName>
    <definedName name="_g7" hidden="1">{"TAB1",#N/A,TRUE,"GENERAL";"TAB2",#N/A,TRUE,"GENERAL";"TAB3",#N/A,TRUE,"GENERAL";"TAB4",#N/A,TRUE,"GENERAL";"TAB5",#N/A,TRUE,"GENERAL"}</definedName>
    <definedName name="_GR1" localSheetId="16"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6" hidden="1">{"via1",#N/A,TRUE,"general";"via2",#N/A,TRUE,"general";"via3",#N/A,TRUE,"general"}</definedName>
    <definedName name="_gtr4" hidden="1">{"via1",#N/A,TRUE,"general";"via2",#N/A,TRUE,"general";"via3",#N/A,TRUE,"general"}</definedName>
    <definedName name="_h2" localSheetId="16" hidden="1">{"via1",#N/A,TRUE,"general";"via2",#N/A,TRUE,"general";"via3",#N/A,TRUE,"general"}</definedName>
    <definedName name="_h2" hidden="1">{"via1",#N/A,TRUE,"general";"via2",#N/A,TRUE,"general";"via3",#N/A,TRUE,"general"}</definedName>
    <definedName name="_h3" localSheetId="16" hidden="1">{"via1",#N/A,TRUE,"general";"via2",#N/A,TRUE,"general";"via3",#N/A,TRUE,"general"}</definedName>
    <definedName name="_h3" hidden="1">{"via1",#N/A,TRUE,"general";"via2",#N/A,TRUE,"general";"via3",#N/A,TRUE,"general"}</definedName>
    <definedName name="_h4" localSheetId="16" hidden="1">{"TAB1",#N/A,TRUE,"GENERAL";"TAB2",#N/A,TRUE,"GENERAL";"TAB3",#N/A,TRUE,"GENERAL";"TAB4",#N/A,TRUE,"GENERAL";"TAB5",#N/A,TRUE,"GENERAL"}</definedName>
    <definedName name="_h4" hidden="1">{"TAB1",#N/A,TRUE,"GENERAL";"TAB2",#N/A,TRUE,"GENERAL";"TAB3",#N/A,TRUE,"GENERAL";"TAB4",#N/A,TRUE,"GENERAL";"TAB5",#N/A,TRUE,"GENERAL"}</definedName>
    <definedName name="_h5" localSheetId="16" hidden="1">{"TAB1",#N/A,TRUE,"GENERAL";"TAB2",#N/A,TRUE,"GENERAL";"TAB3",#N/A,TRUE,"GENERAL";"TAB4",#N/A,TRUE,"GENERAL";"TAB5",#N/A,TRUE,"GENERAL"}</definedName>
    <definedName name="_h5" hidden="1">{"TAB1",#N/A,TRUE,"GENERAL";"TAB2",#N/A,TRUE,"GENERAL";"TAB3",#N/A,TRUE,"GENERAL";"TAB4",#N/A,TRUE,"GENERAL";"TAB5",#N/A,TRUE,"GENERAL"}</definedName>
    <definedName name="_h6" localSheetId="16" hidden="1">{"via1",#N/A,TRUE,"general";"via2",#N/A,TRUE,"general";"via3",#N/A,TRUE,"general"}</definedName>
    <definedName name="_h6" hidden="1">{"via1",#N/A,TRUE,"general";"via2",#N/A,TRUE,"general";"via3",#N/A,TRUE,"general"}</definedName>
    <definedName name="_h7" localSheetId="16" hidden="1">{"TAB1",#N/A,TRUE,"GENERAL";"TAB2",#N/A,TRUE,"GENERAL";"TAB3",#N/A,TRUE,"GENERAL";"TAB4",#N/A,TRUE,"GENERAL";"TAB5",#N/A,TRUE,"GENERAL"}</definedName>
    <definedName name="_h7" hidden="1">{"TAB1",#N/A,TRUE,"GENERAL";"TAB2",#N/A,TRUE,"GENERAL";"TAB3",#N/A,TRUE,"GENERAL";"TAB4",#N/A,TRUE,"GENERAL";"TAB5",#N/A,TRUE,"GENERAL"}</definedName>
    <definedName name="_h8" localSheetId="16" hidden="1">{"via1",#N/A,TRUE,"general";"via2",#N/A,TRUE,"general";"via3",#N/A,TRUE,"general"}</definedName>
    <definedName name="_h8" hidden="1">{"via1",#N/A,TRUE,"general";"via2",#N/A,TRUE,"general";"via3",#N/A,TRUE,"general"}</definedName>
    <definedName name="_hfh7" localSheetId="16" hidden="1">{"via1",#N/A,TRUE,"general";"via2",#N/A,TRUE,"general";"via3",#N/A,TRUE,"general"}</definedName>
    <definedName name="_hfh7" hidden="1">{"via1",#N/A,TRUE,"general";"via2",#N/A,TRUE,"general";"via3",#N/A,TRUE,"general"}</definedName>
    <definedName name="_i4" localSheetId="16" hidden="1">{"via1",#N/A,TRUE,"general";"via2",#N/A,TRUE,"general";"via3",#N/A,TRUE,"general"}</definedName>
    <definedName name="_i4" hidden="1">{"via1",#N/A,TRUE,"general";"via2",#N/A,TRUE,"general";"via3",#N/A,TRUE,"general"}</definedName>
    <definedName name="_i5" localSheetId="16" hidden="1">{"TAB1",#N/A,TRUE,"GENERAL";"TAB2",#N/A,TRUE,"GENERAL";"TAB3",#N/A,TRUE,"GENERAL";"TAB4",#N/A,TRUE,"GENERAL";"TAB5",#N/A,TRUE,"GENERAL"}</definedName>
    <definedName name="_i5" hidden="1">{"TAB1",#N/A,TRUE,"GENERAL";"TAB2",#N/A,TRUE,"GENERAL";"TAB3",#N/A,TRUE,"GENERAL";"TAB4",#N/A,TRUE,"GENERAL";"TAB5",#N/A,TRUE,"GENERAL"}</definedName>
    <definedName name="_i6" localSheetId="16" hidden="1">{"TAB1",#N/A,TRUE,"GENERAL";"TAB2",#N/A,TRUE,"GENERAL";"TAB3",#N/A,TRUE,"GENERAL";"TAB4",#N/A,TRUE,"GENERAL";"TAB5",#N/A,TRUE,"GENERAL"}</definedName>
    <definedName name="_i6" hidden="1">{"TAB1",#N/A,TRUE,"GENERAL";"TAB2",#N/A,TRUE,"GENERAL";"TAB3",#N/A,TRUE,"GENERAL";"TAB4",#N/A,TRUE,"GENERAL";"TAB5",#N/A,TRUE,"GENERAL"}</definedName>
    <definedName name="_i7" localSheetId="16" hidden="1">{"via1",#N/A,TRUE,"general";"via2",#N/A,TRUE,"general";"via3",#N/A,TRUE,"general"}</definedName>
    <definedName name="_i7" hidden="1">{"via1",#N/A,TRUE,"general";"via2",#N/A,TRUE,"general";"via3",#N/A,TRUE,"general"}</definedName>
    <definedName name="_i77" localSheetId="16" hidden="1">{"TAB1",#N/A,TRUE,"GENERAL";"TAB2",#N/A,TRUE,"GENERAL";"TAB3",#N/A,TRUE,"GENERAL";"TAB4",#N/A,TRUE,"GENERAL";"TAB5",#N/A,TRUE,"GENERAL"}</definedName>
    <definedName name="_i77" hidden="1">{"TAB1",#N/A,TRUE,"GENERAL";"TAB2",#N/A,TRUE,"GENERAL";"TAB3",#N/A,TRUE,"GENERAL";"TAB4",#N/A,TRUE,"GENERAL";"TAB5",#N/A,TRUE,"GENERAL"}</definedName>
    <definedName name="_i8" localSheetId="16" hidden="1">{"via1",#N/A,TRUE,"general";"via2",#N/A,TRUE,"general";"via3",#N/A,TRUE,"general"}</definedName>
    <definedName name="_i8" hidden="1">{"via1",#N/A,TRUE,"general";"via2",#N/A,TRUE,"general";"via3",#N/A,TRUE,"general"}</definedName>
    <definedName name="_i9" localSheetId="16"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NF2">#REF!</definedName>
    <definedName name="_INF3">#REF!</definedName>
    <definedName name="_k3" localSheetId="16" hidden="1">{"TAB1",#N/A,TRUE,"GENERAL";"TAB2",#N/A,TRUE,"GENERAL";"TAB3",#N/A,TRUE,"GENERAL";"TAB4",#N/A,TRUE,"GENERAL";"TAB5",#N/A,TRUE,"GENERAL"}</definedName>
    <definedName name="_k3" hidden="1">{"TAB1",#N/A,TRUE,"GENERAL";"TAB2",#N/A,TRUE,"GENERAL";"TAB3",#N/A,TRUE,"GENERAL";"TAB4",#N/A,TRUE,"GENERAL";"TAB5",#N/A,TRUE,"GENERAL"}</definedName>
    <definedName name="_k4" localSheetId="16" hidden="1">{"via1",#N/A,TRUE,"general";"via2",#N/A,TRUE,"general";"via3",#N/A,TRUE,"general"}</definedName>
    <definedName name="_k4" hidden="1">{"via1",#N/A,TRUE,"general";"via2",#N/A,TRUE,"general";"via3",#N/A,TRUE,"general"}</definedName>
    <definedName name="_k5" localSheetId="16" hidden="1">{"via1",#N/A,TRUE,"general";"via2",#N/A,TRUE,"general";"via3",#N/A,TRUE,"general"}</definedName>
    <definedName name="_k5" hidden="1">{"via1",#N/A,TRUE,"general";"via2",#N/A,TRUE,"general";"via3",#N/A,TRUE,"general"}</definedName>
    <definedName name="_k6" localSheetId="16" hidden="1">{"TAB1",#N/A,TRUE,"GENERAL";"TAB2",#N/A,TRUE,"GENERAL";"TAB3",#N/A,TRUE,"GENERAL";"TAB4",#N/A,TRUE,"GENERAL";"TAB5",#N/A,TRUE,"GENERAL"}</definedName>
    <definedName name="_k6" hidden="1">{"TAB1",#N/A,TRUE,"GENERAL";"TAB2",#N/A,TRUE,"GENERAL";"TAB3",#N/A,TRUE,"GENERAL";"TAB4",#N/A,TRUE,"GENERAL";"TAB5",#N/A,TRUE,"GENERAL"}</definedName>
    <definedName name="_k7" localSheetId="16" hidden="1">{"via1",#N/A,TRUE,"general";"via2",#N/A,TRUE,"general";"via3",#N/A,TRUE,"general"}</definedName>
    <definedName name="_k7" hidden="1">{"via1",#N/A,TRUE,"general";"via2",#N/A,TRUE,"general";"via3",#N/A,TRUE,"general"}</definedName>
    <definedName name="_k8" localSheetId="16" hidden="1">{"via1",#N/A,TRUE,"general";"via2",#N/A,TRUE,"general";"via3",#N/A,TRUE,"general"}</definedName>
    <definedName name="_k8" hidden="1">{"via1",#N/A,TRUE,"general";"via2",#N/A,TRUE,"general";"via3",#N/A,TRUE,"general"}</definedName>
    <definedName name="_k9" localSheetId="16"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EY3" hidden="1">#REF!</definedName>
    <definedName name="_kjk6" localSheetId="16" hidden="1">{"TAB1",#N/A,TRUE,"GENERAL";"TAB2",#N/A,TRUE,"GENERAL";"TAB3",#N/A,TRUE,"GENERAL";"TAB4",#N/A,TRUE,"GENERAL";"TAB5",#N/A,TRUE,"GENERAL"}</definedName>
    <definedName name="_kjk6" hidden="1">{"TAB1",#N/A,TRUE,"GENERAL";"TAB2",#N/A,TRUE,"GENERAL";"TAB3",#N/A,TRUE,"GENERAL";"TAB4",#N/A,TRUE,"GENERAL";"TAB5",#N/A,TRUE,"GENERAL"}</definedName>
    <definedName name="_m3" localSheetId="16" hidden="1">{"via1",#N/A,TRUE,"general";"via2",#N/A,TRUE,"general";"via3",#N/A,TRUE,"general"}</definedName>
    <definedName name="_m3" hidden="1">{"via1",#N/A,TRUE,"general";"via2",#N/A,TRUE,"general";"via3",#N/A,TRUE,"general"}</definedName>
    <definedName name="_m4" localSheetId="16" hidden="1">{"TAB1",#N/A,TRUE,"GENERAL";"TAB2",#N/A,TRUE,"GENERAL";"TAB3",#N/A,TRUE,"GENERAL";"TAB4",#N/A,TRUE,"GENERAL";"TAB5",#N/A,TRUE,"GENERAL"}</definedName>
    <definedName name="_m4" hidden="1">{"TAB1",#N/A,TRUE,"GENERAL";"TAB2",#N/A,TRUE,"GENERAL";"TAB3",#N/A,TRUE,"GENERAL";"TAB4",#N/A,TRUE,"GENERAL";"TAB5",#N/A,TRUE,"GENERAL"}</definedName>
    <definedName name="_m5" localSheetId="16" hidden="1">{"via1",#N/A,TRUE,"general";"via2",#N/A,TRUE,"general";"via3",#N/A,TRUE,"general"}</definedName>
    <definedName name="_m5" hidden="1">{"via1",#N/A,TRUE,"general";"via2",#N/A,TRUE,"general";"via3",#N/A,TRUE,"general"}</definedName>
    <definedName name="_m6" localSheetId="16" hidden="1">{"TAB1",#N/A,TRUE,"GENERAL";"TAB2",#N/A,TRUE,"GENERAL";"TAB3",#N/A,TRUE,"GENERAL";"TAB4",#N/A,TRUE,"GENERAL";"TAB5",#N/A,TRUE,"GENERAL"}</definedName>
    <definedName name="_m6" hidden="1">{"TAB1",#N/A,TRUE,"GENERAL";"TAB2",#N/A,TRUE,"GENERAL";"TAB3",#N/A,TRUE,"GENERAL";"TAB4",#N/A,TRUE,"GENERAL";"TAB5",#N/A,TRUE,"GENERAL"}</definedName>
    <definedName name="_m7" localSheetId="16" hidden="1">{"TAB1",#N/A,TRUE,"GENERAL";"TAB2",#N/A,TRUE,"GENERAL";"TAB3",#N/A,TRUE,"GENERAL";"TAB4",#N/A,TRUE,"GENERAL";"TAB5",#N/A,TRUE,"GENERAL"}</definedName>
    <definedName name="_m7" hidden="1">{"TAB1",#N/A,TRUE,"GENERAL";"TAB2",#N/A,TRUE,"GENERAL";"TAB3",#N/A,TRUE,"GENERAL";"TAB4",#N/A,TRUE,"GENERAL";"TAB5",#N/A,TRUE,"GENERAL"}</definedName>
    <definedName name="_m8" localSheetId="16" hidden="1">{"via1",#N/A,TRUE,"general";"via2",#N/A,TRUE,"general";"via3",#N/A,TRUE,"general"}</definedName>
    <definedName name="_m8" hidden="1">{"via1",#N/A,TRUE,"general";"via2",#N/A,TRUE,"general";"via3",#N/A,TRUE,"general"}</definedName>
    <definedName name="_m9" localSheetId="16" hidden="1">{"via1",#N/A,TRUE,"general";"via2",#N/A,TRUE,"general";"via3",#N/A,TRUE,"general"}</definedName>
    <definedName name="_m9" hidden="1">{"via1",#N/A,TRUE,"general";"via2",#N/A,TRUE,"general";"via3",#N/A,TRUE,"general"}</definedName>
    <definedName name="_MA2">#REF!</definedName>
    <definedName name="_MAT1">#REF!</definedName>
    <definedName name="_MatInverse_In" hidden="1">#REF!</definedName>
    <definedName name="_MatInverse_In1" hidden="1">#REF!</definedName>
    <definedName name="_MATiNVERSE_INN" hidden="1">#REF!</definedName>
    <definedName name="_mor15">#REF!</definedName>
    <definedName name="_n3" localSheetId="16" hidden="1">{"TAB1",#N/A,TRUE,"GENERAL";"TAB2",#N/A,TRUE,"GENERAL";"TAB3",#N/A,TRUE,"GENERAL";"TAB4",#N/A,TRUE,"GENERAL";"TAB5",#N/A,TRUE,"GENERAL"}</definedName>
    <definedName name="_n3" hidden="1">{"TAB1",#N/A,TRUE,"GENERAL";"TAB2",#N/A,TRUE,"GENERAL";"TAB3",#N/A,TRUE,"GENERAL";"TAB4",#N/A,TRUE,"GENERAL";"TAB5",#N/A,TRUE,"GENERAL"}</definedName>
    <definedName name="_n4" localSheetId="16" hidden="1">{"via1",#N/A,TRUE,"general";"via2",#N/A,TRUE,"general";"via3",#N/A,TRUE,"general"}</definedName>
    <definedName name="_n4" hidden="1">{"via1",#N/A,TRUE,"general";"via2",#N/A,TRUE,"general";"via3",#N/A,TRUE,"general"}</definedName>
    <definedName name="_n5" localSheetId="16" hidden="1">{"TAB1",#N/A,TRUE,"GENERAL";"TAB2",#N/A,TRUE,"GENERAL";"TAB3",#N/A,TRUE,"GENERAL";"TAB4",#N/A,TRUE,"GENERAL";"TAB5",#N/A,TRUE,"GENERAL"}</definedName>
    <definedName name="_n5" hidden="1">{"TAB1",#N/A,TRUE,"GENERAL";"TAB2",#N/A,TRUE,"GENERAL";"TAB3",#N/A,TRUE,"GENERAL";"TAB4",#N/A,TRUE,"GENERAL";"TAB5",#N/A,TRUE,"GENERAL"}</definedName>
    <definedName name="_nyn7" localSheetId="16" hidden="1">{"via1",#N/A,TRUE,"general";"via2",#N/A,TRUE,"general";"via3",#N/A,TRUE,"general"}</definedName>
    <definedName name="_nyn7" hidden="1">{"via1",#N/A,TRUE,"general";"via2",#N/A,TRUE,"general";"via3",#N/A,TRUE,"general"}</definedName>
    <definedName name="_o4" localSheetId="16" hidden="1">{"via1",#N/A,TRUE,"general";"via2",#N/A,TRUE,"general";"via3",#N/A,TRUE,"general"}</definedName>
    <definedName name="_o4" hidden="1">{"via1",#N/A,TRUE,"general";"via2",#N/A,TRUE,"general";"via3",#N/A,TRUE,"general"}</definedName>
    <definedName name="_o5" localSheetId="16" hidden="1">{"TAB1",#N/A,TRUE,"GENERAL";"TAB2",#N/A,TRUE,"GENERAL";"TAB3",#N/A,TRUE,"GENERAL";"TAB4",#N/A,TRUE,"GENERAL";"TAB5",#N/A,TRUE,"GENERAL"}</definedName>
    <definedName name="_o5" hidden="1">{"TAB1",#N/A,TRUE,"GENERAL";"TAB2",#N/A,TRUE,"GENERAL";"TAB3",#N/A,TRUE,"GENERAL";"TAB4",#N/A,TRUE,"GENERAL";"TAB5",#N/A,TRUE,"GENERAL"}</definedName>
    <definedName name="_o6" localSheetId="16" hidden="1">{"TAB1",#N/A,TRUE,"GENERAL";"TAB2",#N/A,TRUE,"GENERAL";"TAB3",#N/A,TRUE,"GENERAL";"TAB4",#N/A,TRUE,"GENERAL";"TAB5",#N/A,TRUE,"GENERAL"}</definedName>
    <definedName name="_o6" hidden="1">{"TAB1",#N/A,TRUE,"GENERAL";"TAB2",#N/A,TRUE,"GENERAL";"TAB3",#N/A,TRUE,"GENERAL";"TAB4",#N/A,TRUE,"GENERAL";"TAB5",#N/A,TRUE,"GENERAL"}</definedName>
    <definedName name="_o7" localSheetId="16" hidden="1">{"TAB1",#N/A,TRUE,"GENERAL";"TAB2",#N/A,TRUE,"GENERAL";"TAB3",#N/A,TRUE,"GENERAL";"TAB4",#N/A,TRUE,"GENERAL";"TAB5",#N/A,TRUE,"GENERAL"}</definedName>
    <definedName name="_o7" hidden="1">{"TAB1",#N/A,TRUE,"GENERAL";"TAB2",#N/A,TRUE,"GENERAL";"TAB3",#N/A,TRUE,"GENERAL";"TAB4",#N/A,TRUE,"GENERAL";"TAB5",#N/A,TRUE,"GENERAL"}</definedName>
    <definedName name="_o8" localSheetId="16" hidden="1">{"via1",#N/A,TRUE,"general";"via2",#N/A,TRUE,"general";"via3",#N/A,TRUE,"general"}</definedName>
    <definedName name="_o8" hidden="1">{"via1",#N/A,TRUE,"general";"via2",#N/A,TRUE,"general";"via3",#N/A,TRUE,"general"}</definedName>
    <definedName name="_o9" localSheetId="16"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6" hidden="1">{"via1",#N/A,TRUE,"general";"via2",#N/A,TRUE,"general";"via3",#N/A,TRUE,"general"}</definedName>
    <definedName name="_p6" hidden="1">{"via1",#N/A,TRUE,"general";"via2",#N/A,TRUE,"general";"via3",#N/A,TRUE,"general"}</definedName>
    <definedName name="_p7" localSheetId="16" hidden="1">{"via1",#N/A,TRUE,"general";"via2",#N/A,TRUE,"general";"via3",#N/A,TRUE,"general"}</definedName>
    <definedName name="_p7" hidden="1">{"via1",#N/A,TRUE,"general";"via2",#N/A,TRUE,"general";"via3",#N/A,TRUE,"general"}</definedName>
    <definedName name="_p8" localSheetId="16"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2">#REF!</definedName>
    <definedName name="_r" hidden="1">#REF!</definedName>
    <definedName name="_r4r" localSheetId="16" hidden="1">{"via1",#N/A,TRUE,"general";"via2",#N/A,TRUE,"general";"via3",#N/A,TRUE,"general"}</definedName>
    <definedName name="_r4r" hidden="1">{"via1",#N/A,TRUE,"general";"via2",#N/A,TRUE,"general";"via3",#N/A,TRUE,"general"}</definedName>
    <definedName name="_Rc">#REF!</definedName>
    <definedName name="_Regression_Int" hidden="1">1</definedName>
    <definedName name="_rtu6" localSheetId="16" hidden="1">{"via1",#N/A,TRUE,"general";"via2",#N/A,TRUE,"general";"via3",#N/A,TRUE,"general"}</definedName>
    <definedName name="_rtu6" hidden="1">{"via1",#N/A,TRUE,"general";"via2",#N/A,TRUE,"general";"via3",#N/A,TRUE,"general"}</definedName>
    <definedName name="_s" hidden="1">#REF!</definedName>
    <definedName name="_s1" localSheetId="16" hidden="1">{"via1",#N/A,TRUE,"general";"via2",#N/A,TRUE,"general";"via3",#N/A,TRUE,"general"}</definedName>
    <definedName name="_s1" hidden="1">{"via1",#N/A,TRUE,"general";"via2",#N/A,TRUE,"general";"via3",#N/A,TRUE,"general"}</definedName>
    <definedName name="_s2" localSheetId="16" hidden="1">{"TAB1",#N/A,TRUE,"GENERAL";"TAB2",#N/A,TRUE,"GENERAL";"TAB3",#N/A,TRUE,"GENERAL";"TAB4",#N/A,TRUE,"GENERAL";"TAB5",#N/A,TRUE,"GENERAL"}</definedName>
    <definedName name="_s2" hidden="1">{"TAB1",#N/A,TRUE,"GENERAL";"TAB2",#N/A,TRUE,"GENERAL";"TAB3",#N/A,TRUE,"GENERAL";"TAB4",#N/A,TRUE,"GENERAL";"TAB5",#N/A,TRUE,"GENERAL"}</definedName>
    <definedName name="_s3" localSheetId="16" hidden="1">{"TAB1",#N/A,TRUE,"GENERAL";"TAB2",#N/A,TRUE,"GENERAL";"TAB3",#N/A,TRUE,"GENERAL";"TAB4",#N/A,TRUE,"GENERAL";"TAB5",#N/A,TRUE,"GENERAL"}</definedName>
    <definedName name="_s3" hidden="1">{"TAB1",#N/A,TRUE,"GENERAL";"TAB2",#N/A,TRUE,"GENERAL";"TAB3",#N/A,TRUE,"GENERAL";"TAB4",#N/A,TRUE,"GENERAL";"TAB5",#N/A,TRUE,"GENERAL"}</definedName>
    <definedName name="_s4" localSheetId="16" hidden="1">{"via1",#N/A,TRUE,"general";"via2",#N/A,TRUE,"general";"via3",#N/A,TRUE,"general"}</definedName>
    <definedName name="_s4" hidden="1">{"via1",#N/A,TRUE,"general";"via2",#N/A,TRUE,"general";"via3",#N/A,TRUE,"general"}</definedName>
    <definedName name="_s5" localSheetId="16" hidden="1">{"via1",#N/A,TRUE,"general";"via2",#N/A,TRUE,"general";"via3",#N/A,TRUE,"general"}</definedName>
    <definedName name="_s5" hidden="1">{"via1",#N/A,TRUE,"general";"via2",#N/A,TRUE,"general";"via3",#N/A,TRUE,"general"}</definedName>
    <definedName name="_s6" localSheetId="16" hidden="1">{"TAB1",#N/A,TRUE,"GENERAL";"TAB2",#N/A,TRUE,"GENERAL";"TAB3",#N/A,TRUE,"GENERAL";"TAB4",#N/A,TRUE,"GENERAL";"TAB5",#N/A,TRUE,"GENERAL"}</definedName>
    <definedName name="_s6" hidden="1">{"TAB1",#N/A,TRUE,"GENERAL";"TAB2",#N/A,TRUE,"GENERAL";"TAB3",#N/A,TRUE,"GENERAL";"TAB4",#N/A,TRUE,"GENERAL";"TAB5",#N/A,TRUE,"GENERAL"}</definedName>
    <definedName name="_s7" localSheetId="16"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Sort1" hidden="1">#REF!</definedName>
    <definedName name="_t3" localSheetId="16" hidden="1">{"TAB1",#N/A,TRUE,"GENERAL";"TAB2",#N/A,TRUE,"GENERAL";"TAB3",#N/A,TRUE,"GENERAL";"TAB4",#N/A,TRUE,"GENERAL";"TAB5",#N/A,TRUE,"GENERAL"}</definedName>
    <definedName name="_t3" hidden="1">{"TAB1",#N/A,TRUE,"GENERAL";"TAB2",#N/A,TRUE,"GENERAL";"TAB3",#N/A,TRUE,"GENERAL";"TAB4",#N/A,TRUE,"GENERAL";"TAB5",#N/A,TRUE,"GENERAL"}</definedName>
    <definedName name="_t4" localSheetId="16" hidden="1">{"via1",#N/A,TRUE,"general";"via2",#N/A,TRUE,"general";"via3",#N/A,TRUE,"general"}</definedName>
    <definedName name="_t4" hidden="1">{"via1",#N/A,TRUE,"general";"via2",#N/A,TRUE,"general";"via3",#N/A,TRUE,"general"}</definedName>
    <definedName name="_t5" localSheetId="16" hidden="1">{"TAB1",#N/A,TRUE,"GENERAL";"TAB2",#N/A,TRUE,"GENERAL";"TAB3",#N/A,TRUE,"GENERAL";"TAB4",#N/A,TRUE,"GENERAL";"TAB5",#N/A,TRUE,"GENERAL"}</definedName>
    <definedName name="_t5" hidden="1">{"TAB1",#N/A,TRUE,"GENERAL";"TAB2",#N/A,TRUE,"GENERAL";"TAB3",#N/A,TRUE,"GENERAL";"TAB4",#N/A,TRUE,"GENERAL";"TAB5",#N/A,TRUE,"GENERAL"}</definedName>
    <definedName name="_t6" localSheetId="16" hidden="1">{"via1",#N/A,TRUE,"general";"via2",#N/A,TRUE,"general";"via3",#N/A,TRUE,"general"}</definedName>
    <definedName name="_t6" hidden="1">{"via1",#N/A,TRUE,"general";"via2",#N/A,TRUE,"general";"via3",#N/A,TRUE,"general"}</definedName>
    <definedName name="_t66" localSheetId="16" hidden="1">{"TAB1",#N/A,TRUE,"GENERAL";"TAB2",#N/A,TRUE,"GENERAL";"TAB3",#N/A,TRUE,"GENERAL";"TAB4",#N/A,TRUE,"GENERAL";"TAB5",#N/A,TRUE,"GENERAL"}</definedName>
    <definedName name="_t66" hidden="1">{"TAB1",#N/A,TRUE,"GENERAL";"TAB2",#N/A,TRUE,"GENERAL";"TAB3",#N/A,TRUE,"GENERAL";"TAB4",#N/A,TRUE,"GENERAL";"TAB5",#N/A,TRUE,"GENERAL"}</definedName>
    <definedName name="_t7" localSheetId="16" hidden="1">{"via1",#N/A,TRUE,"general";"via2",#N/A,TRUE,"general";"via3",#N/A,TRUE,"general"}</definedName>
    <definedName name="_t7" hidden="1">{"via1",#N/A,TRUE,"general";"via2",#N/A,TRUE,"general";"via3",#N/A,TRUE,"general"}</definedName>
    <definedName name="_t77" localSheetId="16" hidden="1">{"TAB1",#N/A,TRUE,"GENERAL";"TAB2",#N/A,TRUE,"GENERAL";"TAB3",#N/A,TRUE,"GENERAL";"TAB4",#N/A,TRUE,"GENERAL";"TAB5",#N/A,TRUE,"GENERAL"}</definedName>
    <definedName name="_t77" hidden="1">{"TAB1",#N/A,TRUE,"GENERAL";"TAB2",#N/A,TRUE,"GENERAL";"TAB3",#N/A,TRUE,"GENERAL";"TAB4",#N/A,TRUE,"GENERAL";"TAB5",#N/A,TRUE,"GENERAL"}</definedName>
    <definedName name="_t8" localSheetId="16" hidden="1">{"TAB1",#N/A,TRUE,"GENERAL";"TAB2",#N/A,TRUE,"GENERAL";"TAB3",#N/A,TRUE,"GENERAL";"TAB4",#N/A,TRUE,"GENERAL";"TAB5",#N/A,TRUE,"GENERAL"}</definedName>
    <definedName name="_t8" hidden="1">{"TAB1",#N/A,TRUE,"GENERAL";"TAB2",#N/A,TRUE,"GENERAL";"TAB3",#N/A,TRUE,"GENERAL";"TAB4",#N/A,TRUE,"GENERAL";"TAB5",#N/A,TRUE,"GENERAL"}</definedName>
    <definedName name="_t88" localSheetId="16" hidden="1">{"via1",#N/A,TRUE,"general";"via2",#N/A,TRUE,"general";"via3",#N/A,TRUE,"general"}</definedName>
    <definedName name="_t88" hidden="1">{"via1",#N/A,TRUE,"general";"via2",#N/A,TRUE,"general";"via3",#N/A,TRUE,"general"}</definedName>
    <definedName name="_t9" localSheetId="16" hidden="1">{"TAB1",#N/A,TRUE,"GENERAL";"TAB2",#N/A,TRUE,"GENERAL";"TAB3",#N/A,TRUE,"GENERAL";"TAB4",#N/A,TRUE,"GENERAL";"TAB5",#N/A,TRUE,"GENERAL"}</definedName>
    <definedName name="_t9" hidden="1">{"TAB1",#N/A,TRUE,"GENERAL";"TAB2",#N/A,TRUE,"GENERAL";"TAB3",#N/A,TRUE,"GENERAL";"TAB4",#N/A,TRUE,"GENERAL";"TAB5",#N/A,TRUE,"GENERAL"}</definedName>
    <definedName name="_t99" localSheetId="16"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b3">#REF!</definedName>
    <definedName name="_u4" localSheetId="16" hidden="1">{"TAB1",#N/A,TRUE,"GENERAL";"TAB2",#N/A,TRUE,"GENERAL";"TAB3",#N/A,TRUE,"GENERAL";"TAB4",#N/A,TRUE,"GENERAL";"TAB5",#N/A,TRUE,"GENERAL"}</definedName>
    <definedName name="_u4" hidden="1">{"TAB1",#N/A,TRUE,"GENERAL";"TAB2",#N/A,TRUE,"GENERAL";"TAB3",#N/A,TRUE,"GENERAL";"TAB4",#N/A,TRUE,"GENERAL";"TAB5",#N/A,TRUE,"GENERAL"}</definedName>
    <definedName name="_u5" localSheetId="16" hidden="1">{"TAB1",#N/A,TRUE,"GENERAL";"TAB2",#N/A,TRUE,"GENERAL";"TAB3",#N/A,TRUE,"GENERAL";"TAB4",#N/A,TRUE,"GENERAL";"TAB5",#N/A,TRUE,"GENERAL"}</definedName>
    <definedName name="_u5" hidden="1">{"TAB1",#N/A,TRUE,"GENERAL";"TAB2",#N/A,TRUE,"GENERAL";"TAB3",#N/A,TRUE,"GENERAL";"TAB4",#N/A,TRUE,"GENERAL";"TAB5",#N/A,TRUE,"GENERAL"}</definedName>
    <definedName name="_u6" localSheetId="16" hidden="1">{"TAB1",#N/A,TRUE,"GENERAL";"TAB2",#N/A,TRUE,"GENERAL";"TAB3",#N/A,TRUE,"GENERAL";"TAB4",#N/A,TRUE,"GENERAL";"TAB5",#N/A,TRUE,"GENERAL"}</definedName>
    <definedName name="_u6" hidden="1">{"TAB1",#N/A,TRUE,"GENERAL";"TAB2",#N/A,TRUE,"GENERAL";"TAB3",#N/A,TRUE,"GENERAL";"TAB4",#N/A,TRUE,"GENERAL";"TAB5",#N/A,TRUE,"GENERAL"}</definedName>
    <definedName name="_u7" localSheetId="16" hidden="1">{"via1",#N/A,TRUE,"general";"via2",#N/A,TRUE,"general";"via3",#N/A,TRUE,"general"}</definedName>
    <definedName name="_u7" hidden="1">{"via1",#N/A,TRUE,"general";"via2",#N/A,TRUE,"general";"via3",#N/A,TRUE,"general"}</definedName>
    <definedName name="_u8" localSheetId="16" hidden="1">{"TAB1",#N/A,TRUE,"GENERAL";"TAB2",#N/A,TRUE,"GENERAL";"TAB3",#N/A,TRUE,"GENERAL";"TAB4",#N/A,TRUE,"GENERAL";"TAB5",#N/A,TRUE,"GENERAL"}</definedName>
    <definedName name="_u8" hidden="1">{"TAB1",#N/A,TRUE,"GENERAL";"TAB2",#N/A,TRUE,"GENERAL";"TAB3",#N/A,TRUE,"GENERAL";"TAB4",#N/A,TRUE,"GENERAL";"TAB5",#N/A,TRUE,"GENERAL"}</definedName>
    <definedName name="_u9" localSheetId="16" hidden="1">{"TAB1",#N/A,TRUE,"GENERAL";"TAB2",#N/A,TRUE,"GENERAL";"TAB3",#N/A,TRUE,"GENERAL";"TAB4",#N/A,TRUE,"GENERAL";"TAB5",#N/A,TRUE,"GENERAL"}</definedName>
    <definedName name="_u9" hidden="1">{"TAB1",#N/A,TRUE,"GENERAL";"TAB2",#N/A,TRUE,"GENERAL";"TAB3",#N/A,TRUE,"GENERAL";"TAB4",#N/A,TRUE,"GENERAL";"TAB5",#N/A,TRUE,"GENERAL"}</definedName>
    <definedName name="_ur7" localSheetId="16" hidden="1">{"TAB1",#N/A,TRUE,"GENERAL";"TAB2",#N/A,TRUE,"GENERAL";"TAB3",#N/A,TRUE,"GENERAL";"TAB4",#N/A,TRUE,"GENERAL";"TAB5",#N/A,TRUE,"GENERAL"}</definedName>
    <definedName name="_ur7" hidden="1">{"TAB1",#N/A,TRUE,"GENERAL";"TAB2",#N/A,TRUE,"GENERAL";"TAB3",#N/A,TRUE,"GENERAL";"TAB4",#N/A,TRUE,"GENERAL";"TAB5",#N/A,TRUE,"GENERAL"}</definedName>
    <definedName name="_v2" localSheetId="16" hidden="1">{"via1",#N/A,TRUE,"general";"via2",#N/A,TRUE,"general";"via3",#N/A,TRUE,"general"}</definedName>
    <definedName name="_v2" hidden="1">{"via1",#N/A,TRUE,"general";"via2",#N/A,TRUE,"general";"via3",#N/A,TRUE,"general"}</definedName>
    <definedName name="_v3" localSheetId="16" hidden="1">{"TAB1",#N/A,TRUE,"GENERAL";"TAB2",#N/A,TRUE,"GENERAL";"TAB3",#N/A,TRUE,"GENERAL";"TAB4",#N/A,TRUE,"GENERAL";"TAB5",#N/A,TRUE,"GENERAL"}</definedName>
    <definedName name="_v3" hidden="1">{"TAB1",#N/A,TRUE,"GENERAL";"TAB2",#N/A,TRUE,"GENERAL";"TAB3",#N/A,TRUE,"GENERAL";"TAB4",#N/A,TRUE,"GENERAL";"TAB5",#N/A,TRUE,"GENERAL"}</definedName>
    <definedName name="_v4" localSheetId="16" hidden="1">{"TAB1",#N/A,TRUE,"GENERAL";"TAB2",#N/A,TRUE,"GENERAL";"TAB3",#N/A,TRUE,"GENERAL";"TAB4",#N/A,TRUE,"GENERAL";"TAB5",#N/A,TRUE,"GENERAL"}</definedName>
    <definedName name="_v4" hidden="1">{"TAB1",#N/A,TRUE,"GENERAL";"TAB2",#N/A,TRUE,"GENERAL";"TAB3",#N/A,TRUE,"GENERAL";"TAB4",#N/A,TRUE,"GENERAL";"TAB5",#N/A,TRUE,"GENERAL"}</definedName>
    <definedName name="_v5" localSheetId="16" hidden="1">{"TAB1",#N/A,TRUE,"GENERAL";"TAB2",#N/A,TRUE,"GENERAL";"TAB3",#N/A,TRUE,"GENERAL";"TAB4",#N/A,TRUE,"GENERAL";"TAB5",#N/A,TRUE,"GENERAL"}</definedName>
    <definedName name="_v5" hidden="1">{"TAB1",#N/A,TRUE,"GENERAL";"TAB2",#N/A,TRUE,"GENERAL";"TAB3",#N/A,TRUE,"GENERAL";"TAB4",#N/A,TRUE,"GENERAL";"TAB5",#N/A,TRUE,"GENERAL"}</definedName>
    <definedName name="_v6" localSheetId="16" hidden="1">{"TAB1",#N/A,TRUE,"GENERAL";"TAB2",#N/A,TRUE,"GENERAL";"TAB3",#N/A,TRUE,"GENERAL";"TAB4",#N/A,TRUE,"GENERAL";"TAB5",#N/A,TRUE,"GENERAL"}</definedName>
    <definedName name="_v6" hidden="1">{"TAB1",#N/A,TRUE,"GENERAL";"TAB2",#N/A,TRUE,"GENERAL";"TAB3",#N/A,TRUE,"GENERAL";"TAB4",#N/A,TRUE,"GENERAL";"TAB5",#N/A,TRUE,"GENERAL"}</definedName>
    <definedName name="_v7" localSheetId="16" hidden="1">{"via1",#N/A,TRUE,"general";"via2",#N/A,TRUE,"general";"via3",#N/A,TRUE,"general"}</definedName>
    <definedName name="_v7" hidden="1">{"via1",#N/A,TRUE,"general";"via2",#N/A,TRUE,"general";"via3",#N/A,TRUE,"general"}</definedName>
    <definedName name="_v8" localSheetId="16" hidden="1">{"TAB1",#N/A,TRUE,"GENERAL";"TAB2",#N/A,TRUE,"GENERAL";"TAB3",#N/A,TRUE,"GENERAL";"TAB4",#N/A,TRUE,"GENERAL";"TAB5",#N/A,TRUE,"GENERAL"}</definedName>
    <definedName name="_v8" hidden="1">{"TAB1",#N/A,TRUE,"GENERAL";"TAB2",#N/A,TRUE,"GENERAL";"TAB3",#N/A,TRUE,"GENERAL";"TAB4",#N/A,TRUE,"GENERAL";"TAB5",#N/A,TRUE,"GENERAL"}</definedName>
    <definedName name="_v9" localSheetId="16" hidden="1">{"TAB1",#N/A,TRUE,"GENERAL";"TAB2",#N/A,TRUE,"GENERAL";"TAB3",#N/A,TRUE,"GENERAL";"TAB4",#N/A,TRUE,"GENERAL";"TAB5",#N/A,TRUE,"GENERAL"}</definedName>
    <definedName name="_v9" hidden="1">{"TAB1",#N/A,TRUE,"GENERAL";"TAB2",#N/A,TRUE,"GENERAL";"TAB3",#N/A,TRUE,"GENERAL";"TAB4",#N/A,TRUE,"GENERAL";"TAB5",#N/A,TRUE,"GENERAL"}</definedName>
    <definedName name="_vfv4" localSheetId="16" hidden="1">{"via1",#N/A,TRUE,"general";"via2",#N/A,TRUE,"general";"via3",#N/A,TRUE,"general"}</definedName>
    <definedName name="_vfv4" hidden="1">{"via1",#N/A,TRUE,"general";"via2",#N/A,TRUE,"general";"via3",#N/A,TRUE,"general"}</definedName>
    <definedName name="_VOL1" hidden="1">#REF!</definedName>
    <definedName name="_VPD1">#REF!</definedName>
    <definedName name="_VPI1">#REF!</definedName>
    <definedName name="_VRA1">#REF!</definedName>
    <definedName name="_x1" localSheetId="16" hidden="1">{"TAB1",#N/A,TRUE,"GENERAL";"TAB2",#N/A,TRUE,"GENERAL";"TAB3",#N/A,TRUE,"GENERAL";"TAB4",#N/A,TRUE,"GENERAL";"TAB5",#N/A,TRUE,"GENERAL"}</definedName>
    <definedName name="_x1" hidden="1">{"TAB1",#N/A,TRUE,"GENERAL";"TAB2",#N/A,TRUE,"GENERAL";"TAB3",#N/A,TRUE,"GENERAL";"TAB4",#N/A,TRUE,"GENERAL";"TAB5",#N/A,TRUE,"GENERAL"}</definedName>
    <definedName name="_x2" localSheetId="16" hidden="1">{"via1",#N/A,TRUE,"general";"via2",#N/A,TRUE,"general";"via3",#N/A,TRUE,"general"}</definedName>
    <definedName name="_x2" hidden="1">{"via1",#N/A,TRUE,"general";"via2",#N/A,TRUE,"general";"via3",#N/A,TRUE,"general"}</definedName>
    <definedName name="_x3" localSheetId="16" hidden="1">{"via1",#N/A,TRUE,"general";"via2",#N/A,TRUE,"general";"via3",#N/A,TRUE,"general"}</definedName>
    <definedName name="_x3" hidden="1">{"via1",#N/A,TRUE,"general";"via2",#N/A,TRUE,"general";"via3",#N/A,TRUE,"general"}</definedName>
    <definedName name="_x4" localSheetId="16" hidden="1">{"via1",#N/A,TRUE,"general";"via2",#N/A,TRUE,"general";"via3",#N/A,TRUE,"general"}</definedName>
    <definedName name="_x4" hidden="1">{"via1",#N/A,TRUE,"general";"via2",#N/A,TRUE,"general";"via3",#N/A,TRUE,"general"}</definedName>
    <definedName name="_x5" localSheetId="16" hidden="1">{"TAB1",#N/A,TRUE,"GENERAL";"TAB2",#N/A,TRUE,"GENERAL";"TAB3",#N/A,TRUE,"GENERAL";"TAB4",#N/A,TRUE,"GENERAL";"TAB5",#N/A,TRUE,"GENERAL"}</definedName>
    <definedName name="_x5" hidden="1">{"TAB1",#N/A,TRUE,"GENERAL";"TAB2",#N/A,TRUE,"GENERAL";"TAB3",#N/A,TRUE,"GENERAL";"TAB4",#N/A,TRUE,"GENERAL";"TAB5",#N/A,TRUE,"GENERAL"}</definedName>
    <definedName name="_x6" localSheetId="16" hidden="1">{"TAB1",#N/A,TRUE,"GENERAL";"TAB2",#N/A,TRUE,"GENERAL";"TAB3",#N/A,TRUE,"GENERAL";"TAB4",#N/A,TRUE,"GENERAL";"TAB5",#N/A,TRUE,"GENERAL"}</definedName>
    <definedName name="_x6" hidden="1">{"TAB1",#N/A,TRUE,"GENERAL";"TAB2",#N/A,TRUE,"GENERAL";"TAB3",#N/A,TRUE,"GENERAL";"TAB4",#N/A,TRUE,"GENERAL";"TAB5",#N/A,TRUE,"GENERAL"}</definedName>
    <definedName name="_x7" localSheetId="16" hidden="1">{"TAB1",#N/A,TRUE,"GENERAL";"TAB2",#N/A,TRUE,"GENERAL";"TAB3",#N/A,TRUE,"GENERAL";"TAB4",#N/A,TRUE,"GENERAL";"TAB5",#N/A,TRUE,"GENERAL"}</definedName>
    <definedName name="_x7" hidden="1">{"TAB1",#N/A,TRUE,"GENERAL";"TAB2",#N/A,TRUE,"GENERAL";"TAB3",#N/A,TRUE,"GENERAL";"TAB4",#N/A,TRUE,"GENERAL";"TAB5",#N/A,TRUE,"GENERAL"}</definedName>
    <definedName name="_x8" localSheetId="16" hidden="1">{"via1",#N/A,TRUE,"general";"via2",#N/A,TRUE,"general";"via3",#N/A,TRUE,"general"}</definedName>
    <definedName name="_x8" hidden="1">{"via1",#N/A,TRUE,"general";"via2",#N/A,TRUE,"general";"via3",#N/A,TRUE,"general"}</definedName>
    <definedName name="_x9" localSheetId="16" hidden="1">{"TAB1",#N/A,TRUE,"GENERAL";"TAB2",#N/A,TRUE,"GENERAL";"TAB3",#N/A,TRUE,"GENERAL";"TAB4",#N/A,TRUE,"GENERAL";"TAB5",#N/A,TRUE,"GENERAL"}</definedName>
    <definedName name="_x9" hidden="1">{"TAB1",#N/A,TRUE,"GENERAL";"TAB2",#N/A,TRUE,"GENERAL";"TAB3",#N/A,TRUE,"GENERAL";"TAB4",#N/A,TRUE,"GENERAL";"TAB5",#N/A,TRUE,"GENERAL"}</definedName>
    <definedName name="_y2" localSheetId="16" hidden="1">{"TAB1",#N/A,TRUE,"GENERAL";"TAB2",#N/A,TRUE,"GENERAL";"TAB3",#N/A,TRUE,"GENERAL";"TAB4",#N/A,TRUE,"GENERAL";"TAB5",#N/A,TRUE,"GENERAL"}</definedName>
    <definedName name="_y2" hidden="1">{"TAB1",#N/A,TRUE,"GENERAL";"TAB2",#N/A,TRUE,"GENERAL";"TAB3",#N/A,TRUE,"GENERAL";"TAB4",#N/A,TRUE,"GENERAL";"TAB5",#N/A,TRUE,"GENERAL"}</definedName>
    <definedName name="_y3" localSheetId="16" hidden="1">{"via1",#N/A,TRUE,"general";"via2",#N/A,TRUE,"general";"via3",#N/A,TRUE,"general"}</definedName>
    <definedName name="_y3" hidden="1">{"via1",#N/A,TRUE,"general";"via2",#N/A,TRUE,"general";"via3",#N/A,TRUE,"general"}</definedName>
    <definedName name="_y4" localSheetId="16" hidden="1">{"via1",#N/A,TRUE,"general";"via2",#N/A,TRUE,"general";"via3",#N/A,TRUE,"general"}</definedName>
    <definedName name="_y4" hidden="1">{"via1",#N/A,TRUE,"general";"via2",#N/A,TRUE,"general";"via3",#N/A,TRUE,"general"}</definedName>
    <definedName name="_y5" localSheetId="16" hidden="1">{"TAB1",#N/A,TRUE,"GENERAL";"TAB2",#N/A,TRUE,"GENERAL";"TAB3",#N/A,TRUE,"GENERAL";"TAB4",#N/A,TRUE,"GENERAL";"TAB5",#N/A,TRUE,"GENERAL"}</definedName>
    <definedName name="_y5" hidden="1">{"TAB1",#N/A,TRUE,"GENERAL";"TAB2",#N/A,TRUE,"GENERAL";"TAB3",#N/A,TRUE,"GENERAL";"TAB4",#N/A,TRUE,"GENERAL";"TAB5",#N/A,TRUE,"GENERAL"}</definedName>
    <definedName name="_y6" localSheetId="16" hidden="1">{"via1",#N/A,TRUE,"general";"via2",#N/A,TRUE,"general";"via3",#N/A,TRUE,"general"}</definedName>
    <definedName name="_y6" hidden="1">{"via1",#N/A,TRUE,"general";"via2",#N/A,TRUE,"general";"via3",#N/A,TRUE,"general"}</definedName>
    <definedName name="_y7" localSheetId="16" hidden="1">{"via1",#N/A,TRUE,"general";"via2",#N/A,TRUE,"general";"via3",#N/A,TRUE,"general"}</definedName>
    <definedName name="_y7" hidden="1">{"via1",#N/A,TRUE,"general";"via2",#N/A,TRUE,"general";"via3",#N/A,TRUE,"general"}</definedName>
    <definedName name="_y8" localSheetId="16" hidden="1">{"via1",#N/A,TRUE,"general";"via2",#N/A,TRUE,"general";"via3",#N/A,TRUE,"general"}</definedName>
    <definedName name="_y8" hidden="1">{"via1",#N/A,TRUE,"general";"via2",#N/A,TRUE,"general";"via3",#N/A,TRUE,"general"}</definedName>
    <definedName name="_y9" localSheetId="16" hidden="1">{"TAB1",#N/A,TRUE,"GENERAL";"TAB2",#N/A,TRUE,"GENERAL";"TAB3",#N/A,TRUE,"GENERAL";"TAB4",#N/A,TRUE,"GENERAL";"TAB5",#N/A,TRUE,"GENERAL"}</definedName>
    <definedName name="_y9" hidden="1">{"TAB1",#N/A,TRUE,"GENERAL";"TAB2",#N/A,TRUE,"GENERAL";"TAB3",#N/A,TRUE,"GENERAL";"TAB4",#N/A,TRUE,"GENERAL";"TAB5",#N/A,TRUE,"GENERAL"}</definedName>
    <definedName name="_z1" localSheetId="16" hidden="1">{"TAB1",#N/A,TRUE,"GENERAL";"TAB2",#N/A,TRUE,"GENERAL";"TAB3",#N/A,TRUE,"GENERAL";"TAB4",#N/A,TRUE,"GENERAL";"TAB5",#N/A,TRUE,"GENERAL"}</definedName>
    <definedName name="_z1" hidden="1">{"TAB1",#N/A,TRUE,"GENERAL";"TAB2",#N/A,TRUE,"GENERAL";"TAB3",#N/A,TRUE,"GENERAL";"TAB4",#N/A,TRUE,"GENERAL";"TAB5",#N/A,TRUE,"GENERAL"}</definedName>
    <definedName name="_z2" localSheetId="16" hidden="1">{"via1",#N/A,TRUE,"general";"via2",#N/A,TRUE,"general";"via3",#N/A,TRUE,"general"}</definedName>
    <definedName name="_z2" hidden="1">{"via1",#N/A,TRUE,"general";"via2",#N/A,TRUE,"general";"via3",#N/A,TRUE,"general"}</definedName>
    <definedName name="_z3" localSheetId="16" hidden="1">{"via1",#N/A,TRUE,"general";"via2",#N/A,TRUE,"general";"via3",#N/A,TRUE,"general"}</definedName>
    <definedName name="_z3" hidden="1">{"via1",#N/A,TRUE,"general";"via2",#N/A,TRUE,"general";"via3",#N/A,TRUE,"general"}</definedName>
    <definedName name="_z4" localSheetId="16" hidden="1">{"TAB1",#N/A,TRUE,"GENERAL";"TAB2",#N/A,TRUE,"GENERAL";"TAB3",#N/A,TRUE,"GENERAL";"TAB4",#N/A,TRUE,"GENERAL";"TAB5",#N/A,TRUE,"GENERAL"}</definedName>
    <definedName name="_z4" hidden="1">{"TAB1",#N/A,TRUE,"GENERAL";"TAB2",#N/A,TRUE,"GENERAL";"TAB3",#N/A,TRUE,"GENERAL";"TAB4",#N/A,TRUE,"GENERAL";"TAB5",#N/A,TRUE,"GENERAL"}</definedName>
    <definedName name="_z5" localSheetId="16" hidden="1">{"via1",#N/A,TRUE,"general";"via2",#N/A,TRUE,"general";"via3",#N/A,TRUE,"general"}</definedName>
    <definedName name="_z5" hidden="1">{"via1",#N/A,TRUE,"general";"via2",#N/A,TRUE,"general";"via3",#N/A,TRUE,"general"}</definedName>
    <definedName name="_z6" localSheetId="16" hidden="1">{"TAB1",#N/A,TRUE,"GENERAL";"TAB2",#N/A,TRUE,"GENERAL";"TAB3",#N/A,TRUE,"GENERAL";"TAB4",#N/A,TRUE,"GENERAL";"TAB5",#N/A,TRUE,"GENERAL"}</definedName>
    <definedName name="_z6" hidden="1">{"TAB1",#N/A,TRUE,"GENERAL";"TAB2",#N/A,TRUE,"GENERAL";"TAB3",#N/A,TRUE,"GENERAL";"TAB4",#N/A,TRUE,"GENERAL";"TAB5",#N/A,TRUE,"GENERAL"}</definedName>
    <definedName name="A">#REF!</definedName>
    <definedName name="A_impresión_IM">#REF!</definedName>
    <definedName name="A_impresión_IM_2">#REF!</definedName>
    <definedName name="a2a" localSheetId="16" hidden="1">{"TAB1",#N/A,TRUE,"GENERAL";"TAB2",#N/A,TRUE,"GENERAL";"TAB3",#N/A,TRUE,"GENERAL";"TAB4",#N/A,TRUE,"GENERAL";"TAB5",#N/A,TRUE,"GENERAL"}</definedName>
    <definedName name="a2a" hidden="1">{"TAB1",#N/A,TRUE,"GENERAL";"TAB2",#N/A,TRUE,"GENERAL";"TAB3",#N/A,TRUE,"GENERAL";"TAB4",#N/A,TRUE,"GENERAL";"TAB5",#N/A,TRUE,"GENERAL"}</definedName>
    <definedName name="A60FIG">#REF!</definedName>
    <definedName name="Aa">#REF!</definedName>
    <definedName name="AA_1" localSheetId="16" hidden="1">{#N/A,#N/A,TRUE,"INGENIERIA";#N/A,#N/A,TRUE,"COMPRAS";#N/A,#N/A,TRUE,"DIRECCION";#N/A,#N/A,TRUE,"RESUMEN"}</definedName>
    <definedName name="AA_1" hidden="1">{#N/A,#N/A,TRUE,"INGENIERIA";#N/A,#N/A,TRUE,"COMPRAS";#N/A,#N/A,TRUE,"DIRECCION";#N/A,#N/A,TRUE,"RESUMEN"}</definedName>
    <definedName name="AA_2" localSheetId="16" hidden="1">{#N/A,#N/A,TRUE,"INGENIERIA";#N/A,#N/A,TRUE,"COMPRAS";#N/A,#N/A,TRUE,"DIRECCION";#N/A,#N/A,TRUE,"RESUMEN"}</definedName>
    <definedName name="AA_2" hidden="1">{#N/A,#N/A,TRUE,"INGENIERIA";#N/A,#N/A,TRUE,"COMPRAS";#N/A,#N/A,TRUE,"DIRECCION";#N/A,#N/A,TRUE,"RESUMEN"}</definedName>
    <definedName name="AAA">#REF!</definedName>
    <definedName name="aaaa" localSheetId="16"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AAAAA">#REF!</definedName>
    <definedName name="AAAAAAAAAAAAAAAAAAAA">#REF!</definedName>
    <definedName name="aaaaas" localSheetId="16"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#REF!</definedName>
    <definedName name="AANDENES">#REF!</definedName>
    <definedName name="aas" localSheetId="16" hidden="1">{"TAB1",#N/A,TRUE,"GENERAL";"TAB2",#N/A,TRUE,"GENERAL";"TAB3",#N/A,TRUE,"GENERAL";"TAB4",#N/A,TRUE,"GENERAL";"TAB5",#N/A,TRUE,"GENERAL"}</definedName>
    <definedName name="aas" hidden="1">{"TAB1",#N/A,TRUE,"GENERAL";"TAB2",#N/A,TRUE,"GENERAL";"TAB3",#N/A,TRUE,"GENERAL";"TAB4",#N/A,TRUE,"GENERAL";"TAB5",#N/A,TRUE,"GENERAL"}</definedName>
    <definedName name="AAS_1" localSheetId="16" hidden="1">{#N/A,#N/A,TRUE,"INGENIERIA";#N/A,#N/A,TRUE,"COMPRAS";#N/A,#N/A,TRUE,"DIRECCION";#N/A,#N/A,TRUE,"RESUMEN"}</definedName>
    <definedName name="AAS_1" hidden="1">{#N/A,#N/A,TRUE,"INGENIERIA";#N/A,#N/A,TRUE,"COMPRAS";#N/A,#N/A,TRUE,"DIRECCION";#N/A,#N/A,TRUE,"RESUMEN"}</definedName>
    <definedName name="AAS_2" localSheetId="16" hidden="1">{#N/A,#N/A,TRUE,"INGENIERIA";#N/A,#N/A,TRUE,"COMPRAS";#N/A,#N/A,TRUE,"DIRECCION";#N/A,#N/A,TRUE,"RESUMEN"}</definedName>
    <definedName name="AAS_2" hidden="1">{#N/A,#N/A,TRUE,"INGENIERIA";#N/A,#N/A,TRUE,"COMPRAS";#N/A,#N/A,TRUE,"DIRECCION";#N/A,#N/A,TRUE,"RESUMEN"}</definedName>
    <definedName name="aasas">#REF!</definedName>
    <definedName name="AB">#REF!</definedName>
    <definedName name="abc">#REF!</definedName>
    <definedName name="ABCD" hidden="1">#REF!</definedName>
    <definedName name="ABCDE" hidden="1">#REF!</definedName>
    <definedName name="ABG">#REF!</definedName>
    <definedName name="ABR">#REF!</definedName>
    <definedName name="absc">#N/A</definedName>
    <definedName name="ABUSA">#REF!</definedName>
    <definedName name="Ac">#REF!</definedName>
    <definedName name="ACALZADA">#REF!</definedName>
    <definedName name="ACCE2">#REF!</definedName>
    <definedName name="ACCE4">#REF!</definedName>
    <definedName name="ACCE6">#REF!</definedName>
    <definedName name="AccessDatabase" hidden="1">"C:\C-314\VOLUMENES\volfin4.mdb"</definedName>
    <definedName name="acero">#REF!</definedName>
    <definedName name="ACERO_DE_REFUERZO_60000">#REF!</definedName>
    <definedName name="ACERO40">#REF!</definedName>
    <definedName name="ACERO60">#REF!</definedName>
    <definedName name="acondicionamientopozo">#REF!</definedName>
    <definedName name="ACTAAJUSTE3" localSheetId="16" hidden="1">{"via1",#N/A,TRUE,"general";"via2",#N/A,TRUE,"general";"via3",#N/A,TRUE,"general"}</definedName>
    <definedName name="ACTAAJUSTE3" hidden="1">{"via1",#N/A,TRUE,"general";"via2",#N/A,TRUE,"general";"via3",#N/A,TRUE,"general"}</definedName>
    <definedName name="Actaparcial">#REF!</definedName>
    <definedName name="actual">#REF!</definedName>
    <definedName name="ACUM">#REF!</definedName>
    <definedName name="ACwvu.TAB1." hidden="1">#REF!</definedName>
    <definedName name="ACwvu.TAB2." hidden="1">#REF!</definedName>
    <definedName name="ACwvu.TAB3." hidden="1">#REF!</definedName>
    <definedName name="ACwvu.TAB4." hidden="1">#REF!</definedName>
    <definedName name="ACwvu.TAB5." hidden="1">#REF!</definedName>
    <definedName name="Ad">#REF!</definedName>
    <definedName name="adfasdfsa">#REF!</definedName>
    <definedName name="adfasfadfa">#REF!</definedName>
    <definedName name="ADFGSDB" localSheetId="16" hidden="1">{"via1",#N/A,TRUE,"general";"via2",#N/A,TRUE,"general";"via3",#N/A,TRUE,"general"}</definedName>
    <definedName name="ADFGSDB" hidden="1">{"via1",#N/A,TRUE,"general";"via2",#N/A,TRUE,"general";"via3",#N/A,TRUE,"general"}</definedName>
    <definedName name="ADMINISTRADOR">#REF!</definedName>
    <definedName name="ADMINISTRADOR_VIAL__ARMANDO_SANCHEZ_SANCHEZ">#REF!</definedName>
    <definedName name="admon">#REF!</definedName>
    <definedName name="admon1">#REF!</definedName>
    <definedName name="adoq">#REF!</definedName>
    <definedName name="ADSAD" localSheetId="16"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#REF!</definedName>
    <definedName name="aefa" localSheetId="16" hidden="1">{"via1",#N/A,TRUE,"general";"via2",#N/A,TRUE,"general";"via3",#N/A,TRUE,"general"}</definedName>
    <definedName name="aefa" hidden="1">{"via1",#N/A,TRUE,"general";"via2",#N/A,TRUE,"general";"via3",#N/A,TRUE,"general"}</definedName>
    <definedName name="Af">#REF!</definedName>
    <definedName name="afdaffaf">#REF!</definedName>
    <definedName name="afdsw" localSheetId="16" hidden="1">{"TAB1",#N/A,TRUE,"GENERAL";"TAB2",#N/A,TRUE,"GENERAL";"TAB3",#N/A,TRUE,"GENERAL";"TAB4",#N/A,TRUE,"GENERAL";"TAB5",#N/A,TRUE,"GENERAL"}</definedName>
    <definedName name="afdsw" hidden="1">{"TAB1",#N/A,TRUE,"GENERAL";"TAB2",#N/A,TRUE,"GENERAL";"TAB3",#N/A,TRUE,"GENERAL";"TAB4",#N/A,TRUE,"GENERAL";"TAB5",#N/A,TRUE,"GENERAL"}</definedName>
    <definedName name="afirm">#REF!</definedName>
    <definedName name="Ag">#REF!</definedName>
    <definedName name="agdsgg" localSheetId="16" hidden="1">{"via1",#N/A,TRUE,"general";"via2",#N/A,TRUE,"general";"via3",#N/A,TRUE,"general"}</definedName>
    <definedName name="agdsgg" hidden="1">{"via1",#N/A,TRUE,"general";"via2",#N/A,TRUE,"general";"via3",#N/A,TRUE,"general"}</definedName>
    <definedName name="AGO">#REF!</definedName>
    <definedName name="AGUA">#REF!</definedName>
    <definedName name="Ah">#REF!</definedName>
    <definedName name="ahe">#REF!</definedName>
    <definedName name="AI">#REF!</definedName>
    <definedName name="aiu">#REF!</definedName>
    <definedName name="AIU_ADMON">#REF!</definedName>
    <definedName name="AIU_IMP">#REF!</definedName>
    <definedName name="AIU_UTIL">#REF!</definedName>
    <definedName name="aj">#REF!</definedName>
    <definedName name="AjustDelAIU">#REF!</definedName>
    <definedName name="Ajuste">#REF!</definedName>
    <definedName name="Ak">#REF!</definedName>
    <definedName name="ALAMB">#REF!</definedName>
    <definedName name="ALAMBRE">#REF!</definedName>
    <definedName name="ALAMBRE_">#REF!</definedName>
    <definedName name="ALANR">#REF!</definedName>
    <definedName name="alc">#REF!</definedName>
    <definedName name="alt">#REF!</definedName>
    <definedName name="ALTO">#REF!</definedName>
    <definedName name="altosutro">#REF!</definedName>
    <definedName name="ALTURA">#REF!</definedName>
    <definedName name="alturaarena">#REF!</definedName>
    <definedName name="ALTURAPLACAS">#REF!</definedName>
    <definedName name="ALUMTE">#REF!</definedName>
    <definedName name="Am">#REF!</definedName>
    <definedName name="Ambien" hidden="1">#REF!</definedName>
    <definedName name="AMBIENTAL">#REF!</definedName>
    <definedName name="An">#REF!</definedName>
    <definedName name="ANALISIS">#REF!</definedName>
    <definedName name="ancho">#REF!</definedName>
    <definedName name="anchodesarenador">#REF!</definedName>
    <definedName name="ANCHOPLACAS">#REF!</definedName>
    <definedName name="anchosutro">#REF!</definedName>
    <definedName name="ANDAM">#REF!</definedName>
    <definedName name="andenes">#REF!</definedName>
    <definedName name="ANDENESV">#REF!</definedName>
    <definedName name="Angulo_de_platina__1_x1_x1_8">#REF!</definedName>
    <definedName name="anscount" hidden="1">1</definedName>
    <definedName name="ANTIC">#REF!</definedName>
    <definedName name="ANTICIPO">#REF!</definedName>
    <definedName name="ANTISB">#REF!</definedName>
    <definedName name="ANTONIA">#N/A</definedName>
    <definedName name="Añ">#REF!</definedName>
    <definedName name="año">#REF!</definedName>
    <definedName name="año1">#REF!</definedName>
    <definedName name="AÑOWUIE">#REF!</definedName>
    <definedName name="Ao">#REF!</definedName>
    <definedName name="AP">#REF!</definedName>
    <definedName name="APU">#REF!</definedName>
    <definedName name="APU221.1">#REF!</definedName>
    <definedName name="APU221.2">#REF!</definedName>
    <definedName name="Aq">#REF!</definedName>
    <definedName name="aqaq" localSheetId="16"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EA">#REF!</definedName>
    <definedName name="_xlnm.Extract">#REF!</definedName>
    <definedName name="_xlnm.Print_Area">#N/A</definedName>
    <definedName name="ARENA">#REF!</definedName>
    <definedName name="ARENC">#REF!</definedName>
    <definedName name="ARENP">#REF!</definedName>
    <definedName name="Arial">#REF!</definedName>
    <definedName name="aris" hidden="1">#REF!</definedName>
    <definedName name="aris2" hidden="1">#REF!</definedName>
    <definedName name="ARISS" hidden="1">#REF!</definedName>
    <definedName name="ARRENDAM1" localSheetId="16"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6"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a">#REF!</definedName>
    <definedName name="ASB">#REF!</definedName>
    <definedName name="ASD" localSheetId="16" hidden="1">{"via1",#N/A,TRUE,"general";"via2",#N/A,TRUE,"general";"via3",#N/A,TRUE,"general"}</definedName>
    <definedName name="ASD" hidden="1">{"via1",#N/A,TRUE,"general";"via2",#N/A,TRUE,"general";"via3",#N/A,TRUE,"general"}</definedName>
    <definedName name="ASDA" localSheetId="16" hidden="1">{"via1",#N/A,TRUE,"general";"via2",#N/A,TRUE,"general";"via3",#N/A,TRUE,"general"}</definedName>
    <definedName name="ASDA" hidden="1">{"via1",#N/A,TRUE,"general";"via2",#N/A,TRUE,"general";"via3",#N/A,TRUE,"general"}</definedName>
    <definedName name="asdasd" localSheetId="16" hidden="1">{"TAB1",#N/A,TRUE,"GENERAL";"TAB2",#N/A,TRUE,"GENERAL";"TAB3",#N/A,TRUE,"GENERAL";"TAB4",#N/A,TRUE,"GENERAL";"TAB5",#N/A,TRUE,"GENERAL"}</definedName>
    <definedName name="asdasd" hidden="1">{"TAB1",#N/A,TRUE,"GENERAL";"TAB2",#N/A,TRUE,"GENERAL";"TAB3",#N/A,TRUE,"GENERAL";"TAB4",#N/A,TRUE,"GENERAL";"TAB5",#N/A,TRUE,"GENERAL"}</definedName>
    <definedName name="asdf" localSheetId="16" hidden="1">{"via1",#N/A,TRUE,"general";"via2",#N/A,TRUE,"general";"via3",#N/A,TRUE,"general"}</definedName>
    <definedName name="asdf" hidden="1">{"via1",#N/A,TRUE,"general";"via2",#N/A,TRUE,"general";"via3",#N/A,TRUE,"general"}</definedName>
    <definedName name="asdfa" localSheetId="16"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fasd" localSheetId="16" hidden="1">{"via1",#N/A,TRUE,"general";"via2",#N/A,TRUE,"general";"via3",#N/A,TRUE,"general"}</definedName>
    <definedName name="asfasd" hidden="1">{"via1",#N/A,TRUE,"general";"via2",#N/A,TRUE,"general";"via3",#N/A,TRUE,"general"}</definedName>
    <definedName name="asfasdl" localSheetId="16" hidden="1">{"via1",#N/A,TRUE,"general";"via2",#N/A,TRUE,"general";"via3",#N/A,TRUE,"general"}</definedName>
    <definedName name="asfasdl" hidden="1">{"via1",#N/A,TRUE,"general";"via2",#N/A,TRUE,"general";"via3",#N/A,TRUE,"general"}</definedName>
    <definedName name="asff" localSheetId="16" hidden="1">{"TAB1",#N/A,TRUE,"GENERAL";"TAB2",#N/A,TRUE,"GENERAL";"TAB3",#N/A,TRUE,"GENERAL";"TAB4",#N/A,TRUE,"GENERAL";"TAB5",#N/A,TRUE,"GENERAL"}</definedName>
    <definedName name="asff" hidden="1">{"TAB1",#N/A,TRUE,"GENERAL";"TAB2",#N/A,TRUE,"GENERAL";"TAB3",#N/A,TRUE,"GENERAL";"TAB4",#N/A,TRUE,"GENERAL";"TAB5",#N/A,TRUE,"GENERAL"}</definedName>
    <definedName name="asfghjoi" localSheetId="16" hidden="1">{"via1",#N/A,TRUE,"general";"via2",#N/A,TRUE,"general";"via3",#N/A,TRUE,"general"}</definedName>
    <definedName name="asfghjoi" hidden="1">{"via1",#N/A,TRUE,"general";"via2",#N/A,TRUE,"general";"via3",#N/A,TRUE,"general"}</definedName>
    <definedName name="asojkdr" localSheetId="16"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u">#REF!</definedName>
    <definedName name="aur">#REF!</definedName>
    <definedName name="auto1">#REF!</definedName>
    <definedName name="auto2">#REF!</definedName>
    <definedName name="AUTOPISTA">#REF!</definedName>
    <definedName name="av">#REF!</definedName>
    <definedName name="Ax">#REF!</definedName>
    <definedName name="Ay">#REF!</definedName>
    <definedName name="AYU">#REF!</definedName>
    <definedName name="AYUDANTE">#REF!</definedName>
    <definedName name="azaz" localSheetId="16" hidden="1">{"TAB1",#N/A,TRUE,"GENERAL";"TAB2",#N/A,TRUE,"GENERAL";"TAB3",#N/A,TRUE,"GENERAL";"TAB4",#N/A,TRUE,"GENERAL";"TAB5",#N/A,TRUE,"GENERAL"}</definedName>
    <definedName name="azaz" hidden="1">{"TAB1",#N/A,TRUE,"GENERAL";"TAB2",#N/A,TRUE,"GENERAL";"TAB3",#N/A,TRUE,"GENERAL";"TAB4",#N/A,TRUE,"GENERAL";"TAB5",#N/A,TRUE,"GENERAL"}</definedName>
    <definedName name="B" localSheetId="16" hidden="1">{"PYGS",#N/A,FALSE,"PYG";"ACTIS",#N/A,FALSE,"BCE_GRAL-ACTIVO";"PASIS",#N/A,FALSE,"BCE_GRAL-PASIVO-PATRIM";"CAJAS",#N/A,FALSE,"CAJA"}</definedName>
    <definedName name="B" hidden="1">{"PYGS",#N/A,FALSE,"PYG";"ACTIS",#N/A,FALSE,"BCE_GRAL-ACTIVO";"PASIS",#N/A,FALSE,"BCE_GRAL-PASIVO-PATRIM";"CAJAS",#N/A,FALSE,"CAJA"}</definedName>
    <definedName name="B.DATOS">#REF!</definedName>
    <definedName name="B_impresión_IM">#REF!</definedName>
    <definedName name="Ba">#REF!</definedName>
    <definedName name="BALASTO">#REF!</definedName>
    <definedName name="BALDOSIN">#REF!</definedName>
    <definedName name="BANCO">#REF!</definedName>
    <definedName name="bas">#REF!</definedName>
    <definedName name="BASE">#REF!</definedName>
    <definedName name="Base_datos_IM">#REF!</definedName>
    <definedName name="BASE2">#REF!</definedName>
    <definedName name="_xlnm.Database">#REF!</definedName>
    <definedName name="BASEGRAV">#REF!</definedName>
    <definedName name="Bb">#REF!</definedName>
    <definedName name="bbbbbb" localSheetId="16" hidden="1">{"via1",#N/A,TRUE,"general";"via2",#N/A,TRUE,"general";"via3",#N/A,TRUE,"general"}</definedName>
    <definedName name="bbbbbb" hidden="1">{"via1",#N/A,TRUE,"general";"via2",#N/A,TRUE,"general";"via3",#N/A,TRUE,"general"}</definedName>
    <definedName name="bbbbbh" localSheetId="16" hidden="1">{"TAB1",#N/A,TRUE,"GENERAL";"TAB2",#N/A,TRUE,"GENERAL";"TAB3",#N/A,TRUE,"GENERAL";"TAB4",#N/A,TRUE,"GENERAL";"TAB5",#N/A,TRUE,"GENERAL"}</definedName>
    <definedName name="bbbbbh" hidden="1">{"TAB1",#N/A,TRUE,"GENERAL";"TAB2",#N/A,TRUE,"GENERAL";"TAB3",#N/A,TRUE,"GENERAL";"TAB4",#N/A,TRUE,"GENERAL";"TAB5",#N/A,TRUE,"GENERAL"}</definedName>
    <definedName name="bbd" localSheetId="16"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6"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d">#REF!</definedName>
    <definedName name="BDFB" localSheetId="16" hidden="1">{"via1",#N/A,TRUE,"general";"via2",#N/A,TRUE,"general";"via3",#N/A,TRUE,"general"}</definedName>
    <definedName name="BDFB" hidden="1">{"via1",#N/A,TRUE,"general";"via2",#N/A,TRUE,"general";"via3",#N/A,TRUE,"general"}</definedName>
    <definedName name="BDFGDG" localSheetId="16" hidden="1">{"TAB1",#N/A,TRUE,"GENERAL";"TAB2",#N/A,TRUE,"GENERAL";"TAB3",#N/A,TRUE,"GENERAL";"TAB4",#N/A,TRUE,"GENERAL";"TAB5",#N/A,TRUE,"GENERAL"}</definedName>
    <definedName name="BDFGDG" hidden="1">{"TAB1",#N/A,TRUE,"GENERAL";"TAB2",#N/A,TRUE,"GENERAL";"TAB3",#N/A,TRUE,"GENERAL";"TAB4",#N/A,TRUE,"GENERAL";"TAB5",#N/A,TRUE,"GENERAL"}</definedName>
    <definedName name="be" localSheetId="16"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#REF!</definedName>
    <definedName name="bfnfv" localSheetId="16"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16" hidden="1">{"TAB1",#N/A,TRUE,"GENERAL";"TAB2",#N/A,TRUE,"GENERAL";"TAB3",#N/A,TRUE,"GENERAL";"TAB4",#N/A,TRUE,"GENERAL";"TAB5",#N/A,TRUE,"GENERAL"}</definedName>
    <definedName name="bgb" hidden="1">{"TAB1",#N/A,TRUE,"GENERAL";"TAB2",#N/A,TRUE,"GENERAL";"TAB3",#N/A,TRUE,"GENERAL";"TAB4",#N/A,TRUE,"GENERAL";"TAB5",#N/A,TRUE,"GENERAL"}</definedName>
    <definedName name="BGDGFRT" localSheetId="16" hidden="1">{"via1",#N/A,TRUE,"general";"via2",#N/A,TRUE,"general";"via3",#N/A,TRUE,"general"}</definedName>
    <definedName name="BGDGFRT" hidden="1">{"via1",#N/A,TRUE,"general";"via2",#N/A,TRUE,"general";"via3",#N/A,TRUE,"general"}</definedName>
    <definedName name="BGFBFH" localSheetId="16" hidden="1">{"via1",#N/A,TRUE,"general";"via2",#N/A,TRUE,"general";"via3",#N/A,TRUE,"general"}</definedName>
    <definedName name="BGFBFH" hidden="1">{"via1",#N/A,TRUE,"general";"via2",#N/A,TRUE,"general";"via3",#N/A,TRUE,"general"}</definedName>
    <definedName name="bgh">#REF!</definedName>
    <definedName name="bgvfcdx" localSheetId="16" hidden="1">{"via1",#N/A,TRUE,"general";"via2",#N/A,TRUE,"general";"via3",#N/A,TRUE,"general"}</definedName>
    <definedName name="bgvfcdx" hidden="1">{"via1",#N/A,TRUE,"general";"via2",#N/A,TRUE,"general";"via3",#N/A,TRUE,"general"}</definedName>
    <definedName name="Bh">#REF!</definedName>
    <definedName name="BHT">#REF!</definedName>
    <definedName name="Bi">#REF!</definedName>
    <definedName name="biblio">#REF!</definedName>
    <definedName name="bimestre">#REF!</definedName>
    <definedName name="BJHVVHGH">#N/A</definedName>
    <definedName name="Bk">#REF!</definedName>
    <definedName name="bl">#REF!</definedName>
    <definedName name="BLOQUE">#REF!</definedName>
    <definedName name="Bm">#REF!</definedName>
    <definedName name="Bn">#REF!</definedName>
    <definedName name="bnm">#REF!</definedName>
    <definedName name="BO">#REF!</definedName>
    <definedName name="BOMBASTABLA2.2">#REF!</definedName>
    <definedName name="BOMBEOALCANTARILLADOTABLA1.9">#REF!</definedName>
    <definedName name="BORDE1">#REF!</definedName>
    <definedName name="BORDE2">#REF!</definedName>
    <definedName name="BORDE3">#REF!</definedName>
    <definedName name="bordillo">#REF!</definedName>
    <definedName name="br" localSheetId="16" hidden="1">{"TAB1",#N/A,TRUE,"GENERAL";"TAB2",#N/A,TRUE,"GENERAL";"TAB3",#N/A,TRUE,"GENERAL";"TAB4",#N/A,TRUE,"GENERAL";"TAB5",#N/A,TRUE,"GENERAL"}</definedName>
    <definedName name="br" hidden="1">{"TAB1",#N/A,TRUE,"GENERAL";"TAB2",#N/A,TRUE,"GENERAL";"TAB3",#N/A,TRUE,"GENERAL";"TAB4",#N/A,TRUE,"GENERAL";"TAB5",#N/A,TRUE,"GENERAL"}</definedName>
    <definedName name="Breaker_Indus.Merlin_G.3x150A">#REF!</definedName>
    <definedName name="Brilladora">#REF!</definedName>
    <definedName name="bsb" localSheetId="16" hidden="1">{"via1",#N/A,TRUE,"general";"via2",#N/A,TRUE,"general";"via3",#N/A,TRUE,"general"}</definedName>
    <definedName name="bsb" hidden="1">{"via1",#N/A,TRUE,"general";"via2",#N/A,TRUE,"general";"via3",#N/A,TRUE,"general"}</definedName>
    <definedName name="bspoi" localSheetId="16" hidden="1">{"TAB1",#N/A,TRUE,"GENERAL";"TAB2",#N/A,TRUE,"GENERAL";"TAB3",#N/A,TRUE,"GENERAL";"TAB4",#N/A,TRUE,"GENERAL";"TAB5",#N/A,TRUE,"GENERAL"}</definedName>
    <definedName name="bspoi" hidden="1">{"TAB1",#N/A,TRUE,"GENERAL";"TAB2",#N/A,TRUE,"GENERAL";"TAB3",#N/A,TRUE,"GENERAL";"TAB4",#N/A,TRUE,"GENERAL";"TAB5",#N/A,TRUE,"GENERAL"}</definedName>
    <definedName name="bt" localSheetId="16" hidden="1">{"via1",#N/A,TRUE,"general";"via2",#N/A,TRUE,"general";"via3",#N/A,TRUE,"general"}</definedName>
    <definedName name="bt" hidden="1">{"via1",#N/A,TRUE,"general";"via2",#N/A,TRUE,"general";"via3",#N/A,TRUE,"general"}</definedName>
    <definedName name="BTYJHTR" localSheetId="16" hidden="1">{"TAB1",#N/A,TRUE,"GENERAL";"TAB2",#N/A,TRUE,"GENERAL";"TAB3",#N/A,TRUE,"GENERAL";"TAB4",#N/A,TRUE,"GENERAL";"TAB5",#N/A,TRUE,"GENERAL"}</definedName>
    <definedName name="BTYJHTR" hidden="1">{"TAB1",#N/A,TRUE,"GENERAL";"TAB2",#N/A,TRUE,"GENERAL";"TAB3",#N/A,TRUE,"GENERAL";"TAB4",#N/A,TRUE,"GENERAL";"TAB5",#N/A,TRUE,"GENERAL"}</definedName>
    <definedName name="bueno">#REF!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Titles">#REF!</definedName>
    <definedName name="BuiltIn_Print_Titles___0">#REF!</definedName>
    <definedName name="bvbc" localSheetId="16" hidden="1">{"TAB1",#N/A,TRUE,"GENERAL";"TAB2",#N/A,TRUE,"GENERAL";"TAB3",#N/A,TRUE,"GENERAL";"TAB4",#N/A,TRUE,"GENERAL";"TAB5",#N/A,TRUE,"GENERAL"}</definedName>
    <definedName name="bvbc" hidden="1">{"TAB1",#N/A,TRUE,"GENERAL";"TAB2",#N/A,TRUE,"GENERAL";"TAB3",#N/A,TRUE,"GENERAL";"TAB4",#N/A,TRUE,"GENERAL";"TAB5",#N/A,TRUE,"GENERAL"}</definedName>
    <definedName name="bvcb" localSheetId="16" hidden="1">{"via1",#N/A,TRUE,"general";"via2",#N/A,TRUE,"general";"via3",#N/A,TRUE,"general"}</definedName>
    <definedName name="bvcb" hidden="1">{"via1",#N/A,TRUE,"general";"via2",#N/A,TRUE,"general";"via3",#N/A,TRUE,"general"}</definedName>
    <definedName name="bvn" localSheetId="16" hidden="1">{"via1",#N/A,TRUE,"general";"via2",#N/A,TRUE,"general";"via3",#N/A,TRUE,"general"}</definedName>
    <definedName name="bvn" hidden="1">{"via1",#N/A,TRUE,"general";"via2",#N/A,TRUE,"general";"via3",#N/A,TRUE,"general"}</definedName>
    <definedName name="bw">#REF!</definedName>
    <definedName name="by" localSheetId="16" hidden="1">{"via1",#N/A,TRUE,"general";"via2",#N/A,TRUE,"general";"via3",#N/A,TRUE,"general"}</definedName>
    <definedName name="by" hidden="1">{"via1",#N/A,TRUE,"general";"via2",#N/A,TRUE,"general";"via3",#N/A,TRUE,"general"}</definedName>
    <definedName name="bz">#REF!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LOM">#REF!</definedName>
    <definedName name="C.RAS">#REF!</definedName>
    <definedName name="C.TERR">#REF!</definedName>
    <definedName name="C_">#REF!</definedName>
    <definedName name="C_Apus" comment="Codigo Apus">#REF!</definedName>
    <definedName name="C_LOM">#REF!</definedName>
    <definedName name="Ca">#REF!</definedName>
    <definedName name="CABALLETE">#REF!</definedName>
    <definedName name="CADENERO">#REF!</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idad">#REF!</definedName>
    <definedName name="CalP">#REF!</definedName>
    <definedName name="CAM_CAIDA">#REF!</definedName>
    <definedName name="cama">#REF!</definedName>
    <definedName name="Campamento">#REF!</definedName>
    <definedName name="CAN">#REF!</definedName>
    <definedName name="CANGURO">#REF!</definedName>
    <definedName name="canobra">#REF!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es">#REF!</definedName>
    <definedName name="CANTIDADESDEOBRA">#REF!</definedName>
    <definedName name="CAOLIN">#REF!</definedName>
    <definedName name="cap">#REF!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LOS">#N/A</definedName>
    <definedName name="CAROL">#REF!</definedName>
    <definedName name="carol1">#REF!</definedName>
    <definedName name="CARRETERAS">#REF!</definedName>
    <definedName name="causa">#REF!</definedName>
    <definedName name="CB">#REF!</definedName>
    <definedName name="CBWorkbookPriority" hidden="1">-1602700874</definedName>
    <definedName name="Cc">#REF!</definedName>
    <definedName name="ccccc" localSheetId="16"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o210">#REF!</definedName>
    <definedName name="ccv">#REF!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16" hidden="1">{"via1",#N/A,TRUE,"general";"via2",#N/A,TRUE,"general";"via3",#N/A,TRUE,"general"}</definedName>
    <definedName name="cdcdc" hidden="1">{"via1",#N/A,TRUE,"general";"via2",#N/A,TRUE,"general";"via3",#N/A,TRUE,"general"}</definedName>
    <definedName name="CDctrl">#REF!</definedName>
    <definedName name="CDS_V_INDICES_CIRCUITO_CAUSA">#REF!</definedName>
    <definedName name="Ce">#REF!</definedName>
    <definedName name="CEBLANCO">#REF!</definedName>
    <definedName name="ceerf" localSheetId="16" hidden="1">{"TAB1",#N/A,TRUE,"GENERAL";"TAB2",#N/A,TRUE,"GENERAL";"TAB3",#N/A,TRUE,"GENERAL";"TAB4",#N/A,TRUE,"GENERAL";"TAB5",#N/A,TRUE,"GENERAL"}</definedName>
    <definedName name="ceerf" hidden="1">{"TAB1",#N/A,TRUE,"GENERAL";"TAB2",#N/A,TRUE,"GENERAL";"TAB3",#N/A,TRUE,"GENERAL";"TAB4",#N/A,TRUE,"GENERAL";"TAB5",#N/A,TRUE,"GENERAL"}</definedName>
    <definedName name="CEM">#REF!</definedName>
    <definedName name="CEMEG">#REF!</definedName>
    <definedName name="CEMENTO">#REF!</definedName>
    <definedName name="CEMENTOBLANCO">#REF!</definedName>
    <definedName name="centro" localSheetId="16"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a_para_pisos">#REF!</definedName>
    <definedName name="cesped">#REF!</definedName>
    <definedName name="ceta">#REF!</definedName>
    <definedName name="Cf">#REF!</definedName>
    <definedName name="Cg">#REF!</definedName>
    <definedName name="Ch">#REF!</definedName>
    <definedName name="CHECK">IF(AND(#REF!=#REF!,#REF!=#REF!,#REF!=#REF!),"ok","ojo")</definedName>
    <definedName name="CHINA">#REF!</definedName>
    <definedName name="Ci">#REF!</definedName>
    <definedName name="CIR">IF(#REF!=9,IF(ISERROR(#REF!),"",#REF!),"")</definedName>
    <definedName name="CIRCUITOS">#REF!</definedName>
    <definedName name="CIRCUNVALAR">#REF!</definedName>
    <definedName name="Ciudades">#REF!</definedName>
    <definedName name="civ" localSheetId="16" hidden="1">{#N/A,#N/A,TRUE,"1842CWN0"}</definedName>
    <definedName name="civ" hidden="1">{#N/A,#N/A,TRUE,"1842CWN0"}</definedName>
    <definedName name="civ_1" localSheetId="16" hidden="1">{#N/A,#N/A,TRUE,"1842CWN0"}</definedName>
    <definedName name="civ_1" hidden="1">{#N/A,#N/A,TRUE,"1842CWN0"}</definedName>
    <definedName name="civ_2" localSheetId="16" hidden="1">{#N/A,#N/A,TRUE,"1842CWN0"}</definedName>
    <definedName name="civ_2" hidden="1">{#N/A,#N/A,TRUE,"1842CWN0"}</definedName>
    <definedName name="Cj">#REF!</definedName>
    <definedName name="Ck">#REF!</definedName>
    <definedName name="CL">#REF!</definedName>
    <definedName name="clase">#REF!</definedName>
    <definedName name="CLAVO">#REF!</definedName>
    <definedName name="Cll">#REF!</definedName>
    <definedName name="Cll_4N__15_AE_40_San_Eduardo_II_Etapa._Tel_750372._Cúcuta_Colombia.">#REF!</definedName>
    <definedName name="Cm">#REF!</definedName>
    <definedName name="Cn">#REF!</definedName>
    <definedName name="Cñ">#REF!</definedName>
    <definedName name="CO">#REF!</definedName>
    <definedName name="CODIGO">#REF!</definedName>
    <definedName name="Codigo_M.Obra">#REF!</definedName>
    <definedName name="codigos">#REF!</definedName>
    <definedName name="Codos_PVC_3">#REF!</definedName>
    <definedName name="coe">#REF!</definedName>
    <definedName name="Coef.erradas">#REF!</definedName>
    <definedName name="COEF.INFILT">#REF!</definedName>
    <definedName name="coef.retorno">#REF!</definedName>
    <definedName name="coeficienterugosidad">#REF!</definedName>
    <definedName name="COL_A_APU">IF(#REF!="","",IF(LEN(#REF!)=9,#REF!,#REF!))</definedName>
    <definedName name="COL_A_AUX">IF(#REF!="","",IF(#REF!="",#REF!,#REF!))</definedName>
    <definedName name="COL_B">IF(LEFT(#REF!,5)=#REF!,"",(LEFT(#REF!,5)))</definedName>
    <definedName name="COL_C">LEFT(#REF!,2)</definedName>
    <definedName name="col_dos">#REF!</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mpactacion">#REF!</definedName>
    <definedName name="COMPRE">#REF!</definedName>
    <definedName name="con">#REF!</definedName>
    <definedName name="CON_3000">#REF!</definedName>
    <definedName name="CON_HTA">SUMIFS(#REF!,#REF!,#REF!,#REF!,"mo")</definedName>
    <definedName name="CON_HTA_APU">SUMIFS(#REF!,#REF!,#REF!,#REF!,"mo")</definedName>
    <definedName name="CONCRE123">#REF!</definedName>
    <definedName name="CONCRE124">#REF!</definedName>
    <definedName name="concre15">#REF!</definedName>
    <definedName name="CONCRE25">#REF!</definedName>
    <definedName name="concre3000">#REF!</definedName>
    <definedName name="concre35">#REF!</definedName>
    <definedName name="CONCRE4000">#REF!</definedName>
    <definedName name="CONCRETO_2000">#REF!</definedName>
    <definedName name="concreto_FC_2.2">#REF!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placa">#REF!</definedName>
    <definedName name="Concretos">#REF!</definedName>
    <definedName name="CONDI1">#REF!</definedName>
    <definedName name="CONDUCCION331">#REF!</definedName>
    <definedName name="CONDUCCIONTABLA3.3.1">#REF!</definedName>
    <definedName name="conexiondomiciliaria">#REF!</definedName>
    <definedName name="CONM1">#REF!</definedName>
    <definedName name="CONMX">#REF!</definedName>
    <definedName name="constr">#REF!</definedName>
    <definedName name="Consultor">#REF!</definedName>
    <definedName name="consumo">#REF!</definedName>
    <definedName name="Contrato">#REF!</definedName>
    <definedName name="Coordinador">#REF!</definedName>
    <definedName name="copia">#REF!</definedName>
    <definedName name="corte">#REF!</definedName>
    <definedName name="corterocoso">#REF!</definedName>
    <definedName name="costcontr">#REF!</definedName>
    <definedName name="CosteoConsultoria">#REF!</definedName>
    <definedName name="CostoDirecto">#REF!</definedName>
    <definedName name="CostoDirectoObra">#REF!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#REF!</definedName>
    <definedName name="cotas">#REF!</definedName>
    <definedName name="cotasd">#REF!</definedName>
    <definedName name="CotizacionARP">#REF!</definedName>
    <definedName name="COTIZADO_EN">#REF!</definedName>
    <definedName name="cp">#REF!</definedName>
    <definedName name="Cq">#REF!</definedName>
    <definedName name="Cr">#REF!</definedName>
    <definedName name="CRITERIO">#REF!</definedName>
    <definedName name="_xlnm.Criteria" localSheetId="16"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iterios_IM">#REF!</definedName>
    <definedName name="Criticos">#REF!</definedName>
    <definedName name="Cronograma">#REF!</definedName>
    <definedName name="CRP">#REF!</definedName>
    <definedName name="crt" localSheetId="16"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f">#REF!</definedName>
    <definedName name="Cu">#REF!</definedName>
    <definedName name="CU_AA">#REF!</definedName>
    <definedName name="CU_TT">#REF!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EXC">#REF!</definedName>
    <definedName name="CUAPLO">#REF!</definedName>
    <definedName name="CUATOP">#REF!</definedName>
    <definedName name="CUBS">#REF!</definedName>
    <definedName name="CUNET" localSheetId="16" hidden="1">{"via1",#N/A,TRUE,"general";"via2",#N/A,TRUE,"general";"via3",#N/A,TRUE,"general"}</definedName>
    <definedName name="CUNET" hidden="1">{"via1",#N/A,TRUE,"general";"via2",#N/A,TRUE,"general";"via3",#N/A,TRUE,"general"}</definedName>
    <definedName name="cuneta">#REF!</definedName>
    <definedName name="Cv">#REF!</definedName>
    <definedName name="cvfvd" localSheetId="16" hidden="1">{"via1",#N/A,TRUE,"general";"via2",#N/A,TRUE,"general";"via3",#N/A,TRUE,"general"}</definedName>
    <definedName name="cvfvd" hidden="1">{"via1",#N/A,TRUE,"general";"via2",#N/A,TRUE,"general";"via3",#N/A,TRUE,"general"}</definedName>
    <definedName name="cvn" localSheetId="16" hidden="1">{"TAB1",#N/A,TRUE,"GENERAL";"TAB2",#N/A,TRUE,"GENERAL";"TAB3",#N/A,TRUE,"GENERAL";"TAB4",#N/A,TRUE,"GENERAL";"TAB5",#N/A,TRUE,"GENERAL"}</definedName>
    <definedName name="cvn" hidden="1">{"TAB1",#N/A,TRUE,"GENERAL";"TAB2",#N/A,TRUE,"GENERAL";"TAB3",#N/A,TRUE,"GENERAL";"TAB4",#N/A,TRUE,"GENERAL";"TAB5",#N/A,TRUE,"GENERAL"}</definedName>
    <definedName name="CVXC" localSheetId="16" hidden="1">{"via1",#N/A,TRUE,"general";"via2",#N/A,TRUE,"general";"via3",#N/A,TRUE,"general"}</definedName>
    <definedName name="CVXC" hidden="1">{"via1",#N/A,TRUE,"general";"via2",#N/A,TRUE,"general";"via3",#N/A,TRUE,"general"}</definedName>
    <definedName name="Cw">#REF!</definedName>
    <definedName name="Cx">#REF!</definedName>
    <definedName name="Cy">#REF!</definedName>
    <definedName name="D" localSheetId="16" hidden="1">{"PYGT",#N/A,FALSE,"PYG";"ACTIT",#N/A,FALSE,"BCE_GRAL-ACTIVO";"PASIT",#N/A,FALSE,"BCE_GRAL-PASIVO-PATRIM";"CAJAT",#N/A,FALSE,"CAJA"}</definedName>
    <definedName name="D" hidden="1">{"PYGT",#N/A,FALSE,"PYG";"ACTIT",#N/A,FALSE,"BCE_GRAL-ACTIVO";"PASIT",#N/A,FALSE,"BCE_GRAL-PASIVO-PATRIM";"CAJAT",#N/A,FALSE,"CAJA"}</definedName>
    <definedName name="D_m">#REF!</definedName>
    <definedName name="d_percápita">#REF!</definedName>
    <definedName name="DADADAD" localSheetId="16" hidden="1">{#N/A,#N/A,TRUE,"CODIGO DEPENDENCIA"}</definedName>
    <definedName name="DADADAD" hidden="1">{#N/A,#N/A,TRUE,"CODIGO DEPENDENCIA"}</definedName>
    <definedName name="DANI">#REF!</definedName>
    <definedName name="DARIPAVA_SOFTWARE_INC">#REF!</definedName>
    <definedName name="DASD" localSheetId="16"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atos1">#REF!</definedName>
    <definedName name="datospsa">#REF!</definedName>
    <definedName name="DATT5">#REF!</definedName>
    <definedName name="dbfdfbi" localSheetId="16"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16" hidden="1">{"via1",#N/A,TRUE,"general";"via2",#N/A,TRUE,"general";"via3",#N/A,TRUE,"general"}</definedName>
    <definedName name="DCSDCTV" hidden="1">{"via1",#N/A,TRUE,"general";"via2",#N/A,TRUE,"general";"via3",#N/A,TRUE,"general"}</definedName>
    <definedName name="dd" localSheetId="16" hidden="1">{#N/A,#N/A,TRUE,"INGENIERIA";#N/A,#N/A,TRUE,"COMPRAS";#N/A,#N/A,TRUE,"DIRECCION";#N/A,#N/A,TRUE,"RESUMEN"}</definedName>
    <definedName name="dd" hidden="1">{#N/A,#N/A,TRUE,"INGENIERIA";#N/A,#N/A,TRUE,"COMPRAS";#N/A,#N/A,TRUE,"DIRECCION";#N/A,#N/A,TRUE,"RESUMEN"}</definedName>
    <definedName name="dd_1" localSheetId="16" hidden="1">{#N/A,#N/A,TRUE,"INGENIERIA";#N/A,#N/A,TRUE,"COMPRAS";#N/A,#N/A,TRUE,"DIRECCION";#N/A,#N/A,TRUE,"RESUMEN"}</definedName>
    <definedName name="dd_1" hidden="1">{#N/A,#N/A,TRUE,"INGENIERIA";#N/A,#N/A,TRUE,"COMPRAS";#N/A,#N/A,TRUE,"DIRECCION";#N/A,#N/A,TRUE,"RESUMEN"}</definedName>
    <definedName name="dd_2" localSheetId="16" hidden="1">{#N/A,#N/A,TRUE,"INGENIERIA";#N/A,#N/A,TRUE,"COMPRAS";#N/A,#N/A,TRUE,"DIRECCION";#N/A,#N/A,TRUE,"RESUMEN"}</definedName>
    <definedName name="dd_2" hidden="1">{#N/A,#N/A,TRUE,"INGENIERIA";#N/A,#N/A,TRUE,"COMPRAS";#N/A,#N/A,TRUE,"DIRECCION";#N/A,#N/A,TRUE,"RESUMEN"}</definedName>
    <definedName name="ddd" localSheetId="16" hidden="1">{"via1",#N/A,TRUE,"general";"via2",#N/A,TRUE,"general";"via3",#N/A,TRUE,"general"}</definedName>
    <definedName name="ddd" hidden="1">{"via1",#N/A,TRUE,"general";"via2",#N/A,TRUE,"general";"via3",#N/A,TRUE,"general"}</definedName>
    <definedName name="DDDD">#N/A</definedName>
    <definedName name="ddddt" localSheetId="16" hidden="1">{"via1",#N/A,TRUE,"general";"via2",#N/A,TRUE,"general";"via3",#N/A,TRUE,"general"}</definedName>
    <definedName name="ddddt" hidden="1">{"via1",#N/A,TRUE,"general";"via2",#N/A,TRUE,"general";"via3",#N/A,TRUE,"general"}</definedName>
    <definedName name="DDE" localSheetId="16" hidden="1">{#N/A,#N/A,TRUE,"1842CWN0"}</definedName>
    <definedName name="DDE" hidden="1">{#N/A,#N/A,TRUE,"1842CWN0"}</definedName>
    <definedName name="DDE_1" localSheetId="16" hidden="1">{#N/A,#N/A,TRUE,"1842CWN0"}</definedName>
    <definedName name="DDE_1" hidden="1">{#N/A,#N/A,TRUE,"1842CWN0"}</definedName>
    <definedName name="DDE_2" localSheetId="16" hidden="1">{#N/A,#N/A,TRUE,"1842CWN0"}</definedName>
    <definedName name="DDE_2" hidden="1">{#N/A,#N/A,TRUE,"1842CWN0"}</definedName>
    <definedName name="ddewdw" localSheetId="16" hidden="1">{"TAB1",#N/A,TRUE,"GENERAL";"TAB2",#N/A,TRUE,"GENERAL";"TAB3",#N/A,TRUE,"GENERAL";"TAB4",#N/A,TRUE,"GENERAL";"TAB5",#N/A,TRUE,"GENERAL"}</definedName>
    <definedName name="ddewdw" hidden="1">{"TAB1",#N/A,TRUE,"GENERAL";"TAB2",#N/A,TRUE,"GENERAL";"TAB3",#N/A,TRUE,"GENERAL";"TAB4",#N/A,TRUE,"GENERAL";"TAB5",#N/A,TRUE,"GENERAL"}</definedName>
    <definedName name="ddfdh" localSheetId="16" hidden="1">{"TAB1",#N/A,TRUE,"GENERAL";"TAB2",#N/A,TRUE,"GENERAL";"TAB3",#N/A,TRUE,"GENERAL";"TAB4",#N/A,TRUE,"GENERAL";"TAB5",#N/A,TRUE,"GENERAL"}</definedName>
    <definedName name="ddfdh" hidden="1">{"TAB1",#N/A,TRUE,"GENERAL";"TAB2",#N/A,TRUE,"GENERAL";"TAB3",#N/A,TRUE,"GENERAL";"TAB4",#N/A,TRUE,"GENERAL";"TAB5",#N/A,TRUE,"GENERAL"}</definedName>
    <definedName name="DDGSDP" localSheetId="16"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ision">#REF!</definedName>
    <definedName name="deded" localSheetId="16" hidden="1">{"TAB1",#N/A,TRUE,"GENERAL";"TAB2",#N/A,TRUE,"GENERAL";"TAB3",#N/A,TRUE,"GENERAL";"TAB4",#N/A,TRUE,"GENERAL";"TAB5",#N/A,TRUE,"GENERAL"}</definedName>
    <definedName name="deded" hidden="1">{"TAB1",#N/A,TRUE,"GENERAL";"TAB2",#N/A,TRUE,"GENERAL";"TAB3",#N/A,TRUE,"GENERAL";"TAB4",#N/A,TRUE,"GENERAL";"TAB5",#N/A,TRUE,"GENERAL"}</definedName>
    <definedName name="defd" localSheetId="16" hidden="1">{"via1",#N/A,TRUE,"general";"via2",#N/A,TRUE,"general";"via3",#N/A,TRUE,"general"}</definedName>
    <definedName name="defd" hidden="1">{"via1",#N/A,TRUE,"general";"via2",#N/A,TRUE,"general";"via3",#N/A,TRUE,"general"}</definedName>
    <definedName name="Deflexión">#REF!</definedName>
    <definedName name="DEMANDA">#REF!</definedName>
    <definedName name="DEMOLICIONANDEN">#REF!</definedName>
    <definedName name="demolicioncuneta">#REF!</definedName>
    <definedName name="demolicionladrillo">#REF!</definedName>
    <definedName name="DEMOLICIONMURO">#REF!</definedName>
    <definedName name="demolicionpav">#REF!</definedName>
    <definedName name="denon">#REF!</definedName>
    <definedName name="DENS">#REF!</definedName>
    <definedName name="densi">#REF!</definedName>
    <definedName name="Departamento">#REF!</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ap" localSheetId="16" hidden="1">{"TAB1",#N/A,TRUE,"GENERAL";"TAB2",#N/A,TRUE,"GENERAL";"TAB3",#N/A,TRUE,"GENERAL";"TAB4",#N/A,TRUE,"GENERAL";"TAB5",#N/A,TRUE,"GENERAL"}</definedName>
    <definedName name="descap" hidden="1">{"TAB1",#N/A,TRUE,"GENERAL";"TAB2",#N/A,TRUE,"GENERAL";"TAB3",#N/A,TRUE,"GENERAL";"TAB4",#N/A,TRUE,"GENERAL";"TAB5",#N/A,TRUE,"GENERAL"}</definedName>
    <definedName name="descapote" localSheetId="16" hidden="1">{"TAB1",#N/A,TRUE,"GENERAL";"TAB2",#N/A,TRUE,"GENERAL";"TAB3",#N/A,TRUE,"GENERAL";"TAB4",#N/A,TRUE,"GENERAL";"TAB5",#N/A,TRUE,"GENERAL"}</definedName>
    <definedName name="descapote" hidden="1">{"TAB1",#N/A,TRUE,"GENERAL";"TAB2",#N/A,TRUE,"GENERAL";"TAB3",#N/A,TRUE,"GENERAL";"TAB4",#N/A,TRUE,"GENERAL";"TAB5",#N/A,TRUE,"GENERAL"}</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P1">#REF!</definedName>
    <definedName name="DESCRP2">#REF!</definedName>
    <definedName name="DESFRE" localSheetId="16"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tinoConsultoria">#REF!</definedName>
    <definedName name="DestinoObra">#REF!</definedName>
    <definedName name="DETENCION">#REF!</definedName>
    <definedName name="deuda">#REF!</definedName>
    <definedName name="deuda2">#REF!</definedName>
    <definedName name="DEX">#REF!</definedName>
    <definedName name="df">#REF!</definedName>
    <definedName name="dfa" localSheetId="16" hidden="1">{"TAB1",#N/A,TRUE,"GENERAL";"TAB2",#N/A,TRUE,"GENERAL";"TAB3",#N/A,TRUE,"GENERAL";"TAB4",#N/A,TRUE,"GENERAL";"TAB5",#N/A,TRUE,"GENERAL"}</definedName>
    <definedName name="dfa" hidden="1">{"TAB1",#N/A,TRUE,"GENERAL";"TAB2",#N/A,TRUE,"GENERAL";"TAB3",#N/A,TRUE,"GENERAL";"TAB4",#N/A,TRUE,"GENERAL";"TAB5",#N/A,TRUE,"GENERAL"}</definedName>
    <definedName name="dfasd" localSheetId="16"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16" hidden="1">{"via1",#N/A,TRUE,"general";"via2",#N/A,TRUE,"general";"via3",#N/A,TRUE,"general"}</definedName>
    <definedName name="DFBNJ" hidden="1">{"via1",#N/A,TRUE,"general";"via2",#N/A,TRUE,"general";"via3",#N/A,TRUE,"general"}</definedName>
    <definedName name="DFDE" localSheetId="16" hidden="1">{#N/A,#N/A,TRUE,"1842CWN0"}</definedName>
    <definedName name="DFDE" hidden="1">{#N/A,#N/A,TRUE,"1842CWN0"}</definedName>
    <definedName name="DFDE_1" localSheetId="16" hidden="1">{#N/A,#N/A,TRUE,"1842CWN0"}</definedName>
    <definedName name="DFDE_1" hidden="1">{#N/A,#N/A,TRUE,"1842CWN0"}</definedName>
    <definedName name="DFDE_2" localSheetId="16" hidden="1">{#N/A,#N/A,TRUE,"1842CWN0"}</definedName>
    <definedName name="DFDE_2" hidden="1">{#N/A,#N/A,TRUE,"1842CWN0"}</definedName>
    <definedName name="dfds" localSheetId="16" hidden="1">{"TAB1",#N/A,TRUE,"GENERAL";"TAB2",#N/A,TRUE,"GENERAL";"TAB3",#N/A,TRUE,"GENERAL";"TAB4",#N/A,TRUE,"GENERAL";"TAB5",#N/A,TRUE,"GENERAL"}</definedName>
    <definedName name="dfds" hidden="1">{"TAB1",#N/A,TRUE,"GENERAL";"TAB2",#N/A,TRUE,"GENERAL";"TAB3",#N/A,TRUE,"GENERAL";"TAB4",#N/A,TRUE,"GENERAL";"TAB5",#N/A,TRUE,"GENERAL"}</definedName>
    <definedName name="dfdsfi" localSheetId="16" hidden="1">{"via1",#N/A,TRUE,"general";"via2",#N/A,TRUE,"general";"via3",#N/A,TRUE,"general"}</definedName>
    <definedName name="dfdsfi" hidden="1">{"via1",#N/A,TRUE,"general";"via2",#N/A,TRUE,"general";"via3",#N/A,TRUE,"general"}</definedName>
    <definedName name="DFEET" localSheetId="16" hidden="1">{#N/A,#N/A,TRUE,"INGENIERIA";#N/A,#N/A,TRUE,"COMPRAS";#N/A,#N/A,TRUE,"DIRECCION";#N/A,#N/A,TRUE,"RESUMEN"}</definedName>
    <definedName name="DFEET" hidden="1">{#N/A,#N/A,TRUE,"INGENIERIA";#N/A,#N/A,TRUE,"COMPRAS";#N/A,#N/A,TRUE,"DIRECCION";#N/A,#N/A,TRUE,"RESUMEN"}</definedName>
    <definedName name="DFEET_1" localSheetId="16" hidden="1">{#N/A,#N/A,TRUE,"INGENIERIA";#N/A,#N/A,TRUE,"COMPRAS";#N/A,#N/A,TRUE,"DIRECCION";#N/A,#N/A,TRUE,"RESUMEN"}</definedName>
    <definedName name="DFEET_1" hidden="1">{#N/A,#N/A,TRUE,"INGENIERIA";#N/A,#N/A,TRUE,"COMPRAS";#N/A,#N/A,TRUE,"DIRECCION";#N/A,#N/A,TRUE,"RESUMEN"}</definedName>
    <definedName name="DFEET_2" localSheetId="16" hidden="1">{#N/A,#N/A,TRUE,"INGENIERIA";#N/A,#N/A,TRUE,"COMPRAS";#N/A,#N/A,TRUE,"DIRECCION";#N/A,#N/A,TRUE,"RESUMEN"}</definedName>
    <definedName name="DFEET_2" hidden="1">{#N/A,#N/A,TRUE,"INGENIERIA";#N/A,#N/A,TRUE,"COMPRAS";#N/A,#N/A,TRUE,"DIRECCION";#N/A,#N/A,TRUE,"RESUMEN"}</definedName>
    <definedName name="dffffe" localSheetId="16" hidden="1">{"TAB1",#N/A,TRUE,"GENERAL";"TAB2",#N/A,TRUE,"GENERAL";"TAB3",#N/A,TRUE,"GENERAL";"TAB4",#N/A,TRUE,"GENERAL";"TAB5",#N/A,TRUE,"GENERAL"}</definedName>
    <definedName name="dffffe" hidden="1">{"TAB1",#N/A,TRUE,"GENERAL";"TAB2",#N/A,TRUE,"GENERAL";"TAB3",#N/A,TRUE,"GENERAL";"TAB4",#N/A,TRUE,"GENERAL";"TAB5",#N/A,TRUE,"GENERAL"}</definedName>
    <definedName name="DFG" localSheetId="16" hidden="1">{"via1",#N/A,TRUE,"general";"via2",#N/A,TRUE,"general";"via3",#N/A,TRUE,"general"}</definedName>
    <definedName name="DFG" hidden="1">{"via1",#N/A,TRUE,"general";"via2",#N/A,TRUE,"general";"via3",#N/A,TRUE,"general"}</definedName>
    <definedName name="DFGBHJ" localSheetId="16" hidden="1">{"via1",#N/A,TRUE,"general";"via2",#N/A,TRUE,"general";"via3",#N/A,TRUE,"general"}</definedName>
    <definedName name="DFGBHJ" hidden="1">{"via1",#N/A,TRUE,"general";"via2",#N/A,TRUE,"general";"via3",#N/A,TRUE,"general"}</definedName>
    <definedName name="DFGDFG" localSheetId="16" hidden="1">{"via1",#N/A,TRUE,"general";"via2",#N/A,TRUE,"general";"via3",#N/A,TRUE,"general"}</definedName>
    <definedName name="DFGDFG" hidden="1">{"via1",#N/A,TRUE,"general";"via2",#N/A,TRUE,"general";"via3",#N/A,TRUE,"general"}</definedName>
    <definedName name="DFGDYYB" localSheetId="16" hidden="1">{"TAB1",#N/A,TRUE,"GENERAL";"TAB2",#N/A,TRUE,"GENERAL";"TAB3",#N/A,TRUE,"GENERAL";"TAB4",#N/A,TRUE,"GENERAL";"TAB5",#N/A,TRUE,"GENERAL"}</definedName>
    <definedName name="DFGDYYB" hidden="1">{"TAB1",#N/A,TRUE,"GENERAL";"TAB2",#N/A,TRUE,"GENERAL";"TAB3",#N/A,TRUE,"GENERAL";"TAB4",#N/A,TRUE,"GENERAL";"TAB5",#N/A,TRUE,"GENERAL"}</definedName>
    <definedName name="dfgf" localSheetId="16" hidden="1">{"via1",#N/A,TRUE,"general";"via2",#N/A,TRUE,"general";"via3",#N/A,TRUE,"general"}</definedName>
    <definedName name="dfgf" hidden="1">{"via1",#N/A,TRUE,"general";"via2",#N/A,TRUE,"general";"via3",#N/A,TRUE,"general"}</definedName>
    <definedName name="DFGFBOP" localSheetId="16" hidden="1">{"TAB1",#N/A,TRUE,"GENERAL";"TAB2",#N/A,TRUE,"GENERAL";"TAB3",#N/A,TRUE,"GENERAL";"TAB4",#N/A,TRUE,"GENERAL";"TAB5",#N/A,TRUE,"GENERAL"}</definedName>
    <definedName name="DFGFBOP" hidden="1">{"TAB1",#N/A,TRUE,"GENERAL";"TAB2",#N/A,TRUE,"GENERAL";"TAB3",#N/A,TRUE,"GENERAL";"TAB4",#N/A,TRUE,"GENERAL";"TAB5",#N/A,TRUE,"GENERAL"}</definedName>
    <definedName name="DFGFDG" localSheetId="16" hidden="1">{"TAB1",#N/A,TRUE,"GENERAL";"TAB2",#N/A,TRUE,"GENERAL";"TAB3",#N/A,TRUE,"GENERAL";"TAB4",#N/A,TRUE,"GENERAL";"TAB5",#N/A,TRUE,"GENERAL"}</definedName>
    <definedName name="DFGFDG" hidden="1">{"TAB1",#N/A,TRUE,"GENERAL";"TAB2",#N/A,TRUE,"GENERAL";"TAB3",#N/A,TRUE,"GENERAL";"TAB4",#N/A,TRUE,"GENERAL";"TAB5",#N/A,TRUE,"GENERAL"}</definedName>
    <definedName name="DFGV" localSheetId="16" hidden="1">{"TAB1",#N/A,TRUE,"GENERAL";"TAB2",#N/A,TRUE,"GENERAL";"TAB3",#N/A,TRUE,"GENERAL";"TAB4",#N/A,TRUE,"GENERAL";"TAB5",#N/A,TRUE,"GENERAL"}</definedName>
    <definedName name="DFGV" hidden="1">{"TAB1",#N/A,TRUE,"GENERAL";"TAB2",#N/A,TRUE,"GENERAL";"TAB3",#N/A,TRUE,"GENERAL";"TAB4",#N/A,TRUE,"GENERAL";"TAB5",#N/A,TRUE,"GENERAL"}</definedName>
    <definedName name="dfgypuj" localSheetId="16" hidden="1">{"TAB1",#N/A,TRUE,"GENERAL";"TAB2",#N/A,TRUE,"GENERAL";"TAB3",#N/A,TRUE,"GENERAL";"TAB4",#N/A,TRUE,"GENERAL";"TAB5",#N/A,TRUE,"GENERAL"}</definedName>
    <definedName name="dfgypuj" hidden="1">{"TAB1",#N/A,TRUE,"GENERAL";"TAB2",#N/A,TRUE,"GENERAL";"TAB3",#N/A,TRUE,"GENERAL";"TAB4",#N/A,TRUE,"GENERAL";"TAB5",#N/A,TRUE,"GENERAL"}</definedName>
    <definedName name="dfh" localSheetId="16" hidden="1">{"TAB1",#N/A,TRUE,"GENERAL";"TAB2",#N/A,TRUE,"GENERAL";"TAB3",#N/A,TRUE,"GENERAL";"TAB4",#N/A,TRUE,"GENERAL";"TAB5",#N/A,TRUE,"GENERAL"}</definedName>
    <definedName name="dfh" hidden="1">{"TAB1",#N/A,TRUE,"GENERAL";"TAB2",#N/A,TRUE,"GENERAL";"TAB3",#N/A,TRUE,"GENERAL";"TAB4",#N/A,TRUE,"GENERAL";"TAB5",#N/A,TRUE,"GENERAL"}</definedName>
    <definedName name="dfhdr" localSheetId="16" hidden="1">{"via1",#N/A,TRUE,"general";"via2",#N/A,TRUE,"general";"via3",#N/A,TRUE,"general"}</definedName>
    <definedName name="dfhdr" hidden="1">{"via1",#N/A,TRUE,"general";"via2",#N/A,TRUE,"general";"via3",#N/A,TRUE,"general"}</definedName>
    <definedName name="dfhgh" localSheetId="16" hidden="1">{"via1",#N/A,TRUE,"general";"via2",#N/A,TRUE,"general";"via3",#N/A,TRUE,"general"}</definedName>
    <definedName name="dfhgh" hidden="1">{"via1",#N/A,TRUE,"general";"via2",#N/A,TRUE,"general";"via3",#N/A,TRUE,"general"}</definedName>
    <definedName name="dfj" localSheetId="16" hidden="1">{"via1",#N/A,TRUE,"general";"via2",#N/A,TRUE,"general";"via3",#N/A,TRUE,"general"}</definedName>
    <definedName name="dfj" hidden="1">{"via1",#N/A,TRUE,"general";"via2",#N/A,TRUE,"general";"via3",#N/A,TRUE,"general"}</definedName>
    <definedName name="DFRFRF" localSheetId="16" hidden="1">{"via1",#N/A,TRUE,"general";"via2",#N/A,TRUE,"general";"via3",#N/A,TRUE,"general"}</definedName>
    <definedName name="DFRFRF" hidden="1">{"via1",#N/A,TRUE,"general";"via2",#N/A,TRUE,"general";"via3",#N/A,TRUE,"general"}</definedName>
    <definedName name="DFVUI" localSheetId="16" hidden="1">{"via1",#N/A,TRUE,"general";"via2",#N/A,TRUE,"general";"via3",#N/A,TRUE,"general"}</definedName>
    <definedName name="DFVUI" hidden="1">{"via1",#N/A,TRUE,"general";"via2",#N/A,TRUE,"general";"via3",#N/A,TRUE,"general"}</definedName>
    <definedName name="dg" localSheetId="16" hidden="1">{"via1",#N/A,TRUE,"general";"via2",#N/A,TRUE,"general";"via3",#N/A,TRUE,"general"}</definedName>
    <definedName name="dg" hidden="1">{"via1",#N/A,TRUE,"general";"via2",#N/A,TRUE,"general";"via3",#N/A,TRUE,"general"}</definedName>
    <definedName name="dgdgr" localSheetId="16" hidden="1">{"via1",#N/A,TRUE,"general";"via2",#N/A,TRUE,"general";"via3",#N/A,TRUE,"general"}</definedName>
    <definedName name="dgdgr" hidden="1">{"via1",#N/A,TRUE,"general";"via2",#N/A,TRUE,"general";"via3",#N/A,TRUE,"general"}</definedName>
    <definedName name="dgfd" localSheetId="16" hidden="1">{"TAB1",#N/A,TRUE,"GENERAL";"TAB2",#N/A,TRUE,"GENERAL";"TAB3",#N/A,TRUE,"GENERAL";"TAB4",#N/A,TRUE,"GENERAL";"TAB5",#N/A,TRUE,"GENERAL"}</definedName>
    <definedName name="dgfd" hidden="1">{"TAB1",#N/A,TRUE,"GENERAL";"TAB2",#N/A,TRUE,"GENERAL";"TAB3",#N/A,TRUE,"GENERAL";"TAB4",#N/A,TRUE,"GENERAL";"TAB5",#N/A,TRUE,"GENERAL"}</definedName>
    <definedName name="DGFDFVSDF" localSheetId="16" hidden="1">{"via1",#N/A,TRUE,"general";"via2",#N/A,TRUE,"general";"via3",#N/A,TRUE,"general"}</definedName>
    <definedName name="DGFDFVSDF" hidden="1">{"via1",#N/A,TRUE,"general";"via2",#N/A,TRUE,"general";"via3",#N/A,TRUE,"general"}</definedName>
    <definedName name="dgfdg" localSheetId="16" hidden="1">{"via1",#N/A,TRUE,"general";"via2",#N/A,TRUE,"general";"via3",#N/A,TRUE,"general"}</definedName>
    <definedName name="dgfdg" hidden="1">{"via1",#N/A,TRUE,"general";"via2",#N/A,TRUE,"general";"via3",#N/A,TRUE,"general"}</definedName>
    <definedName name="DGFEE" localSheetId="16" hidden="1">{#N/A,#N/A,TRUE,"1842CWN0"}</definedName>
    <definedName name="DGFEE" hidden="1">{#N/A,#N/A,TRUE,"1842CWN0"}</definedName>
    <definedName name="DGFEE_1" localSheetId="16" hidden="1">{#N/A,#N/A,TRUE,"1842CWN0"}</definedName>
    <definedName name="DGFEE_1" hidden="1">{#N/A,#N/A,TRUE,"1842CWN0"}</definedName>
    <definedName name="DGFEE_2" localSheetId="16" hidden="1">{#N/A,#N/A,TRUE,"1842CWN0"}</definedName>
    <definedName name="DGFEE_2" hidden="1">{#N/A,#N/A,TRUE,"1842CWN0"}</definedName>
    <definedName name="DGFG" localSheetId="16" hidden="1">{"via1",#N/A,TRUE,"general";"via2",#N/A,TRUE,"general";"via3",#N/A,TRUE,"general"}</definedName>
    <definedName name="DGFG" hidden="1">{"via1",#N/A,TRUE,"general";"via2",#N/A,TRUE,"general";"via3",#N/A,TRUE,"general"}</definedName>
    <definedName name="DGFGGHF" localSheetId="16" hidden="1">{#N/A,#N/A,TRUE,"INGENIERIA";#N/A,#N/A,TRUE,"COMPRAS";#N/A,#N/A,TRUE,"DIRECCION";#N/A,#N/A,TRUE,"RESUMEN"}</definedName>
    <definedName name="DGFGGHF" hidden="1">{#N/A,#N/A,TRUE,"INGENIERIA";#N/A,#N/A,TRUE,"COMPRAS";#N/A,#N/A,TRUE,"DIRECCION";#N/A,#N/A,TRUE,"RESUMEN"}</definedName>
    <definedName name="DGFGGHF_1" localSheetId="16" hidden="1">{#N/A,#N/A,TRUE,"INGENIERIA";#N/A,#N/A,TRUE,"COMPRAS";#N/A,#N/A,TRUE,"DIRECCION";#N/A,#N/A,TRUE,"RESUMEN"}</definedName>
    <definedName name="DGFGGHF_1" hidden="1">{#N/A,#N/A,TRUE,"INGENIERIA";#N/A,#N/A,TRUE,"COMPRAS";#N/A,#N/A,TRUE,"DIRECCION";#N/A,#N/A,TRUE,"RESUMEN"}</definedName>
    <definedName name="DGFGGHF_2" localSheetId="16" hidden="1">{#N/A,#N/A,TRUE,"INGENIERIA";#N/A,#N/A,TRUE,"COMPRAS";#N/A,#N/A,TRUE,"DIRECCION";#N/A,#N/A,TRUE,"RESUMEN"}</definedName>
    <definedName name="DGFGGHF_2" hidden="1">{#N/A,#N/A,TRUE,"INGENIERIA";#N/A,#N/A,TRUE,"COMPRAS";#N/A,#N/A,TRUE,"DIRECCION";#N/A,#N/A,TRUE,"RESUMEN"}</definedName>
    <definedName name="DGFR" localSheetId="16" hidden="1">{#N/A,#N/A,TRUE,"1842CWN0"}</definedName>
    <definedName name="DGFR" hidden="1">{#N/A,#N/A,TRUE,"1842CWN0"}</definedName>
    <definedName name="DGFR_1" localSheetId="16" hidden="1">{#N/A,#N/A,TRUE,"1842CWN0"}</definedName>
    <definedName name="DGFR_1" hidden="1">{#N/A,#N/A,TRUE,"1842CWN0"}</definedName>
    <definedName name="DGFR_2" localSheetId="16" hidden="1">{#N/A,#N/A,TRUE,"1842CWN0"}</definedName>
    <definedName name="DGFR_2" hidden="1">{#N/A,#N/A,TRUE,"1842CWN0"}</definedName>
    <definedName name="dgfsado" localSheetId="16" hidden="1">{"TAB1",#N/A,TRUE,"GENERAL";"TAB2",#N/A,TRUE,"GENERAL";"TAB3",#N/A,TRUE,"GENERAL";"TAB4",#N/A,TRUE,"GENERAL";"TAB5",#N/A,TRUE,"GENERAL"}</definedName>
    <definedName name="dgfsado" hidden="1">{"TAB1",#N/A,TRUE,"GENERAL";"TAB2",#N/A,TRUE,"GENERAL";"TAB3",#N/A,TRUE,"GENERAL";"TAB4",#N/A,TRUE,"GENERAL";"TAB5",#N/A,TRUE,"GENERAL"}</definedName>
    <definedName name="DGGGHHJT" localSheetId="16" hidden="1">{#N/A,#N/A,TRUE,"INGENIERIA";#N/A,#N/A,TRUE,"COMPRAS";#N/A,#N/A,TRUE,"DIRECCION";#N/A,#N/A,TRUE,"RESUMEN"}</definedName>
    <definedName name="DGGGHHJT" hidden="1">{#N/A,#N/A,TRUE,"INGENIERIA";#N/A,#N/A,TRUE,"COMPRAS";#N/A,#N/A,TRUE,"DIRECCION";#N/A,#N/A,TRUE,"RESUMEN"}</definedName>
    <definedName name="DGGGHHJT_1" localSheetId="16" hidden="1">{#N/A,#N/A,TRUE,"INGENIERIA";#N/A,#N/A,TRUE,"COMPRAS";#N/A,#N/A,TRUE,"DIRECCION";#N/A,#N/A,TRUE,"RESUMEN"}</definedName>
    <definedName name="DGGGHHJT_1" hidden="1">{#N/A,#N/A,TRUE,"INGENIERIA";#N/A,#N/A,TRUE,"COMPRAS";#N/A,#N/A,TRUE,"DIRECCION";#N/A,#N/A,TRUE,"RESUMEN"}</definedName>
    <definedName name="DGGGHHJT_2" localSheetId="16" hidden="1">{#N/A,#N/A,TRUE,"INGENIERIA";#N/A,#N/A,TRUE,"COMPRAS";#N/A,#N/A,TRUE,"DIRECCION";#N/A,#N/A,TRUE,"RESUMEN"}</definedName>
    <definedName name="DGGGHHJT_2" hidden="1">{#N/A,#N/A,TRUE,"INGENIERIA";#N/A,#N/A,TRUE,"COMPRAS";#N/A,#N/A,TRUE,"DIRECCION";#N/A,#N/A,TRUE,"RESUMEN"}</definedName>
    <definedName name="DGGZ">#REF!</definedName>
    <definedName name="dgrdeb" localSheetId="16" hidden="1">{"TAB1",#N/A,TRUE,"GENERAL";"TAB2",#N/A,TRUE,"GENERAL";"TAB3",#N/A,TRUE,"GENERAL";"TAB4",#N/A,TRUE,"GENERAL";"TAB5",#N/A,TRUE,"GENERAL"}</definedName>
    <definedName name="dgrdeb" hidden="1">{"TAB1",#N/A,TRUE,"GENERAL";"TAB2",#N/A,TRUE,"GENERAL";"TAB3",#N/A,TRUE,"GENERAL";"TAB4",#N/A,TRUE,"GENERAL";"TAB5",#N/A,TRUE,"GENERAL"}</definedName>
    <definedName name="dgreg" localSheetId="16" hidden="1">{"via1",#N/A,TRUE,"general";"via2",#N/A,TRUE,"general";"via3",#N/A,TRUE,"general"}</definedName>
    <definedName name="dgreg" hidden="1">{"via1",#N/A,TRUE,"general";"via2",#N/A,TRUE,"general";"via3",#N/A,TRUE,"general"}</definedName>
    <definedName name="DGRR" localSheetId="16" hidden="1">{#N/A,#N/A,TRUE,"INGENIERIA";#N/A,#N/A,TRUE,"COMPRAS";#N/A,#N/A,TRUE,"DIRECCION";#N/A,#N/A,TRUE,"RESUMEN"}</definedName>
    <definedName name="DGRR" hidden="1">{#N/A,#N/A,TRUE,"INGENIERIA";#N/A,#N/A,TRUE,"COMPRAS";#N/A,#N/A,TRUE,"DIRECCION";#N/A,#N/A,TRUE,"RESUMEN"}</definedName>
    <definedName name="DGRR_1" localSheetId="16" hidden="1">{#N/A,#N/A,TRUE,"INGENIERIA";#N/A,#N/A,TRUE,"COMPRAS";#N/A,#N/A,TRUE,"DIRECCION";#N/A,#N/A,TRUE,"RESUMEN"}</definedName>
    <definedName name="DGRR_1" hidden="1">{#N/A,#N/A,TRUE,"INGENIERIA";#N/A,#N/A,TRUE,"COMPRAS";#N/A,#N/A,TRUE,"DIRECCION";#N/A,#N/A,TRUE,"RESUMEN"}</definedName>
    <definedName name="DGRR_2" localSheetId="16" hidden="1">{#N/A,#N/A,TRUE,"INGENIERIA";#N/A,#N/A,TRUE,"COMPRAS";#N/A,#N/A,TRUE,"DIRECCION";#N/A,#N/A,TRUE,"RESUMEN"}</definedName>
    <definedName name="DGRR_2" hidden="1">{#N/A,#N/A,TRUE,"INGENIERIA";#N/A,#N/A,TRUE,"COMPRAS";#N/A,#N/A,TRUE,"DIRECCION";#N/A,#N/A,TRUE,"RESUMEN"}</definedName>
    <definedName name="DH" localSheetId="16" hidden="1">{"via1",#N/A,TRUE,"general";"via2",#N/A,TRUE,"general";"via3",#N/A,TRUE,"general"}</definedName>
    <definedName name="DH" hidden="1">{"via1",#N/A,TRUE,"general";"via2",#N/A,TRUE,"general";"via3",#N/A,TRUE,"general"}</definedName>
    <definedName name="dhdth" localSheetId="16" hidden="1">{"TAB1",#N/A,TRUE,"GENERAL";"TAB2",#N/A,TRUE,"GENERAL";"TAB3",#N/A,TRUE,"GENERAL";"TAB4",#N/A,TRUE,"GENERAL";"TAB5",#N/A,TRUE,"GENERAL"}</definedName>
    <definedName name="dhdth" hidden="1">{"TAB1",#N/A,TRUE,"GENERAL";"TAB2",#N/A,TRUE,"GENERAL";"TAB3",#N/A,TRUE,"GENERAL";"TAB4",#N/A,TRUE,"GENERAL";"TAB5",#N/A,TRUE,"GENERAL"}</definedName>
    <definedName name="dhgh" localSheetId="16" hidden="1">{"via1",#N/A,TRUE,"general";"via2",#N/A,TRUE,"general";"via3",#N/A,TRUE,"general"}</definedName>
    <definedName name="dhgh" hidden="1">{"via1",#N/A,TRUE,"general";"via2",#N/A,TRUE,"general";"via3",#N/A,TRUE,"general"}</definedName>
    <definedName name="di">#REF!</definedName>
    <definedName name="DIA">#REF!</definedName>
    <definedName name="Diametros">#REF!</definedName>
    <definedName name="diamm">#REF!</definedName>
    <definedName name="Diana" localSheetId="16" hidden="1">{"TAB1",#N/A,TRUE,"GENERAL";"TAB2",#N/A,TRUE,"GENERAL";"TAB3",#N/A,TRUE,"GENERAL";"TAB4",#N/A,TRUE,"GENERAL";"TAB5",#N/A,TRUE,"GENERAL"}</definedName>
    <definedName name="Diana" hidden="1">{"TAB1",#N/A,TRUE,"GENERAL";"TAB2",#N/A,TRUE,"GENERAL";"TAB3",#N/A,TRUE,"GENERAL";"TAB4",#N/A,TRUE,"GENERAL";"TAB5",#N/A,TRUE,"GENERAL"}</definedName>
    <definedName name="diasacumulacion">#REF!</definedName>
    <definedName name="DIASROTACION">#REF!</definedName>
    <definedName name="DIC">#REF!</definedName>
    <definedName name="dice">#REF!</definedName>
    <definedName name="diego">#REF!</definedName>
    <definedName name="diego1">#REF!</definedName>
    <definedName name="DifConsultoriaFM">#REF!</definedName>
    <definedName name="dina">#REF!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tanciasPRS7801">#REF!</definedName>
    <definedName name="DistanciasPRS9003">#REF!</definedName>
    <definedName name="DistanciasPRS9004">#REF!</definedName>
    <definedName name="DISTRIBUCION" localSheetId="16"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#REF!</definedName>
    <definedName name="djdytj" localSheetId="16"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D">#REF!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spre">#REF!</definedName>
    <definedName name="DOT">#REF!</definedName>
    <definedName name="dota">#REF!</definedName>
    <definedName name="Dp">#REF!</definedName>
    <definedName name="drf">#REF!</definedName>
    <definedName name="dry" localSheetId="16" hidden="1">{"via1",#N/A,TRUE,"general";"via2",#N/A,TRUE,"general";"via3",#N/A,TRUE,"general"}</definedName>
    <definedName name="dry" hidden="1">{"via1",#N/A,TRUE,"general";"via2",#N/A,TRUE,"general";"via3",#N/A,TRUE,"general"}</definedName>
    <definedName name="DSA">#REF!</definedName>
    <definedName name="DSAD" localSheetId="16" hidden="1">{"via1",#N/A,TRUE,"general";"via2",#N/A,TRUE,"general";"via3",#N/A,TRUE,"general"}</definedName>
    <definedName name="DSAD" hidden="1">{"via1",#N/A,TRUE,"general";"via2",#N/A,TRUE,"general";"via3",#N/A,TRUE,"general"}</definedName>
    <definedName name="dsadfp" localSheetId="16" hidden="1">{"TAB1",#N/A,TRUE,"GENERAL";"TAB2",#N/A,TRUE,"GENERAL";"TAB3",#N/A,TRUE,"GENERAL";"TAB4",#N/A,TRUE,"GENERAL";"TAB5",#N/A,TRUE,"GENERAL"}</definedName>
    <definedName name="dsadfp" hidden="1">{"TAB1",#N/A,TRUE,"GENERAL";"TAB2",#N/A,TRUE,"GENERAL";"TAB3",#N/A,TRUE,"GENERAL";"TAB4",#N/A,TRUE,"GENERAL";"TAB5",#N/A,TRUE,"GENERAL"}</definedName>
    <definedName name="DSD" localSheetId="16" hidden="1">{"via1",#N/A,TRUE,"general";"via2",#N/A,TRUE,"general";"via3",#N/A,TRUE,"general"}</definedName>
    <definedName name="DSD" hidden="1">{"via1",#N/A,TRUE,"general";"via2",#N/A,TRUE,"general";"via3",#N/A,TRUE,"general"}</definedName>
    <definedName name="dsdads4" localSheetId="16" hidden="1">{"TAB1",#N/A,TRUE,"GENERAL";"TAB2",#N/A,TRUE,"GENERAL";"TAB3",#N/A,TRUE,"GENERAL";"TAB4",#N/A,TRUE,"GENERAL";"TAB5",#N/A,TRUE,"GENERAL"}</definedName>
    <definedName name="dsdads4" hidden="1">{"TAB1",#N/A,TRUE,"GENERAL";"TAB2",#N/A,TRUE,"GENERAL";"TAB3",#N/A,TRUE,"GENERAL";"TAB4",#N/A,TRUE,"GENERAL";"TAB5",#N/A,TRUE,"GENERAL"}</definedName>
    <definedName name="DSF" localSheetId="16" hidden="1">{"via1",#N/A,TRUE,"general";"via2",#N/A,TRUE,"general";"via3",#N/A,TRUE,"general"}</definedName>
    <definedName name="DSF" hidden="1">{"via1",#N/A,TRUE,"general";"via2",#N/A,TRUE,"general";"via3",#N/A,TRUE,"general"}</definedName>
    <definedName name="DSFCVTY" localSheetId="16"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16" hidden="1">{"via1",#N/A,TRUE,"general";"via2",#N/A,TRUE,"general";"via3",#N/A,TRUE,"general"}</definedName>
    <definedName name="dsfg" hidden="1">{"via1",#N/A,TRUE,"general";"via2",#N/A,TRUE,"general";"via3",#N/A,TRUE,"general"}</definedName>
    <definedName name="dsfhgfdh" localSheetId="16" hidden="1">{"TAB1",#N/A,TRUE,"GENERAL";"TAB2",#N/A,TRUE,"GENERAL";"TAB3",#N/A,TRUE,"GENERAL";"TAB4",#N/A,TRUE,"GENERAL";"TAB5",#N/A,TRUE,"GENERAL"}</definedName>
    <definedName name="dsfhgfdh" hidden="1">{"TAB1",#N/A,TRUE,"GENERAL";"TAB2",#N/A,TRUE,"GENERAL";"TAB3",#N/A,TRUE,"GENERAL";"TAB4",#N/A,TRUE,"GENERAL";"TAB5",#N/A,TRUE,"GENERAL"}</definedName>
    <definedName name="dsfsdf" localSheetId="16" hidden="1">{"via1",#N/A,TRUE,"general";"via2",#N/A,TRUE,"general";"via3",#N/A,TRUE,"general"}</definedName>
    <definedName name="dsfsdf" hidden="1">{"via1",#N/A,TRUE,"general";"via2",#N/A,TRUE,"general";"via3",#N/A,TRUE,"general"}</definedName>
    <definedName name="DSFSDFCXV" localSheetId="16" hidden="1">{"TAB1",#N/A,TRUE,"GENERAL";"TAB2",#N/A,TRUE,"GENERAL";"TAB3",#N/A,TRUE,"GENERAL";"TAB4",#N/A,TRUE,"GENERAL";"TAB5",#N/A,TRUE,"GENERAL"}</definedName>
    <definedName name="DSFSDFCXV" hidden="1">{"TAB1",#N/A,TRUE,"GENERAL";"TAB2",#N/A,TRUE,"GENERAL";"TAB3",#N/A,TRUE,"GENERAL";"TAB4",#N/A,TRUE,"GENERAL";"TAB5",#N/A,TRUE,"GENERAL"}</definedName>
    <definedName name="dsfsvm" localSheetId="16" hidden="1">{"TAB1",#N/A,TRUE,"GENERAL";"TAB2",#N/A,TRUE,"GENERAL";"TAB3",#N/A,TRUE,"GENERAL";"TAB4",#N/A,TRUE,"GENERAL";"TAB5",#N/A,TRUE,"GENERAL"}</definedName>
    <definedName name="dsfsvm" hidden="1">{"TAB1",#N/A,TRUE,"GENERAL";"TAB2",#N/A,TRUE,"GENERAL";"TAB3",#N/A,TRUE,"GENERAL";"TAB4",#N/A,TRUE,"GENERAL";"TAB5",#N/A,TRUE,"GENERAL"}</definedName>
    <definedName name="dsftbv" localSheetId="16" hidden="1">{"via1",#N/A,TRUE,"general";"via2",#N/A,TRUE,"general";"via3",#N/A,TRUE,"general"}</definedName>
    <definedName name="dsftbv" hidden="1">{"via1",#N/A,TRUE,"general";"via2",#N/A,TRUE,"general";"via3",#N/A,TRUE,"general"}</definedName>
    <definedName name="dt">#REF!</definedName>
    <definedName name="dtf">#REF!</definedName>
    <definedName name="dtrhj" localSheetId="16" hidden="1">{"via1",#N/A,TRUE,"general";"via2",#N/A,TRUE,"general";"via3",#N/A,TRUE,"general"}</definedName>
    <definedName name="dtrhj" hidden="1">{"via1",#N/A,TRUE,"general";"via2",#N/A,TRUE,"general";"via3",#N/A,TRUE,"general"}</definedName>
    <definedName name="DTS">#REF!</definedName>
    <definedName name="Duitama">#REF!</definedName>
    <definedName name="DuracionMeses">#REF!</definedName>
    <definedName name="DuracionSemanas">#REF!</definedName>
    <definedName name="Dv">#REF!</definedName>
    <definedName name="DWPRICE" hidden="1">#REF!</definedName>
    <definedName name="dxfgg" localSheetId="16" hidden="1">{"via1",#N/A,TRUE,"general";"via2",#N/A,TRUE,"general";"via3",#N/A,TRUE,"general"}</definedName>
    <definedName name="dxfgg" hidden="1">{"via1",#N/A,TRUE,"general";"via2",#N/A,TRUE,"general";"via3",#N/A,TRUE,"general"}</definedName>
    <definedName name="E">#REF!</definedName>
    <definedName name="e3e33" localSheetId="16" hidden="1">{"via1",#N/A,TRUE,"general";"via2",#N/A,TRUE,"general";"via3",#N/A,TRUE,"general"}</definedName>
    <definedName name="e3e33" hidden="1">{"via1",#N/A,TRUE,"general";"via2",#N/A,TRUE,"general";"via3",#N/A,TRUE,"general"}</definedName>
    <definedName name="Ebitda" localSheetId="16"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#REF!</definedName>
    <definedName name="EDEDWSWQA" localSheetId="16" hidden="1">{"TAB1",#N/A,TRUE,"GENERAL";"TAB2",#N/A,TRUE,"GENERAL";"TAB3",#N/A,TRUE,"GENERAL";"TAB4",#N/A,TRUE,"GENERAL";"TAB5",#N/A,TRUE,"GENERAL"}</definedName>
    <definedName name="EDEDWSWQA" hidden="1">{"TAB1",#N/A,TRUE,"GENERAL";"TAB2",#N/A,TRUE,"GENERAL";"TAB3",#N/A,TRUE,"GENERAL";"TAB4",#N/A,TRUE,"GENERAL";"TAB5",#N/A,TRUE,"GENERAL"}</definedName>
    <definedName name="edgfhmn" localSheetId="16" hidden="1">{"via1",#N/A,TRUE,"general";"via2",#N/A,TRUE,"general";"via3",#N/A,TRUE,"general"}</definedName>
    <definedName name="edgfhmn" hidden="1">{"via1",#N/A,TRUE,"general";"via2",#N/A,TRUE,"general";"via3",#N/A,TRUE,"general"}</definedName>
    <definedName name="EDWIN">#REF!</definedName>
    <definedName name="ee">#REF!</definedName>
    <definedName name="eeedfr" localSheetId="16" hidden="1">{"TAB1",#N/A,TRUE,"GENERAL";"TAB2",#N/A,TRUE,"GENERAL";"TAB3",#N/A,TRUE,"GENERAL";"TAB4",#N/A,TRUE,"GENERAL";"TAB5",#N/A,TRUE,"GENERAL"}</definedName>
    <definedName name="eeedfr" hidden="1">{"TAB1",#N/A,TRUE,"GENERAL";"TAB2",#N/A,TRUE,"GENERAL";"TAB3",#N/A,TRUE,"GENERAL";"TAB4",#N/A,TRUE,"GENERAL";"TAB5",#N/A,TRUE,"GENERAL"}</definedName>
    <definedName name="EEEE" localSheetId="16" hidden="1">{"TAB1",#N/A,TRUE,"GENERAL";"TAB2",#N/A,TRUE,"GENERAL";"TAB3",#N/A,TRUE,"GENERAL";"TAB4",#N/A,TRUE,"GENERAL";"TAB5",#N/A,TRUE,"GENERAL"}</definedName>
    <definedName name="EEEE" hidden="1">{"TAB1",#N/A,TRUE,"GENERAL";"TAB2",#N/A,TRUE,"GENERAL";"TAB3",#N/A,TRUE,"GENERAL";"TAB4",#N/A,TRUE,"GENERAL";"TAB5",#N/A,TRUE,"GENERAL"}</definedName>
    <definedName name="eeeeer" localSheetId="16" hidden="1">{"TAB1",#N/A,TRUE,"GENERAL";"TAB2",#N/A,TRUE,"GENERAL";"TAB3",#N/A,TRUE,"GENERAL";"TAB4",#N/A,TRUE,"GENERAL";"TAB5",#N/A,TRUE,"GENERAL"}</definedName>
    <definedName name="eeeeer" hidden="1">{"TAB1",#N/A,TRUE,"GENERAL";"TAB2",#N/A,TRUE,"GENERAL";"TAB3",#N/A,TRUE,"GENERAL";"TAB4",#N/A,TRUE,"GENERAL";"TAB5",#N/A,TRUE,"GENERAL"}</definedName>
    <definedName name="eeerfd" localSheetId="16" hidden="1">{"via1",#N/A,TRUE,"general";"via2",#N/A,TRUE,"general";"via3",#N/A,TRUE,"general"}</definedName>
    <definedName name="eeerfd" hidden="1">{"via1",#N/A,TRUE,"general";"via2",#N/A,TRUE,"general";"via3",#N/A,TRUE,"general"}</definedName>
    <definedName name="ef">#REF!</definedName>
    <definedName name="efcwe" hidden="1">#REF!</definedName>
    <definedName name="efef" localSheetId="16" hidden="1">{"TAB1",#N/A,TRUE,"GENERAL";"TAB2",#N/A,TRUE,"GENERAL";"TAB3",#N/A,TRUE,"GENERAL";"TAB4",#N/A,TRUE,"GENERAL";"TAB5",#N/A,TRUE,"GENERAL"}</definedName>
    <definedName name="efef" hidden="1">{"TAB1",#N/A,TRUE,"GENERAL";"TAB2",#N/A,TRUE,"GENERAL";"TAB3",#N/A,TRUE,"GENERAL";"TAB4",#N/A,TRUE,"GENERAL";"TAB5",#N/A,TRUE,"GENERAL"}</definedName>
    <definedName name="efer" localSheetId="16" hidden="1">{"via1",#N/A,TRUE,"general";"via2",#N/A,TRUE,"general";"via3",#N/A,TRUE,"general"}</definedName>
    <definedName name="efer" hidden="1">{"via1",#N/A,TRUE,"general";"via2",#N/A,TRUE,"general";"via3",#N/A,TRUE,"general"}</definedName>
    <definedName name="egeg" localSheetId="16" hidden="1">{"TAB1",#N/A,TRUE,"GENERAL";"TAB2",#N/A,TRUE,"GENERAL";"TAB3",#N/A,TRUE,"GENERAL";"TAB4",#N/A,TRUE,"GENERAL";"TAB5",#N/A,TRUE,"GENERAL"}</definedName>
    <definedName name="egeg" hidden="1">{"TAB1",#N/A,TRUE,"GENERAL";"TAB2",#N/A,TRUE,"GENERAL";"TAB3",#N/A,TRUE,"GENERAL";"TAB4",#N/A,TRUE,"GENERAL";"TAB5",#N/A,TRUE,"GENERAL"}</definedName>
    <definedName name="egtrgthrt" localSheetId="16"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#REF!</definedName>
    <definedName name="ELET5">#REF!</definedName>
    <definedName name="empotra">#REF!</definedName>
    <definedName name="End_Bal">#REF!</definedName>
    <definedName name="ENE">#REF!</definedName>
    <definedName name="ENERGIATABLA1.2.4">#REF!</definedName>
    <definedName name="Ensayos">#REF!</definedName>
    <definedName name="entibado">#REF!</definedName>
    <definedName name="EQUI">#REF!</definedName>
    <definedName name="EQUIPO">#REF!</definedName>
    <definedName name="EQUIPO_1">#REF!</definedName>
    <definedName name="Equipos">#REF!</definedName>
    <definedName name="EQUITOP">#REF!</definedName>
    <definedName name="eqw" localSheetId="16" hidden="1">{"via1",#N/A,TRUE,"general";"via2",#N/A,TRUE,"general";"via3",#N/A,TRUE,"general"}</definedName>
    <definedName name="eqw" hidden="1">{"via1",#N/A,TRUE,"general";"via2",#N/A,TRUE,"general";"via3",#N/A,TRUE,"general"}</definedName>
    <definedName name="er">#REF!</definedName>
    <definedName name="erad">#REF!</definedName>
    <definedName name="EREE">#REF!</definedName>
    <definedName name="erg" localSheetId="16" hidden="1">{"TAB1",#N/A,TRUE,"GENERAL";"TAB2",#N/A,TRUE,"GENERAL";"TAB3",#N/A,TRUE,"GENERAL";"TAB4",#N/A,TRUE,"GENERAL";"TAB5",#N/A,TRUE,"GENERAL"}</definedName>
    <definedName name="erg" hidden="1">{"TAB1",#N/A,TRUE,"GENERAL";"TAB2",#N/A,TRUE,"GENERAL";"TAB3",#N/A,TRUE,"GENERAL";"TAB4",#N/A,TRUE,"GENERAL";"TAB5",#N/A,TRUE,"GENERAL"}</definedName>
    <definedName name="erger" localSheetId="16" hidden="1">{"via1",#N/A,TRUE,"general";"via2",#N/A,TRUE,"general";"via3",#N/A,TRUE,"general"}</definedName>
    <definedName name="erger" hidden="1">{"via1",#N/A,TRUE,"general";"via2",#N/A,TRUE,"general";"via3",#N/A,TRUE,"general"}</definedName>
    <definedName name="ergerg" localSheetId="16" hidden="1">{"via1",#N/A,TRUE,"general";"via2",#N/A,TRUE,"general";"via3",#N/A,TRUE,"general"}</definedName>
    <definedName name="ergerg" hidden="1">{"via1",#N/A,TRUE,"general";"via2",#N/A,TRUE,"general";"via3",#N/A,TRUE,"general"}</definedName>
    <definedName name="ergfegr" localSheetId="16" hidden="1">{"via1",#N/A,TRUE,"general";"via2",#N/A,TRUE,"general";"via3",#N/A,TRUE,"general"}</definedName>
    <definedName name="ergfegr" hidden="1">{"via1",#N/A,TRUE,"general";"via2",#N/A,TRUE,"general";"via3",#N/A,TRUE,"general"}</definedName>
    <definedName name="ergge" localSheetId="16" hidden="1">{"TAB1",#N/A,TRUE,"GENERAL";"TAB2",#N/A,TRUE,"GENERAL";"TAB3",#N/A,TRUE,"GENERAL";"TAB4",#N/A,TRUE,"GENERAL";"TAB5",#N/A,TRUE,"GENERAL"}</definedName>
    <definedName name="ergge" hidden="1">{"TAB1",#N/A,TRUE,"GENERAL";"TAB2",#N/A,TRUE,"GENERAL";"TAB3",#N/A,TRUE,"GENERAL";"TAB4",#N/A,TRUE,"GENERAL";"TAB5",#N/A,TRUE,"GENERAL"}</definedName>
    <definedName name="erggewg" localSheetId="16" hidden="1">{"via1",#N/A,TRUE,"general";"via2",#N/A,TRUE,"general";"via3",#N/A,TRUE,"general"}</definedName>
    <definedName name="erggewg" hidden="1">{"via1",#N/A,TRUE,"general";"via2",#N/A,TRUE,"general";"via3",#N/A,TRUE,"general"}</definedName>
    <definedName name="ergreg" localSheetId="16" hidden="1">{"TAB1",#N/A,TRUE,"GENERAL";"TAB2",#N/A,TRUE,"GENERAL";"TAB3",#N/A,TRUE,"GENERAL";"TAB4",#N/A,TRUE,"GENERAL";"TAB5",#N/A,TRUE,"GENERAL"}</definedName>
    <definedName name="ergreg" hidden="1">{"TAB1",#N/A,TRUE,"GENERAL";"TAB2",#N/A,TRUE,"GENERAL";"TAB3",#N/A,TRUE,"GENERAL";"TAB4",#N/A,TRUE,"GENERAL";"TAB5",#N/A,TRUE,"GENERAL"}</definedName>
    <definedName name="ergregerg" localSheetId="16" hidden="1">{"via1",#N/A,TRUE,"general";"via2",#N/A,TRUE,"general";"via3",#N/A,TRUE,"general"}</definedName>
    <definedName name="ergregerg" hidden="1">{"via1",#N/A,TRUE,"general";"via2",#N/A,TRUE,"general";"via3",#N/A,TRUE,"general"}</definedName>
    <definedName name="ergrg" localSheetId="16" hidden="1">{"TAB1",#N/A,TRUE,"GENERAL";"TAB2",#N/A,TRUE,"GENERAL";"TAB3",#N/A,TRUE,"GENERAL";"TAB4",#N/A,TRUE,"GENERAL";"TAB5",#N/A,TRUE,"GENERAL"}</definedName>
    <definedName name="ergrg" hidden="1">{"TAB1",#N/A,TRUE,"GENERAL";"TAB2",#N/A,TRUE,"GENERAL";"TAB3",#N/A,TRUE,"GENERAL";"TAB4",#N/A,TRUE,"GENERAL";"TAB5",#N/A,TRUE,"GENERAL"}</definedName>
    <definedName name="ergweg" localSheetId="16" hidden="1">{"TAB1",#N/A,TRUE,"GENERAL";"TAB2",#N/A,TRUE,"GENERAL";"TAB3",#N/A,TRUE,"GENERAL";"TAB4",#N/A,TRUE,"GENERAL";"TAB5",#N/A,TRUE,"GENERAL"}</definedName>
    <definedName name="ergweg" hidden="1">{"TAB1",#N/A,TRUE,"GENERAL";"TAB2",#N/A,TRUE,"GENERAL";"TAB3",#N/A,TRUE,"GENERAL";"TAB4",#N/A,TRUE,"GENERAL";"TAB5",#N/A,TRUE,"GENERAL"}</definedName>
    <definedName name="ergwreg" localSheetId="16" hidden="1">{"via1",#N/A,TRUE,"general";"via2",#N/A,TRUE,"general";"via3",#N/A,TRUE,"general"}</definedName>
    <definedName name="ergwreg" hidden="1">{"via1",#N/A,TRUE,"general";"via2",#N/A,TRUE,"general";"via3",#N/A,TRUE,"general"}</definedName>
    <definedName name="erheyh" localSheetId="16" hidden="1">{"TAB1",#N/A,TRUE,"GENERAL";"TAB2",#N/A,TRUE,"GENERAL";"TAB3",#N/A,TRUE,"GENERAL";"TAB4",#N/A,TRUE,"GENERAL";"TAB5",#N/A,TRUE,"GENERAL"}</definedName>
    <definedName name="erheyh" hidden="1">{"TAB1",#N/A,TRUE,"GENERAL";"TAB2",#N/A,TRUE,"GENERAL";"TAB3",#N/A,TRUE,"GENERAL";"TAB4",#N/A,TRUE,"GENERAL";"TAB5",#N/A,TRUE,"GENERAL"}</definedName>
    <definedName name="err" localSheetId="16"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r">#REF!</definedName>
    <definedName name="ert" localSheetId="16" hidden="1">{"via1",#N/A,TRUE,"general";"via2",#N/A,TRUE,"general";"via3",#N/A,TRUE,"general"}</definedName>
    <definedName name="ert" hidden="1">{"via1",#N/A,TRUE,"general";"via2",#N/A,TRUE,"general";"via3",#N/A,TRUE,"general"}</definedName>
    <definedName name="erte" localSheetId="16" hidden="1">{"via1",#N/A,TRUE,"general";"via2",#N/A,TRUE,"general";"via3",#N/A,TRUE,"general"}</definedName>
    <definedName name="erte" hidden="1">{"via1",#N/A,TRUE,"general";"via2",#N/A,TRUE,"general";"via3",#N/A,TRUE,"general"}</definedName>
    <definedName name="erter" localSheetId="16" hidden="1">{"TAB1",#N/A,TRUE,"GENERAL";"TAB2",#N/A,TRUE,"GENERAL";"TAB3",#N/A,TRUE,"GENERAL";"TAB4",#N/A,TRUE,"GENERAL";"TAB5",#N/A,TRUE,"GENERAL"}</definedName>
    <definedName name="erter" hidden="1">{"TAB1",#N/A,TRUE,"GENERAL";"TAB2",#N/A,TRUE,"GENERAL";"TAB3",#N/A,TRUE,"GENERAL";"TAB4",#N/A,TRUE,"GENERAL";"TAB5",#N/A,TRUE,"GENERAL"}</definedName>
    <definedName name="ertert" localSheetId="16" hidden="1">{"via1",#N/A,TRUE,"general";"via2",#N/A,TRUE,"general";"via3",#N/A,TRUE,"general"}</definedName>
    <definedName name="ertert" hidden="1">{"via1",#N/A,TRUE,"general";"via2",#N/A,TRUE,"general";"via3",#N/A,TRUE,"general"}</definedName>
    <definedName name="ertgyhik" localSheetId="16" hidden="1">{"TAB1",#N/A,TRUE,"GENERAL";"TAB2",#N/A,TRUE,"GENERAL";"TAB3",#N/A,TRUE,"GENERAL";"TAB4",#N/A,TRUE,"GENERAL";"TAB5",#N/A,TRUE,"GENERAL"}</definedName>
    <definedName name="ertgyhik" hidden="1">{"TAB1",#N/A,TRUE,"GENERAL";"TAB2",#N/A,TRUE,"GENERAL";"TAB3",#N/A,TRUE,"GENERAL";"TAB4",#N/A,TRUE,"GENERAL";"TAB5",#N/A,TRUE,"GENERAL"}</definedName>
    <definedName name="ertreb" localSheetId="16" hidden="1">{"via1",#N/A,TRUE,"general";"via2",#N/A,TRUE,"general";"via3",#N/A,TRUE,"general"}</definedName>
    <definedName name="ertreb" hidden="1">{"via1",#N/A,TRUE,"general";"via2",#N/A,TRUE,"general";"via3",#N/A,TRUE,"general"}</definedName>
    <definedName name="ertret" localSheetId="16" hidden="1">{"TAB1",#N/A,TRUE,"GENERAL";"TAB2",#N/A,TRUE,"GENERAL";"TAB3",#N/A,TRUE,"GENERAL";"TAB4",#N/A,TRUE,"GENERAL";"TAB5",#N/A,TRUE,"GENERAL"}</definedName>
    <definedName name="ertret" hidden="1">{"TAB1",#N/A,TRUE,"GENERAL";"TAB2",#N/A,TRUE,"GENERAL";"TAB3",#N/A,TRUE,"GENERAL";"TAB4",#N/A,TRUE,"GENERAL";"TAB5",#N/A,TRUE,"GENERAL"}</definedName>
    <definedName name="erttret" localSheetId="16" hidden="1">{"via1",#N/A,TRUE,"general";"via2",#N/A,TRUE,"general";"via3",#N/A,TRUE,"general"}</definedName>
    <definedName name="erttret" hidden="1">{"via1",#N/A,TRUE,"general";"via2",#N/A,TRUE,"general";"via3",#N/A,TRUE,"general"}</definedName>
    <definedName name="ertuiy" localSheetId="16" hidden="1">{"via1",#N/A,TRUE,"general";"via2",#N/A,TRUE,"general";"via3",#N/A,TRUE,"general"}</definedName>
    <definedName name="ertuiy" hidden="1">{"via1",#N/A,TRUE,"general";"via2",#N/A,TRUE,"general";"via3",#N/A,TRUE,"general"}</definedName>
    <definedName name="ertwert" localSheetId="16" hidden="1">{"TAB1",#N/A,TRUE,"GENERAL";"TAB2",#N/A,TRUE,"GENERAL";"TAB3",#N/A,TRUE,"GENERAL";"TAB4",#N/A,TRUE,"GENERAL";"TAB5",#N/A,TRUE,"GENERAL"}</definedName>
    <definedName name="ertwert" hidden="1">{"TAB1",#N/A,TRUE,"GENERAL";"TAB2",#N/A,TRUE,"GENERAL";"TAB3",#N/A,TRUE,"GENERAL";"TAB4",#N/A,TRUE,"GENERAL";"TAB5",#N/A,TRUE,"GENERAL"}</definedName>
    <definedName name="eru" localSheetId="16" hidden="1">{"TAB1",#N/A,TRUE,"GENERAL";"TAB2",#N/A,TRUE,"GENERAL";"TAB3",#N/A,TRUE,"GENERAL";"TAB4",#N/A,TRUE,"GENERAL";"TAB5",#N/A,TRUE,"GENERAL"}</definedName>
    <definedName name="eru" hidden="1">{"TAB1",#N/A,TRUE,"GENERAL";"TAB2",#N/A,TRUE,"GENERAL";"TAB3",#N/A,TRUE,"GENERAL";"TAB4",#N/A,TRUE,"GENERAL";"TAB5",#N/A,TRUE,"GENERAL"}</definedName>
    <definedName name="ERV" localSheetId="16" hidden="1">{"via1",#N/A,TRUE,"general";"via2",#N/A,TRUE,"general";"via3",#N/A,TRUE,"general"}</definedName>
    <definedName name="ERV" hidden="1">{"via1",#N/A,TRUE,"general";"via2",#N/A,TRUE,"general";"via3",#N/A,TRUE,"general"}</definedName>
    <definedName name="erware" localSheetId="16" hidden="1">{"via1",#N/A,TRUE,"general";"via2",#N/A,TRUE,"general";"via3",#N/A,TRUE,"general"}</definedName>
    <definedName name="erware" hidden="1">{"via1",#N/A,TRUE,"general";"via2",#N/A,TRUE,"general";"via3",#N/A,TRUE,"general"}</definedName>
    <definedName name="ERWER" localSheetId="16" hidden="1">{"via1",#N/A,TRUE,"general";"via2",#N/A,TRUE,"general";"via3",#N/A,TRUE,"general"}</definedName>
    <definedName name="ERWER" hidden="1">{"via1",#N/A,TRUE,"general";"via2",#N/A,TRUE,"general";"via3",#N/A,TRUE,"general"}</definedName>
    <definedName name="erwertd" localSheetId="16" hidden="1">{"TAB1",#N/A,TRUE,"GENERAL";"TAB2",#N/A,TRUE,"GENERAL";"TAB3",#N/A,TRUE,"GENERAL";"TAB4",#N/A,TRUE,"GENERAL";"TAB5",#N/A,TRUE,"GENERAL"}</definedName>
    <definedName name="erwertd" hidden="1">{"TAB1",#N/A,TRUE,"GENERAL";"TAB2",#N/A,TRUE,"GENERAL";"TAB3",#N/A,TRUE,"GENERAL";"TAB4",#N/A,TRUE,"GENERAL";"TAB5",#N/A,TRUE,"GENERAL"}</definedName>
    <definedName name="erwr" localSheetId="16" hidden="1">{"TAB1",#N/A,TRUE,"GENERAL";"TAB2",#N/A,TRUE,"GENERAL";"TAB3",#N/A,TRUE,"GENERAL";"TAB4",#N/A,TRUE,"GENERAL";"TAB5",#N/A,TRUE,"GENERAL"}</definedName>
    <definedName name="erwr" hidden="1">{"TAB1",#N/A,TRUE,"GENERAL";"TAB2",#N/A,TRUE,"GENERAL";"TAB3",#N/A,TRUE,"GENERAL";"TAB4",#N/A,TRUE,"GENERAL";"TAB5",#N/A,TRUE,"GENERAL"}</definedName>
    <definedName name="ERWRL" localSheetId="16" hidden="1">{"via1",#N/A,TRUE,"general";"via2",#N/A,TRUE,"general";"via3",#N/A,TRUE,"general"}</definedName>
    <definedName name="ERWRL" hidden="1">{"via1",#N/A,TRUE,"general";"via2",#N/A,TRUE,"general";"via3",#N/A,TRUE,"general"}</definedName>
    <definedName name="ery" localSheetId="16" hidden="1">{"via1",#N/A,TRUE,"general";"via2",#N/A,TRUE,"general";"via3",#N/A,TRUE,"general"}</definedName>
    <definedName name="ery" hidden="1">{"via1",#N/A,TRUE,"general";"via2",#N/A,TRUE,"general";"via3",#N/A,TRUE,"general"}</definedName>
    <definedName name="eryhd" localSheetId="16" hidden="1">{"via1",#N/A,TRUE,"general";"via2",#N/A,TRUE,"general";"via3",#N/A,TRUE,"general"}</definedName>
    <definedName name="eryhd" hidden="1">{"via1",#N/A,TRUE,"general";"via2",#N/A,TRUE,"general";"via3",#N/A,TRUE,"general"}</definedName>
    <definedName name="eryhdf" localSheetId="16" hidden="1">{"TAB1",#N/A,TRUE,"GENERAL";"TAB2",#N/A,TRUE,"GENERAL";"TAB3",#N/A,TRUE,"GENERAL";"TAB4",#N/A,TRUE,"GENERAL";"TAB5",#N/A,TRUE,"GENERAL"}</definedName>
    <definedName name="eryhdf" hidden="1">{"TAB1",#N/A,TRUE,"GENERAL";"TAB2",#N/A,TRUE,"GENERAL";"TAB3",#N/A,TRUE,"GENERAL";"TAB4",#N/A,TRUE,"GENERAL";"TAB5",#N/A,TRUE,"GENERAL"}</definedName>
    <definedName name="eryhk" localSheetId="16" hidden="1">{"TAB1",#N/A,TRUE,"GENERAL";"TAB2",#N/A,TRUE,"GENERAL";"TAB3",#N/A,TRUE,"GENERAL";"TAB4",#N/A,TRUE,"GENERAL";"TAB5",#N/A,TRUE,"GENERAL"}</definedName>
    <definedName name="eryhk" hidden="1">{"TAB1",#N/A,TRUE,"GENERAL";"TAB2",#N/A,TRUE,"GENERAL";"TAB3",#N/A,TRUE,"GENERAL";"TAB4",#N/A,TRUE,"GENERAL";"TAB5",#N/A,TRUE,"GENERAL"}</definedName>
    <definedName name="eryhrf" localSheetId="16" hidden="1">{"TAB1",#N/A,TRUE,"GENERAL";"TAB2",#N/A,TRUE,"GENERAL";"TAB3",#N/A,TRUE,"GENERAL";"TAB4",#N/A,TRUE,"GENERAL";"TAB5",#N/A,TRUE,"GENERAL"}</definedName>
    <definedName name="eryhrf" hidden="1">{"TAB1",#N/A,TRUE,"GENERAL";"TAB2",#N/A,TRUE,"GENERAL";"TAB3",#N/A,TRUE,"GENERAL";"TAB4",#N/A,TRUE,"GENERAL";"TAB5",#N/A,TRUE,"GENERAL"}</definedName>
    <definedName name="eryre" localSheetId="16" hidden="1">{"TAB1",#N/A,TRUE,"GENERAL";"TAB2",#N/A,TRUE,"GENERAL";"TAB3",#N/A,TRUE,"GENERAL";"TAB4",#N/A,TRUE,"GENERAL";"TAB5",#N/A,TRUE,"GENERAL"}</definedName>
    <definedName name="eryre" hidden="1">{"TAB1",#N/A,TRUE,"GENERAL";"TAB2",#N/A,TRUE,"GENERAL";"TAB3",#N/A,TRUE,"GENERAL";"TAB4",#N/A,TRUE,"GENERAL";"TAB5",#N/A,TRUE,"GENERAL"}</definedName>
    <definedName name="erytd" localSheetId="16" hidden="1">{"via1",#N/A,TRUE,"general";"via2",#N/A,TRUE,"general";"via3",#N/A,TRUE,"general"}</definedName>
    <definedName name="erytd" hidden="1">{"via1",#N/A,TRUE,"general";"via2",#N/A,TRUE,"general";"via3",#N/A,TRUE,"general"}</definedName>
    <definedName name="eryty" localSheetId="16" hidden="1">{"via1",#N/A,TRUE,"general";"via2",#N/A,TRUE,"general";"via3",#N/A,TRUE,"general"}</definedName>
    <definedName name="eryty" hidden="1">{"via1",#N/A,TRUE,"general";"via2",#N/A,TRUE,"general";"via3",#N/A,TRUE,"general"}</definedName>
    <definedName name="eryy" localSheetId="16" hidden="1">{"via1",#N/A,TRUE,"general";"via2",#N/A,TRUE,"general";"via3",#N/A,TRUE,"general"}</definedName>
    <definedName name="eryy" hidden="1">{"via1",#N/A,TRUE,"general";"via2",#N/A,TRUE,"general";"via3",#N/A,TRUE,"general"}</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C">IF(#REF!=9,#REF!,"")</definedName>
    <definedName name="ESCENARIO" localSheetId="16"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00.1">#REF!</definedName>
    <definedName name="ESP610.1">#REF!</definedName>
    <definedName name="ESP630.4">#REF!</definedName>
    <definedName name="ESP630.6">#REF!</definedName>
    <definedName name="ESP630.7">#REF!</definedName>
    <definedName name="ESP632.1P">#REF!</definedName>
    <definedName name="ESP632.4P">#REF!</definedName>
    <definedName name="ESP640.1">#REF!</definedName>
    <definedName name="ESP640.1.2">#REF!</definedName>
    <definedName name="ESP671.1">#REF!</definedName>
    <definedName name="ESP673.1">#REF!</definedName>
    <definedName name="ESP673.2">#REF!</definedName>
    <definedName name="ESP700.1">#REF!</definedName>
    <definedName name="espejo">#REF!</definedName>
    <definedName name="ESPESORPLACAS">#REF!</definedName>
    <definedName name="EST10A">#REF!</definedName>
    <definedName name="EST10V1">#REF!</definedName>
    <definedName name="EST11A">#REF!</definedName>
    <definedName name="ESTACA">#REF!</definedName>
    <definedName name="este" localSheetId="16" hidden="1">{"PYGT",#N/A,FALSE,"PYG";"ACTIT",#N/A,FALSE,"BCE_GRAL-ACTIVO";"PASIT",#N/A,FALSE,"BCE_GRAL-PASIVO-PATRIM";"CAJAT",#N/A,FALSE,"CAJA"}</definedName>
    <definedName name="este" hidden="1">{"PYGT",#N/A,FALSE,"PYG";"ACTIT",#N/A,FALSE,"BCE_GRAL-ACTIVO";"PASIT",#N/A,FALSE,"BCE_GRAL-PASIVO-PATRIM";"CAJAT",#N/A,FALSE,"CAJA"}</definedName>
    <definedName name="ESTEWW" localSheetId="16"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16"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01">#REF!</definedName>
    <definedName name="ESTRUCT02">#REF!</definedName>
    <definedName name="ESTRUCT03">#REF!</definedName>
    <definedName name="ESTRUCT04">#REF!</definedName>
    <definedName name="ESTRUCT05">#REF!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3">#REF!</definedName>
    <definedName name="ESTRUCT24">#REF!</definedName>
    <definedName name="ESTRUCT25">#REF!</definedName>
    <definedName name="ESTRUCT26">#REF!</definedName>
    <definedName name="ESTRUCT27">#REF!</definedName>
    <definedName name="ESTRUCT28">#REF!</definedName>
    <definedName name="ESTRUCT29">#REF!</definedName>
    <definedName name="ESTRUCT30">#REF!</definedName>
    <definedName name="ESTRUCT31">#REF!</definedName>
    <definedName name="ESTRUCT32">#REF!</definedName>
    <definedName name="ESTRUCT33">#REF!</definedName>
    <definedName name="ESTRUCT34">#REF!</definedName>
    <definedName name="ESTRUCT35">#REF!</definedName>
    <definedName name="ESTRUCT36">#REF!</definedName>
    <definedName name="ESTRUCT37">#REF!</definedName>
    <definedName name="ESTRUCT38">#REF!</definedName>
    <definedName name="ESTRUCT39">#REF!</definedName>
    <definedName name="ESTRUCT40">#REF!</definedName>
    <definedName name="ESTRUCT41">#REF!</definedName>
    <definedName name="ESTRUCT42">#REF!</definedName>
    <definedName name="ESTRUCT43">#REF!</definedName>
    <definedName name="ESTRUCT44">#REF!</definedName>
    <definedName name="ESTRUCT45">#REF!</definedName>
    <definedName name="ESTRUCTURA_1" localSheetId="16" hidden="1">{#N/A,#N/A,TRUE,"INGENIERIA";#N/A,#N/A,TRUE,"COMPRAS";#N/A,#N/A,TRUE,"DIRECCION";#N/A,#N/A,TRUE,"RESUMEN"}</definedName>
    <definedName name="ESTRUCTURA_1" hidden="1">{#N/A,#N/A,TRUE,"INGENIERIA";#N/A,#N/A,TRUE,"COMPRAS";#N/A,#N/A,TRUE,"DIRECCION";#N/A,#N/A,TRUE,"RESUMEN"}</definedName>
    <definedName name="ESTRUCTURA_2" localSheetId="16" hidden="1">{#N/A,#N/A,TRUE,"INGENIERIA";#N/A,#N/A,TRUE,"COMPRAS";#N/A,#N/A,TRUE,"DIRECCION";#N/A,#N/A,TRUE,"RESUMEN"}</definedName>
    <definedName name="ESTRUCTURA_2" hidden="1">{#N/A,#N/A,TRUE,"INGENIERIA";#N/A,#N/A,TRUE,"COMPRAS";#N/A,#N/A,TRUE,"DIRECCION";#N/A,#N/A,TRUE,"RESUMEN"}</definedName>
    <definedName name="ETERNIT6">#REF!</definedName>
    <definedName name="etertgg" localSheetId="16" hidden="1">{"via1",#N/A,TRUE,"general";"via2",#N/A,TRUE,"general";"via3",#N/A,TRUE,"general"}</definedName>
    <definedName name="etertgg" hidden="1">{"via1",#N/A,TRUE,"general";"via2",#N/A,TRUE,"general";"via3",#N/A,TRUE,"general"}</definedName>
    <definedName name="etewt" localSheetId="16" hidden="1">{"TAB1",#N/A,TRUE,"GENERAL";"TAB2",#N/A,TRUE,"GENERAL";"TAB3",#N/A,TRUE,"GENERAL";"TAB4",#N/A,TRUE,"GENERAL";"TAB5",#N/A,TRUE,"GENERAL"}</definedName>
    <definedName name="etewt" hidden="1">{"TAB1",#N/A,TRUE,"GENERAL";"TAB2",#N/A,TRUE,"GENERAL";"TAB3",#N/A,TRUE,"GENERAL";"TAB4",#N/A,TRUE,"GENERAL";"TAB5",#N/A,TRUE,"GENERAL"}</definedName>
    <definedName name="etu" localSheetId="16" hidden="1">{"via1",#N/A,TRUE,"general";"via2",#N/A,TRUE,"general";"via3",#N/A,TRUE,"general"}</definedName>
    <definedName name="etu" hidden="1">{"via1",#N/A,TRUE,"general";"via2",#N/A,TRUE,"general";"via3",#N/A,TRUE,"general"}</definedName>
    <definedName name="etueh" localSheetId="16" hidden="1">{"via1",#N/A,TRUE,"general";"via2",#N/A,TRUE,"general";"via3",#N/A,TRUE,"general"}</definedName>
    <definedName name="etueh" hidden="1">{"via1",#N/A,TRUE,"general";"via2",#N/A,TRUE,"general";"via3",#N/A,TRUE,"general"}</definedName>
    <definedName name="etyty" localSheetId="16" hidden="1">{"via1",#N/A,TRUE,"general";"via2",#N/A,TRUE,"general";"via3",#N/A,TRUE,"general"}</definedName>
    <definedName name="etyty" hidden="1">{"via1",#N/A,TRUE,"general";"via2",#N/A,TRUE,"general";"via3",#N/A,TRUE,"general"}</definedName>
    <definedName name="etyu" localSheetId="16" hidden="1">{"TAB1",#N/A,TRUE,"GENERAL";"TAB2",#N/A,TRUE,"GENERAL";"TAB3",#N/A,TRUE,"GENERAL";"TAB4",#N/A,TRUE,"GENERAL";"TAB5",#N/A,TRUE,"GENERAL"}</definedName>
    <definedName name="etyu" hidden="1">{"TAB1",#N/A,TRUE,"GENERAL";"TAB2",#N/A,TRUE,"GENERAL";"TAB3",#N/A,TRUE,"GENERAL";"TAB4",#N/A,TRUE,"GENERAL";"TAB5",#N/A,TRUE,"GENERAL"}</definedName>
    <definedName name="eu" localSheetId="16" hidden="1">{"via1",#N/A,TRUE,"general";"via2",#N/A,TRUE,"general";"via3",#N/A,TRUE,"general"}</definedName>
    <definedName name="eu" hidden="1">{"via1",#N/A,TRUE,"general";"via2",#N/A,TRUE,"general";"via3",#N/A,TRUE,"general"}</definedName>
    <definedName name="eut" localSheetId="16" hidden="1">{"via1",#N/A,TRUE,"general";"via2",#N/A,TRUE,"general";"via3",#N/A,TRUE,"general"}</definedName>
    <definedName name="eut" hidden="1">{"via1",#N/A,TRUE,"general";"via2",#N/A,TRUE,"general";"via3",#N/A,TRUE,"general"}</definedName>
    <definedName name="euyt" localSheetId="16" hidden="1">{"TAB1",#N/A,TRUE,"GENERAL";"TAB2",#N/A,TRUE,"GENERAL";"TAB3",#N/A,TRUE,"GENERAL";"TAB4",#N/A,TRUE,"GENERAL";"TAB5",#N/A,TRUE,"GENERAL"}</definedName>
    <definedName name="euyt" hidden="1">{"TAB1",#N/A,TRUE,"GENERAL";"TAB2",#N/A,TRUE,"GENERAL";"TAB3",#N/A,TRUE,"GENERAL";"TAB4",#N/A,TRUE,"GENERAL";"TAB5",#N/A,TRUE,"GENERAL"}</definedName>
    <definedName name="ewegt" localSheetId="16" hidden="1">{"TAB1",#N/A,TRUE,"GENERAL";"TAB2",#N/A,TRUE,"GENERAL";"TAB3",#N/A,TRUE,"GENERAL";"TAB4",#N/A,TRUE,"GENERAL";"TAB5",#N/A,TRUE,"GENERAL"}</definedName>
    <definedName name="ewegt" hidden="1">{"TAB1",#N/A,TRUE,"GENERAL";"TAB2",#N/A,TRUE,"GENERAL";"TAB3",#N/A,TRUE,"GENERAL";"TAB4",#N/A,TRUE,"GENERAL";"TAB5",#N/A,TRUE,"GENERAL"}</definedName>
    <definedName name="ewfewfg" localSheetId="16" hidden="1">{"TAB1",#N/A,TRUE,"GENERAL";"TAB2",#N/A,TRUE,"GENERAL";"TAB3",#N/A,TRUE,"GENERAL";"TAB4",#N/A,TRUE,"GENERAL";"TAB5",#N/A,TRUE,"GENERAL"}</definedName>
    <definedName name="ewfewfg" hidden="1">{"TAB1",#N/A,TRUE,"GENERAL";"TAB2",#N/A,TRUE,"GENERAL";"TAB3",#N/A,TRUE,"GENERAL";"TAB4",#N/A,TRUE,"GENERAL";"TAB5",#N/A,TRUE,"GENERAL"}</definedName>
    <definedName name="ewre" localSheetId="16" hidden="1">{"TAB1",#N/A,TRUE,"GENERAL";"TAB2",#N/A,TRUE,"GENERAL";"TAB3",#N/A,TRUE,"GENERAL";"TAB4",#N/A,TRUE,"GENERAL";"TAB5",#N/A,TRUE,"GENERAL"}</definedName>
    <definedName name="ewre" hidden="1">{"TAB1",#N/A,TRUE,"GENERAL";"TAB2",#N/A,TRUE,"GENERAL";"TAB3",#N/A,TRUE,"GENERAL";"TAB4",#N/A,TRUE,"GENERAL";"TAB5",#N/A,TRUE,"GENERAL"}</definedName>
    <definedName name="ewrewf" localSheetId="16" hidden="1">{"TAB1",#N/A,TRUE,"GENERAL";"TAB2",#N/A,TRUE,"GENERAL";"TAB3",#N/A,TRUE,"GENERAL";"TAB4",#N/A,TRUE,"GENERAL";"TAB5",#N/A,TRUE,"GENERAL"}</definedName>
    <definedName name="ewrewf" hidden="1">{"TAB1",#N/A,TRUE,"GENERAL";"TAB2",#N/A,TRUE,"GENERAL";"TAB3",#N/A,TRUE,"GENERAL";"TAB4",#N/A,TRUE,"GENERAL";"TAB5",#N/A,TRUE,"GENERAL"}</definedName>
    <definedName name="ewrr" localSheetId="16" hidden="1">{"TAB1",#N/A,TRUE,"GENERAL";"TAB2",#N/A,TRUE,"GENERAL";"TAB3",#N/A,TRUE,"GENERAL";"TAB4",#N/A,TRUE,"GENERAL";"TAB5",#N/A,TRUE,"GENERAL"}</definedName>
    <definedName name="ewrr" hidden="1">{"TAB1",#N/A,TRUE,"GENERAL";"TAB2",#N/A,TRUE,"GENERAL";"TAB3",#N/A,TRUE,"GENERAL";"TAB4",#N/A,TRUE,"GENERAL";"TAB5",#N/A,TRUE,"GENERAL"}</definedName>
    <definedName name="ewrt" localSheetId="16" hidden="1">{"TAB1",#N/A,TRUE,"GENERAL";"TAB2",#N/A,TRUE,"GENERAL";"TAB3",#N/A,TRUE,"GENERAL";"TAB4",#N/A,TRUE,"GENERAL";"TAB5",#N/A,TRUE,"GENERAL"}</definedName>
    <definedName name="ewrt" hidden="1">{"TAB1",#N/A,TRUE,"GENERAL";"TAB2",#N/A,TRUE,"GENERAL";"TAB3",#N/A,TRUE,"GENERAL";"TAB4",#N/A,TRUE,"GENERAL";"TAB5",#N/A,TRUE,"GENERAL"}</definedName>
    <definedName name="ewrwer" localSheetId="16" hidden="1">{"TAB1",#N/A,TRUE,"GENERAL";"TAB2",#N/A,TRUE,"GENERAL";"TAB3",#N/A,TRUE,"GENERAL";"TAB4",#N/A,TRUE,"GENERAL";"TAB5",#N/A,TRUE,"GENERAL"}</definedName>
    <definedName name="ewrwer" hidden="1">{"TAB1",#N/A,TRUE,"GENERAL";"TAB2",#N/A,TRUE,"GENERAL";"TAB3",#N/A,TRUE,"GENERAL";"TAB4",#N/A,TRUE,"GENERAL";"TAB5",#N/A,TRUE,"GENERAL"}</definedName>
    <definedName name="exc02">#REF!</definedName>
    <definedName name="exc24">#REF!</definedName>
    <definedName name="exc40">#REF!</definedName>
    <definedName name="excav">#REF!</definedName>
    <definedName name="excavaconglomerado">#REF!</definedName>
    <definedName name="EXCAVAMANOV">#REF!</definedName>
    <definedName name="EXCAVAMAQUINAV">#REF!</definedName>
    <definedName name="EXCAVATIERRA">#REF!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CROC">#REF!</definedName>
    <definedName name="EXPL">#REF!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Scheduled_Payment+Extra_Payment</definedName>
    <definedName name="FABIAN">#N/A</definedName>
    <definedName name="FAC" hidden="1">#REF!</definedName>
    <definedName name="factorarena">#REF!</definedName>
    <definedName name="FactorCostoPotencia">#REF!</definedName>
    <definedName name="FactorMultFinal">#REF!</definedName>
    <definedName name="FactorMultiplicaCalculado">#REF!</definedName>
    <definedName name="FALTANTES1">#REF!</definedName>
    <definedName name="fb">#REF!</definedName>
    <definedName name="fcv">#REF!</definedName>
    <definedName name="fd">#REF!</definedName>
    <definedName name="fda" localSheetId="16" hidden="1">{"TAB1",#N/A,TRUE,"GENERAL";"TAB2",#N/A,TRUE,"GENERAL";"TAB3",#N/A,TRUE,"GENERAL";"TAB4",#N/A,TRUE,"GENERAL";"TAB5",#N/A,TRUE,"GENERAL"}</definedName>
    <definedName name="fda" hidden="1">{"TAB1",#N/A,TRUE,"GENERAL";"TAB2",#N/A,TRUE,"GENERAL";"TAB3",#N/A,TRUE,"GENERAL";"TAB4",#N/A,TRUE,"GENERAL";"TAB5",#N/A,TRUE,"GENERAL"}</definedName>
    <definedName name="fdadsfa" localSheetId="16" hidden="1">{"PRES REHAB ARM-PER POR ITEMS  KM A KM",#N/A,TRUE,"Rehabilitacion Arm-Per"}</definedName>
    <definedName name="fdadsfa" hidden="1">{"PRES REHAB ARM-PER POR ITEMS  KM A KM",#N/A,TRUE,"Rehabilitacion Arm-Per"}</definedName>
    <definedName name="fdbjp" localSheetId="16" hidden="1">{"TAB1",#N/A,TRUE,"GENERAL";"TAB2",#N/A,TRUE,"GENERAL";"TAB3",#N/A,TRUE,"GENERAL";"TAB4",#N/A,TRUE,"GENERAL";"TAB5",#N/A,TRUE,"GENERAL"}</definedName>
    <definedName name="fdbjp" hidden="1">{"TAB1",#N/A,TRUE,"GENERAL";"TAB2",#N/A,TRUE,"GENERAL";"TAB3",#N/A,TRUE,"GENERAL";"TAB4",#N/A,TRUE,"GENERAL";"TAB5",#N/A,TRUE,"GENERAL"}</definedName>
    <definedName name="fdf" localSheetId="16" hidden="1">{"TAB1",#N/A,TRUE,"GENERAL";"TAB2",#N/A,TRUE,"GENERAL";"TAB3",#N/A,TRUE,"GENERAL";"TAB4",#N/A,TRUE,"GENERAL";"TAB5",#N/A,TRUE,"GENERAL"}</definedName>
    <definedName name="fdf" hidden="1">{"TAB1",#N/A,TRUE,"GENERAL";"TAB2",#N/A,TRUE,"GENERAL";"TAB3",#N/A,TRUE,"GENERAL";"TAB4",#N/A,TRUE,"GENERAL";"TAB5",#N/A,TRUE,"GENERAL"}</definedName>
    <definedName name="fdg" localSheetId="16" hidden="1">{"via1",#N/A,TRUE,"general";"via2",#N/A,TRUE,"general";"via3",#N/A,TRUE,"general"}</definedName>
    <definedName name="fdg" hidden="1">{"via1",#N/A,TRUE,"general";"via2",#N/A,TRUE,"general";"via3",#N/A,TRUE,"general"}</definedName>
    <definedName name="FDGD" localSheetId="16" hidden="1">{"TAB1",#N/A,TRUE,"GENERAL";"TAB2",#N/A,TRUE,"GENERAL";"TAB3",#N/A,TRUE,"GENERAL";"TAB4",#N/A,TRUE,"GENERAL";"TAB5",#N/A,TRUE,"GENERAL"}</definedName>
    <definedName name="FDGD" hidden="1">{"TAB1",#N/A,TRUE,"GENERAL";"TAB2",#N/A,TRUE,"GENERAL";"TAB3",#N/A,TRUE,"GENERAL";"TAB4",#N/A,TRUE,"GENERAL";"TAB5",#N/A,TRUE,"GENERAL"}</definedName>
    <definedName name="FDGFDBBP" localSheetId="16" hidden="1">{"TAB1",#N/A,TRUE,"GENERAL";"TAB2",#N/A,TRUE,"GENERAL";"TAB3",#N/A,TRUE,"GENERAL";"TAB4",#N/A,TRUE,"GENERAL";"TAB5",#N/A,TRUE,"GENERAL"}</definedName>
    <definedName name="FDGFDBBP" hidden="1">{"TAB1",#N/A,TRUE,"GENERAL";"TAB2",#N/A,TRUE,"GENERAL";"TAB3",#N/A,TRUE,"GENERAL";"TAB4",#N/A,TRUE,"GENERAL";"TAB5",#N/A,TRUE,"GENERAL"}</definedName>
    <definedName name="fdh" localSheetId="16" hidden="1">{"TAB1",#N/A,TRUE,"GENERAL";"TAB2",#N/A,TRUE,"GENERAL";"TAB3",#N/A,TRUE,"GENERAL";"TAB4",#N/A,TRUE,"GENERAL";"TAB5",#N/A,TRUE,"GENERAL"}</definedName>
    <definedName name="fdh" hidden="1">{"TAB1",#N/A,TRUE,"GENERAL";"TAB2",#N/A,TRUE,"GENERAL";"TAB3",#N/A,TRUE,"GENERAL";"TAB4",#N/A,TRUE,"GENERAL";"TAB5",#N/A,TRUE,"GENERAL"}</definedName>
    <definedName name="FDSE">#REF!</definedName>
    <definedName name="fdsf" localSheetId="16" hidden="1">{"TAB1",#N/A,TRUE,"GENERAL";"TAB2",#N/A,TRUE,"GENERAL";"TAB3",#N/A,TRUE,"GENERAL";"TAB4",#N/A,TRUE,"GENERAL";"TAB5",#N/A,TRUE,"GENERAL"}</definedName>
    <definedName name="fdsf" hidden="1">{"TAB1",#N/A,TRUE,"GENERAL";"TAB2",#N/A,TRUE,"GENERAL";"TAB3",#N/A,TRUE,"GENERAL";"TAB4",#N/A,TRUE,"GENERAL";"TAB5",#N/A,TRUE,"GENERAL"}</definedName>
    <definedName name="fdsfds" localSheetId="16" hidden="1">{"TAB1",#N/A,TRUE,"GENERAL";"TAB2",#N/A,TRUE,"GENERAL";"TAB3",#N/A,TRUE,"GENERAL";"TAB4",#N/A,TRUE,"GENERAL";"TAB5",#N/A,TRUE,"GENERAL"}</definedName>
    <definedName name="fdsfds" hidden="1">{"TAB1",#N/A,TRUE,"GENERAL";"TAB2",#N/A,TRUE,"GENERAL";"TAB3",#N/A,TRUE,"GENERAL";"TAB4",#N/A,TRUE,"GENERAL";"TAB5",#N/A,TRUE,"GENERAL"}</definedName>
    <definedName name="fdsfdsf" localSheetId="16" hidden="1">{"via1",#N/A,TRUE,"general";"via2",#N/A,TRUE,"general";"via3",#N/A,TRUE,"general"}</definedName>
    <definedName name="fdsfdsf" hidden="1">{"via1",#N/A,TRUE,"general";"via2",#N/A,TRUE,"general";"via3",#N/A,TRUE,"general"}</definedName>
    <definedName name="fdsgfds" localSheetId="16" hidden="1">{"via1",#N/A,TRUE,"general";"via2",#N/A,TRUE,"general";"via3",#N/A,TRUE,"general"}</definedName>
    <definedName name="fdsgfds" hidden="1">{"via1",#N/A,TRUE,"general";"via2",#N/A,TRUE,"general";"via3",#N/A,TRUE,"general"}</definedName>
    <definedName name="fdsgsdfu" localSheetId="16" hidden="1">{"TAB1",#N/A,TRUE,"GENERAL";"TAB2",#N/A,TRUE,"GENERAL";"TAB3",#N/A,TRUE,"GENERAL";"TAB4",#N/A,TRUE,"GENERAL";"TAB5",#N/A,TRUE,"GENERAL"}</definedName>
    <definedName name="fdsgsdfu" hidden="1">{"TAB1",#N/A,TRUE,"GENERAL";"TAB2",#N/A,TRUE,"GENERAL";"TAB3",#N/A,TRUE,"GENERAL";"TAB4",#N/A,TRUE,"GENERAL";"TAB5",#N/A,TRUE,"GENERAL"}</definedName>
    <definedName name="FDSIO" localSheetId="16"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B">#REF!</definedName>
    <definedName name="febrero">#REF!</definedName>
    <definedName name="FECH">#REF!</definedName>
    <definedName name="Fecha">#REF!</definedName>
    <definedName name="FECHAFSQ">#REF!</definedName>
    <definedName name="ferfer" localSheetId="16" hidden="1">{"via1",#N/A,TRUE,"general";"via2",#N/A,TRUE,"general";"via3",#N/A,TRUE,"general"}</definedName>
    <definedName name="ferfer" hidden="1">{"via1",#N/A,TRUE,"general";"via2",#N/A,TRUE,"general";"via3",#N/A,TRUE,"general"}</definedName>
    <definedName name="Festivos">#REF!</definedName>
    <definedName name="ff">#REF!</definedName>
    <definedName name="fff" localSheetId="16" hidden="1">{"via1",#N/A,TRUE,"general";"via2",#N/A,TRUE,"general";"via3",#N/A,TRUE,"general"}</definedName>
    <definedName name="fff" hidden="1">{"via1",#N/A,TRUE,"general";"via2",#N/A,TRUE,"general";"via3",#N/A,TRUE,"general"}</definedName>
    <definedName name="ffffd" localSheetId="16" hidden="1">{"via1",#N/A,TRUE,"general";"via2",#N/A,TRUE,"general";"via3",#N/A,TRUE,"general"}</definedName>
    <definedName name="ffffd" hidden="1">{"via1",#N/A,TRUE,"general";"via2",#N/A,TRUE,"general";"via3",#N/A,TRUE,"general"}</definedName>
    <definedName name="fffffft" localSheetId="16" hidden="1">{"TAB1",#N/A,TRUE,"GENERAL";"TAB2",#N/A,TRUE,"GENERAL";"TAB3",#N/A,TRUE,"GENERAL";"TAB4",#N/A,TRUE,"GENERAL";"TAB5",#N/A,TRUE,"GENERAL"}</definedName>
    <definedName name="fffffft" hidden="1">{"TAB1",#N/A,TRUE,"GENERAL";"TAB2",#N/A,TRUE,"GENERAL";"TAB3",#N/A,TRUE,"GENERAL";"TAB4",#N/A,TRUE,"GENERAL";"TAB5",#N/A,TRUE,"GENERAL"}</definedName>
    <definedName name="fffffik" localSheetId="16" hidden="1">{"TAB1",#N/A,TRUE,"GENERAL";"TAB2",#N/A,TRUE,"GENERAL";"TAB3",#N/A,TRUE,"GENERAL";"TAB4",#N/A,TRUE,"GENERAL";"TAB5",#N/A,TRUE,"GENERAL"}</definedName>
    <definedName name="fffffik" hidden="1">{"TAB1",#N/A,TRUE,"GENERAL";"TAB2",#N/A,TRUE,"GENERAL";"TAB3",#N/A,TRUE,"GENERAL";"TAB4",#N/A,TRUE,"GENERAL";"TAB5",#N/A,TRUE,"GENERAL"}</definedName>
    <definedName name="fffffj" localSheetId="16" hidden="1">{"TAB1",#N/A,TRUE,"GENERAL";"TAB2",#N/A,TRUE,"GENERAL";"TAB3",#N/A,TRUE,"GENERAL";"TAB4",#N/A,TRUE,"GENERAL";"TAB5",#N/A,TRUE,"GENERAL"}</definedName>
    <definedName name="fffffj" hidden="1">{"TAB1",#N/A,TRUE,"GENERAL";"TAB2",#N/A,TRUE,"GENERAL";"TAB3",#N/A,TRUE,"GENERAL";"TAB4",#N/A,TRUE,"GENERAL";"TAB5",#N/A,TRUE,"GENERAL"}</definedName>
    <definedName name="ffffrd" localSheetId="16" hidden="1">{"via1",#N/A,TRUE,"general";"via2",#N/A,TRUE,"general";"via3",#N/A,TRUE,"general"}</definedName>
    <definedName name="ffffrd" hidden="1">{"via1",#N/A,TRUE,"general";"via2",#N/A,TRUE,"general";"via3",#N/A,TRUE,"general"}</definedName>
    <definedName name="ffffy" localSheetId="16" hidden="1">{"TAB1",#N/A,TRUE,"GENERAL";"TAB2",#N/A,TRUE,"GENERAL";"TAB3",#N/A,TRUE,"GENERAL";"TAB4",#N/A,TRUE,"GENERAL";"TAB5",#N/A,TRUE,"GENERAL"}</definedName>
    <definedName name="ffffy" hidden="1">{"TAB1",#N/A,TRUE,"GENERAL";"TAB2",#N/A,TRUE,"GENERAL";"TAB3",#N/A,TRUE,"GENERAL";"TAB4",#N/A,TRUE,"GENERAL";"TAB5",#N/A,TRUE,"GENERAL"}</definedName>
    <definedName name="fffrfr" localSheetId="16" hidden="1">{"TAB1",#N/A,TRUE,"GENERAL";"TAB2",#N/A,TRUE,"GENERAL";"TAB3",#N/A,TRUE,"GENERAL";"TAB4",#N/A,TRUE,"GENERAL";"TAB5",#N/A,TRUE,"GENERAL"}</definedName>
    <definedName name="fffrfr" hidden="1">{"TAB1",#N/A,TRUE,"GENERAL";"TAB2",#N/A,TRUE,"GENERAL";"TAB3",#N/A,TRUE,"GENERAL";"TAB4",#N/A,TRUE,"GENERAL";"TAB5",#N/A,TRUE,"GENERAL"}</definedName>
    <definedName name="fffs" localSheetId="16"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6" hidden="1">{"TAB1",#N/A,TRUE,"GENERAL";"TAB2",#N/A,TRUE,"GENERAL";"TAB3",#N/A,TRUE,"GENERAL";"TAB4",#N/A,TRUE,"GENERAL";"TAB5",#N/A,TRUE,"GENERAL"}</definedName>
    <definedName name="fgdfg" hidden="1">{"TAB1",#N/A,TRUE,"GENERAL";"TAB2",#N/A,TRUE,"GENERAL";"TAB3",#N/A,TRUE,"GENERAL";"TAB4",#N/A,TRUE,"GENERAL";"TAB5",#N/A,TRUE,"GENERAL"}</definedName>
    <definedName name="fgdfsgr" localSheetId="16" hidden="1">{"via1",#N/A,TRUE,"general";"via2",#N/A,TRUE,"general";"via3",#N/A,TRUE,"general"}</definedName>
    <definedName name="fgdfsgr" hidden="1">{"via1",#N/A,TRUE,"general";"via2",#N/A,TRUE,"general";"via3",#N/A,TRUE,"general"}</definedName>
    <definedName name="fgdsfg" localSheetId="16" hidden="1">{"TAB1",#N/A,TRUE,"GENERAL";"TAB2",#N/A,TRUE,"GENERAL";"TAB3",#N/A,TRUE,"GENERAL";"TAB4",#N/A,TRUE,"GENERAL";"TAB5",#N/A,TRUE,"GENERAL"}</definedName>
    <definedName name="fgdsfg" hidden="1">{"TAB1",#N/A,TRUE,"GENERAL";"TAB2",#N/A,TRUE,"GENERAL";"TAB3",#N/A,TRUE,"GENERAL";"TAB4",#N/A,TRUE,"GENERAL";"TAB5",#N/A,TRUE,"GENERAL"}</definedName>
    <definedName name="FGFDH" localSheetId="16" hidden="1">{"via1",#N/A,TRUE,"general";"via2",#N/A,TRUE,"general";"via3",#N/A,TRUE,"general"}</definedName>
    <definedName name="FGFDH" hidden="1">{"via1",#N/A,TRUE,"general";"via2",#N/A,TRUE,"general";"via3",#N/A,TRUE,"general"}</definedName>
    <definedName name="fgghhj" localSheetId="16" hidden="1">{"via1",#N/A,TRUE,"general";"via2",#N/A,TRUE,"general";"via3",#N/A,TRUE,"general"}</definedName>
    <definedName name="fgghhj" hidden="1">{"via1",#N/A,TRUE,"general";"via2",#N/A,TRUE,"general";"via3",#N/A,TRUE,"general"}</definedName>
    <definedName name="FGHFBC" localSheetId="16" hidden="1">{"via1",#N/A,TRUE,"general";"via2",#N/A,TRUE,"general";"via3",#N/A,TRUE,"general"}</definedName>
    <definedName name="FGHFBC" hidden="1">{"via1",#N/A,TRUE,"general";"via2",#N/A,TRUE,"general";"via3",#N/A,TRUE,"general"}</definedName>
    <definedName name="fghfg" localSheetId="16" hidden="1">{"TAB1",#N/A,TRUE,"GENERAL";"TAB2",#N/A,TRUE,"GENERAL";"TAB3",#N/A,TRUE,"GENERAL";"TAB4",#N/A,TRUE,"GENERAL";"TAB5",#N/A,TRUE,"GENERAL"}</definedName>
    <definedName name="fghfg" hidden="1">{"TAB1",#N/A,TRUE,"GENERAL";"TAB2",#N/A,TRUE,"GENERAL";"TAB3",#N/A,TRUE,"GENERAL";"TAB4",#N/A,TRUE,"GENERAL";"TAB5",#N/A,TRUE,"GENERAL"}</definedName>
    <definedName name="fghfgh" localSheetId="16" hidden="1">{"via1",#N/A,TRUE,"general";"via2",#N/A,TRUE,"general";"via3",#N/A,TRUE,"general"}</definedName>
    <definedName name="fghfgh" hidden="1">{"via1",#N/A,TRUE,"general";"via2",#N/A,TRUE,"general";"via3",#N/A,TRUE,"general"}</definedName>
    <definedName name="FGHFW" localSheetId="16" hidden="1">{"via1",#N/A,TRUE,"general";"via2",#N/A,TRUE,"general";"via3",#N/A,TRUE,"general"}</definedName>
    <definedName name="FGHFW" hidden="1">{"via1",#N/A,TRUE,"general";"via2",#N/A,TRUE,"general";"via3",#N/A,TRUE,"general"}</definedName>
    <definedName name="fghhh" localSheetId="16" hidden="1">{"TAB1",#N/A,TRUE,"GENERAL";"TAB2",#N/A,TRUE,"GENERAL";"TAB3",#N/A,TRUE,"GENERAL";"TAB4",#N/A,TRUE,"GENERAL";"TAB5",#N/A,TRUE,"GENERAL"}</definedName>
    <definedName name="fghhh" hidden="1">{"TAB1",#N/A,TRUE,"GENERAL";"TAB2",#N/A,TRUE,"GENERAL";"TAB3",#N/A,TRUE,"GENERAL";"TAB4",#N/A,TRUE,"GENERAL";"TAB5",#N/A,TRUE,"GENERAL"}</definedName>
    <definedName name="fghsfgh" localSheetId="16" hidden="1">{"via1",#N/A,TRUE,"general";"via2",#N/A,TRUE,"general";"via3",#N/A,TRUE,"general"}</definedName>
    <definedName name="fghsfgh" hidden="1">{"via1",#N/A,TRUE,"general";"via2",#N/A,TRUE,"general";"via3",#N/A,TRUE,"general"}</definedName>
    <definedName name="fght" localSheetId="16" hidden="1">{"TAB1",#N/A,TRUE,"GENERAL";"TAB2",#N/A,TRUE,"GENERAL";"TAB3",#N/A,TRUE,"GENERAL";"TAB4",#N/A,TRUE,"GENERAL";"TAB5",#N/A,TRUE,"GENERAL"}</definedName>
    <definedName name="fght" hidden="1">{"TAB1",#N/A,TRUE,"GENERAL";"TAB2",#N/A,TRUE,"GENERAL";"TAB3",#N/A,TRUE,"GENERAL";"TAB4",#N/A,TRUE,"GENERAL";"TAB5",#N/A,TRUE,"GENERAL"}</definedName>
    <definedName name="fgjgryi" localSheetId="16"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6" hidden="1">{"TAB1",#N/A,TRUE,"GENERAL";"TAB2",#N/A,TRUE,"GENERAL";"TAB3",#N/A,TRUE,"GENERAL";"TAB4",#N/A,TRUE,"GENERAL";"TAB5",#N/A,TRUE,"GENERAL"}</definedName>
    <definedName name="fhfg" hidden="1">{"TAB1",#N/A,TRUE,"GENERAL";"TAB2",#N/A,TRUE,"GENERAL";"TAB3",#N/A,TRUE,"GENERAL";"TAB4",#N/A,TRUE,"GENERAL";"TAB5",#N/A,TRUE,"GENERAL"}</definedName>
    <definedName name="fhfgh" localSheetId="16" hidden="1">{"via1",#N/A,TRUE,"general";"via2",#N/A,TRUE,"general";"via3",#N/A,TRUE,"general"}</definedName>
    <definedName name="fhfgh" hidden="1">{"via1",#N/A,TRUE,"general";"via2",#N/A,TRUE,"general";"via3",#N/A,TRUE,"general"}</definedName>
    <definedName name="fhg" localSheetId="16" hidden="1">{#N/A,#N/A,TRUE,"1842CWN0"}</definedName>
    <definedName name="fhg" hidden="1">{#N/A,#N/A,TRUE,"1842CWN0"}</definedName>
    <definedName name="fhg_1" localSheetId="16" hidden="1">{#N/A,#N/A,TRUE,"1842CWN0"}</definedName>
    <definedName name="fhg_1" hidden="1">{#N/A,#N/A,TRUE,"1842CWN0"}</definedName>
    <definedName name="fhg_2" localSheetId="16" hidden="1">{#N/A,#N/A,TRUE,"1842CWN0"}</definedName>
    <definedName name="fhg_2" hidden="1">{#N/A,#N/A,TRUE,"1842CWN0"}</definedName>
    <definedName name="fhgh" localSheetId="16" hidden="1">{"via1",#N/A,TRUE,"general";"via2",#N/A,TRUE,"general";"via3",#N/A,TRUE,"general"}</definedName>
    <definedName name="fhgh" hidden="1">{"via1",#N/A,TRUE,"general";"via2",#N/A,TRUE,"general";"via3",#N/A,TRUE,"general"}</definedName>
    <definedName name="fhpltyunh" localSheetId="16" hidden="1">{"via1",#N/A,TRUE,"general";"via2",#N/A,TRUE,"general";"via3",#N/A,TRUE,"general"}</definedName>
    <definedName name="fhpltyunh" hidden="1">{"via1",#N/A,TRUE,"general";"via2",#N/A,TRUE,"general";"via3",#N/A,TRUE,"general"}</definedName>
    <definedName name="FI">#REF!</definedName>
    <definedName name="FIDUCIASOCTUBRE" localSheetId="16" hidden="1">{#N/A,#N/A,FALSE,"Aging Summary";#N/A,#N/A,FALSE,"Ratio Analysis";#N/A,#N/A,FALSE,"Test 120 Day Accts";#N/A,#N/A,FALSE,"Tickmarks"}</definedName>
    <definedName name="FIDUCIASOCTUBRE" hidden="1">{#N/A,#N/A,FALSE,"Aging Summary";#N/A,#N/A,FALSE,"Ratio Analysis";#N/A,#N/A,FALSE,"Test 120 Day Accts";#N/A,#N/A,FALSE,"Tickmarks"}</definedName>
    <definedName name="fil" hidden="1">#REF!</definedName>
    <definedName name="filtrov">#REF!</definedName>
    <definedName name="FIN">#REF!</definedName>
    <definedName name="Fin_de_semana">#REF!</definedName>
    <definedName name="fk">#REF!</definedName>
    <definedName name="flq">#REF!</definedName>
    <definedName name="FM">#REF!</definedName>
    <definedName name="FO">#REF!</definedName>
    <definedName name="FORMA">#REF!</definedName>
    <definedName name="Format">#REF!</definedName>
    <definedName name="FR">#REF!</definedName>
    <definedName name="Frank">#REF!</definedName>
    <definedName name="frbgsd" localSheetId="16" hidden="1">{"TAB1",#N/A,TRUE,"GENERAL";"TAB2",#N/A,TRUE,"GENERAL";"TAB3",#N/A,TRUE,"GENERAL";"TAB4",#N/A,TRUE,"GENERAL";"TAB5",#N/A,TRUE,"GENERAL"}</definedName>
    <definedName name="frbgsd" hidden="1">{"TAB1",#N/A,TRUE,"GENERAL";"TAB2",#N/A,TRUE,"GENERAL";"TAB3",#N/A,TRUE,"GENERAL";"TAB4",#N/A,TRUE,"GENERAL";"TAB5",#N/A,TRUE,"GENERAL"}</definedName>
    <definedName name="frefr" localSheetId="16" hidden="1">{"via1",#N/A,TRUE,"general";"via2",#N/A,TRUE,"general";"via3",#N/A,TRUE,"general"}</definedName>
    <definedName name="frefr" hidden="1">{"via1",#N/A,TRUE,"general";"via2",#N/A,TRUE,"general";"via3",#N/A,TRUE,"general"}</definedName>
    <definedName name="fres">#REF!</definedName>
    <definedName name="FREV" localSheetId="16" hidden="1">{"PYGT",#N/A,FALSE,"PYG";"ACTIT",#N/A,FALSE,"BCE_GRAL-ACTIVO";"PASIT",#N/A,FALSE,"BCE_GRAL-PASIVO-PATRIM";"CAJAT",#N/A,FALSE,"CAJA"}</definedName>
    <definedName name="FREV" hidden="1">{"PYGT",#N/A,FALSE,"PYG";"ACTIT",#N/A,FALSE,"BCE_GRAL-ACTIVO";"PASIT",#N/A,FALSE,"BCE_GRAL-PASIVO-PATRIM";"CAJAT",#N/A,FALSE,"CAJA"}</definedName>
    <definedName name="frfa" localSheetId="16" hidden="1">{"via1",#N/A,TRUE,"general";"via2",#N/A,TRUE,"general";"via3",#N/A,TRUE,"general"}</definedName>
    <definedName name="frfa" hidden="1">{"via1",#N/A,TRUE,"general";"via2",#N/A,TRUE,"general";"via3",#N/A,TRUE,"general"}</definedName>
    <definedName name="frfr" localSheetId="16" hidden="1">{"TAB1",#N/A,TRUE,"GENERAL";"TAB2",#N/A,TRUE,"GENERAL";"TAB3",#N/A,TRUE,"GENERAL";"TAB4",#N/A,TRUE,"GENERAL";"TAB5",#N/A,TRUE,"GENERAL"}</definedName>
    <definedName name="frfr" hidden="1">{"TAB1",#N/A,TRUE,"GENERAL";"TAB2",#N/A,TRUE,"GENERAL";"TAB3",#N/A,TRUE,"GENERAL";"TAB4",#N/A,TRUE,"GENERAL";"TAB5",#N/A,TRUE,"GENERAL"}</definedName>
    <definedName name="Ft">#REF!</definedName>
    <definedName name="fu">#REF!</definedName>
    <definedName name="Full_Print">#REF!</definedName>
    <definedName name="fv">#REF!</definedName>
    <definedName name="fwff" localSheetId="16" hidden="1">{"via1",#N/A,TRUE,"general";"via2",#N/A,TRUE,"general";"via3",#N/A,TRUE,"general"}</definedName>
    <definedName name="fwff" hidden="1">{"via1",#N/A,TRUE,"general";"via2",#N/A,TRUE,"general";"via3",#N/A,TRUE,"general"}</definedName>
    <definedName name="fwwe" localSheetId="16" hidden="1">{"via1",#N/A,TRUE,"general";"via2",#N/A,TRUE,"general";"via3",#N/A,TRUE,"general"}</definedName>
    <definedName name="fwwe" hidden="1">{"via1",#N/A,TRUE,"general";"via2",#N/A,TRUE,"general";"via3",#N/A,TRUE,"general"}</definedName>
    <definedName name="fy">#REF!</definedName>
    <definedName name="Ga">#REF!</definedName>
    <definedName name="GALON">#REF!</definedName>
    <definedName name="GANCHO">#REF!</definedName>
    <definedName name="Gastos" localSheetId="16"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Viajes">#REF!</definedName>
    <definedName name="Gb">#REF!</definedName>
    <definedName name="gbbfghghj" localSheetId="16"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j">#REF!</definedName>
    <definedName name="gdt" localSheetId="16"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g" localSheetId="16" hidden="1">{"via1",#N/A,TRUE,"general";"via2",#N/A,TRUE,"general";"via3",#N/A,TRUE,"general"}</definedName>
    <definedName name="geg" hidden="1">{"via1",#N/A,TRUE,"general";"via2",#N/A,TRUE,"general";"via3",#N/A,TRUE,"general"}</definedName>
    <definedName name="Generación_de_análisis_de_precios_Unitarios.">#REF!</definedName>
    <definedName name="GEO">#REF!</definedName>
    <definedName name="gerg" localSheetId="16" hidden="1">{"TAB1",#N/A,TRUE,"GENERAL";"TAB2",#N/A,TRUE,"GENERAL";"TAB3",#N/A,TRUE,"GENERAL";"TAB4",#N/A,TRUE,"GENERAL";"TAB5",#N/A,TRUE,"GENERAL"}</definedName>
    <definedName name="gerg" hidden="1">{"TAB1",#N/A,TRUE,"GENERAL";"TAB2",#N/A,TRUE,"GENERAL";"TAB3",#N/A,TRUE,"GENERAL";"TAB4",#N/A,TRUE,"GENERAL";"TAB5",#N/A,TRUE,"GENERAL"}</definedName>
    <definedName name="gerg54" localSheetId="16" hidden="1">{"via1",#N/A,TRUE,"general";"via2",#N/A,TRUE,"general";"via3",#N/A,TRUE,"general"}</definedName>
    <definedName name="gerg54" hidden="1">{"via1",#N/A,TRUE,"general";"via2",#N/A,TRUE,"general";"via3",#N/A,TRUE,"general"}</definedName>
    <definedName name="gergew" localSheetId="16" hidden="1">{"TAB1",#N/A,TRUE,"GENERAL";"TAB2",#N/A,TRUE,"GENERAL";"TAB3",#N/A,TRUE,"GENERAL";"TAB4",#N/A,TRUE,"GENERAL";"TAB5",#N/A,TRUE,"GENERAL"}</definedName>
    <definedName name="gergew" hidden="1">{"TAB1",#N/A,TRUE,"GENERAL";"TAB2",#N/A,TRUE,"GENERAL";"TAB3",#N/A,TRUE,"GENERAL";"TAB4",#N/A,TRUE,"GENERAL";"TAB5",#N/A,TRUE,"GENERAL"}</definedName>
    <definedName name="gergw" localSheetId="16"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6" hidden="1">{"TAB1",#N/A,TRUE,"GENERAL";"TAB2",#N/A,TRUE,"GENERAL";"TAB3",#N/A,TRUE,"GENERAL";"TAB4",#N/A,TRUE,"GENERAL";"TAB5",#N/A,TRUE,"GENERAL"}</definedName>
    <definedName name="gfd" hidden="1">{"TAB1",#N/A,TRUE,"GENERAL";"TAB2",#N/A,TRUE,"GENERAL";"TAB3",#N/A,TRUE,"GENERAL";"TAB4",#N/A,TRUE,"GENERAL";"TAB5",#N/A,TRUE,"GENERAL"}</definedName>
    <definedName name="gfdg" localSheetId="16" hidden="1">{"via1",#N/A,TRUE,"general";"via2",#N/A,TRUE,"general";"via3",#N/A,TRUE,"general"}</definedName>
    <definedName name="gfdg" hidden="1">{"via1",#N/A,TRUE,"general";"via2",#N/A,TRUE,"general";"via3",#N/A,TRUE,"general"}</definedName>
    <definedName name="gfgfgr" localSheetId="16" hidden="1">{"via1",#N/A,TRUE,"general";"via2",#N/A,TRUE,"general";"via3",#N/A,TRUE,"general"}</definedName>
    <definedName name="gfgfgr" hidden="1">{"via1",#N/A,TRUE,"general";"via2",#N/A,TRUE,"general";"via3",#N/A,TRUE,"general"}</definedName>
    <definedName name="gfhf" localSheetId="16" hidden="1">{"via1",#N/A,TRUE,"general";"via2",#N/A,TRUE,"general";"via3",#N/A,TRUE,"general"}</definedName>
    <definedName name="gfhf" hidden="1">{"via1",#N/A,TRUE,"general";"via2",#N/A,TRUE,"general";"via3",#N/A,TRUE,"general"}</definedName>
    <definedName name="gfhfdh" localSheetId="16" hidden="1">{"TAB1",#N/A,TRUE,"GENERAL";"TAB2",#N/A,TRUE,"GENERAL";"TAB3",#N/A,TRUE,"GENERAL";"TAB4",#N/A,TRUE,"GENERAL";"TAB5",#N/A,TRUE,"GENERAL"}</definedName>
    <definedName name="gfhfdh" hidden="1">{"TAB1",#N/A,TRUE,"GENERAL";"TAB2",#N/A,TRUE,"GENERAL";"TAB3",#N/A,TRUE,"GENERAL";"TAB4",#N/A,TRUE,"GENERAL";"TAB5",#N/A,TRUE,"GENERAL"}</definedName>
    <definedName name="gfhgfh" localSheetId="16" hidden="1">{"TAB1",#N/A,TRUE,"GENERAL";"TAB2",#N/A,TRUE,"GENERAL";"TAB3",#N/A,TRUE,"GENERAL";"TAB4",#N/A,TRUE,"GENERAL";"TAB5",#N/A,TRUE,"GENERAL"}</definedName>
    <definedName name="gfhgfh" hidden="1">{"TAB1",#N/A,TRUE,"GENERAL";"TAB2",#N/A,TRUE,"GENERAL";"TAB3",#N/A,TRUE,"GENERAL";"TAB4",#N/A,TRUE,"GENERAL";"TAB5",#N/A,TRUE,"GENERAL"}</definedName>
    <definedName name="GFJHGJ" localSheetId="16" hidden="1">{"TAB1",#N/A,TRUE,"GENERAL";"TAB2",#N/A,TRUE,"GENERAL";"TAB3",#N/A,TRUE,"GENERAL";"TAB4",#N/A,TRUE,"GENERAL";"TAB5",#N/A,TRUE,"GENERAL"}</definedName>
    <definedName name="GFJHGJ" hidden="1">{"TAB1",#N/A,TRUE,"GENERAL";"TAB2",#N/A,TRUE,"GENERAL";"TAB3",#N/A,TRUE,"GENERAL";"TAB4",#N/A,TRUE,"GENERAL";"TAB5",#N/A,TRUE,"GENERAL"}</definedName>
    <definedName name="gfjjh" localSheetId="16" hidden="1">{"via1",#N/A,TRUE,"general";"via2",#N/A,TRUE,"general";"via3",#N/A,TRUE,"general"}</definedName>
    <definedName name="gfjjh" hidden="1">{"via1",#N/A,TRUE,"general";"via2",#N/A,TRUE,"general";"via3",#N/A,TRUE,"general"}</definedName>
    <definedName name="gft">#REF!</definedName>
    <definedName name="gfutyj6" localSheetId="16" hidden="1">{"via1",#N/A,TRUE,"general";"via2",#N/A,TRUE,"general";"via3",#N/A,TRUE,"general"}</definedName>
    <definedName name="gfutyj6" hidden="1">{"via1",#N/A,TRUE,"general";"via2",#N/A,TRUE,"general";"via3",#N/A,TRUE,"general"}</definedName>
    <definedName name="Gg">#REF!</definedName>
    <definedName name="ggdr" localSheetId="16" hidden="1">{"via1",#N/A,TRUE,"general";"via2",#N/A,TRUE,"general";"via3",#N/A,TRUE,"general"}</definedName>
    <definedName name="ggdr" hidden="1">{"via1",#N/A,TRUE,"general";"via2",#N/A,TRUE,"general";"via3",#N/A,TRUE,"general"}</definedName>
    <definedName name="ggerg" localSheetId="16"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b" localSheetId="16" hidden="1">{"TAB1",#N/A,TRUE,"GENERAL";"TAB2",#N/A,TRUE,"GENERAL";"TAB3",#N/A,TRUE,"GENERAL";"TAB4",#N/A,TRUE,"GENERAL";"TAB5",#N/A,TRUE,"GENERAL"}</definedName>
    <definedName name="gggb" hidden="1">{"TAB1",#N/A,TRUE,"GENERAL";"TAB2",#N/A,TRUE,"GENERAL";"TAB3",#N/A,TRUE,"GENERAL";"TAB4",#N/A,TRUE,"GENERAL";"TAB5",#N/A,TRUE,"GENERAL"}</definedName>
    <definedName name="gggg" localSheetId="16" hidden="1">{"via1",#N/A,TRUE,"general";"via2",#N/A,TRUE,"general";"via3",#N/A,TRUE,"general"}</definedName>
    <definedName name="gggg" hidden="1">{"via1",#N/A,TRUE,"general";"via2",#N/A,TRUE,"general";"via3",#N/A,TRUE,"general"}</definedName>
    <definedName name="ggggd" localSheetId="16" hidden="1">{"TAB1",#N/A,TRUE,"GENERAL";"TAB2",#N/A,TRUE,"GENERAL";"TAB3",#N/A,TRUE,"GENERAL";"TAB4",#N/A,TRUE,"GENERAL";"TAB5",#N/A,TRUE,"GENERAL"}</definedName>
    <definedName name="ggggd" hidden="1">{"TAB1",#N/A,TRUE,"GENERAL";"TAB2",#N/A,TRUE,"GENERAL";"TAB3",#N/A,TRUE,"GENERAL";"TAB4",#N/A,TRUE,"GENERAL";"TAB5",#N/A,TRUE,"GENERAL"}</definedName>
    <definedName name="gggggt" localSheetId="16" hidden="1">{"via1",#N/A,TRUE,"general";"via2",#N/A,TRUE,"general";"via3",#N/A,TRUE,"general"}</definedName>
    <definedName name="gggggt" hidden="1">{"via1",#N/A,TRUE,"general";"via2",#N/A,TRUE,"general";"via3",#N/A,TRUE,"general"}</definedName>
    <definedName name="gggghn" localSheetId="16" hidden="1">{"TAB1",#N/A,TRUE,"GENERAL";"TAB2",#N/A,TRUE,"GENERAL";"TAB3",#N/A,TRUE,"GENERAL";"TAB4",#N/A,TRUE,"GENERAL";"TAB5",#N/A,TRUE,"GENERAL"}</definedName>
    <definedName name="gggghn" hidden="1">{"TAB1",#N/A,TRUE,"GENERAL";"TAB2",#N/A,TRUE,"GENERAL";"TAB3",#N/A,TRUE,"GENERAL";"TAB4",#N/A,TRUE,"GENERAL";"TAB5",#N/A,TRUE,"GENERAL"}</definedName>
    <definedName name="ggggt" localSheetId="16" hidden="1">{"TAB1",#N/A,TRUE,"GENERAL";"TAB2",#N/A,TRUE,"GENERAL";"TAB3",#N/A,TRUE,"GENERAL";"TAB4",#N/A,TRUE,"GENERAL";"TAB5",#N/A,TRUE,"GENERAL"}</definedName>
    <definedName name="ggggt" hidden="1">{"TAB1",#N/A,TRUE,"GENERAL";"TAB2",#N/A,TRUE,"GENERAL";"TAB3",#N/A,TRUE,"GENERAL";"TAB4",#N/A,TRUE,"GENERAL";"TAB5",#N/A,TRUE,"GENERAL"}</definedName>
    <definedName name="ggggy" localSheetId="16" hidden="1">{"TAB1",#N/A,TRUE,"GENERAL";"TAB2",#N/A,TRUE,"GENERAL";"TAB3",#N/A,TRUE,"GENERAL";"TAB4",#N/A,TRUE,"GENERAL";"TAB5",#N/A,TRUE,"GENERAL"}</definedName>
    <definedName name="ggggy" hidden="1">{"TAB1",#N/A,TRUE,"GENERAL";"TAB2",#N/A,TRUE,"GENERAL";"TAB3",#N/A,TRUE,"GENERAL";"TAB4",#N/A,TRUE,"GENERAL";"TAB5",#N/A,TRUE,"GENERAL"}</definedName>
    <definedName name="gggtgd" localSheetId="16" hidden="1">{"via1",#N/A,TRUE,"general";"via2",#N/A,TRUE,"general";"via3",#N/A,TRUE,"general"}</definedName>
    <definedName name="gggtgd" hidden="1">{"via1",#N/A,TRUE,"general";"via2",#N/A,TRUE,"general";"via3",#N/A,TRUE,"general"}</definedName>
    <definedName name="ggtgt" localSheetId="16" hidden="1">{"via1",#N/A,TRUE,"general";"via2",#N/A,TRUE,"general";"via3",#N/A,TRUE,"general"}</definedName>
    <definedName name="ggtgt" hidden="1">{"via1",#N/A,TRUE,"general";"via2",#N/A,TRUE,"general";"via3",#N/A,TRUE,"general"}</definedName>
    <definedName name="Gh">#REF!</definedName>
    <definedName name="ghdghuy" localSheetId="16" hidden="1">{"via1",#N/A,TRUE,"general";"via2",#N/A,TRUE,"general";"via3",#N/A,TRUE,"general"}</definedName>
    <definedName name="ghdghuy" hidden="1">{"via1",#N/A,TRUE,"general";"via2",#N/A,TRUE,"general";"via3",#N/A,TRUE,"general"}</definedName>
    <definedName name="GHDP" localSheetId="16" hidden="1">{"via1",#N/A,TRUE,"general";"via2",#N/A,TRUE,"general";"via3",#N/A,TRUE,"general"}</definedName>
    <definedName name="GHDP" hidden="1">{"via1",#N/A,TRUE,"general";"via2",#N/A,TRUE,"general";"via3",#N/A,TRUE,"general"}</definedName>
    <definedName name="ghfg" localSheetId="16" hidden="1">{"via1",#N/A,TRUE,"general";"via2",#N/A,TRUE,"general";"via3",#N/A,TRUE,"general"}</definedName>
    <definedName name="ghfg" hidden="1">{"via1",#N/A,TRUE,"general";"via2",#N/A,TRUE,"general";"via3",#N/A,TRUE,"general"}</definedName>
    <definedName name="ghjghj" localSheetId="16" hidden="1">{"TAB1",#N/A,TRUE,"GENERAL";"TAB2",#N/A,TRUE,"GENERAL";"TAB3",#N/A,TRUE,"GENERAL";"TAB4",#N/A,TRUE,"GENERAL";"TAB5",#N/A,TRUE,"GENERAL"}</definedName>
    <definedName name="ghjghj" hidden="1">{"TAB1",#N/A,TRUE,"GENERAL";"TAB2",#N/A,TRUE,"GENERAL";"TAB3",#N/A,TRUE,"GENERAL";"TAB4",#N/A,TRUE,"GENERAL";"TAB5",#N/A,TRUE,"GENERAL"}</definedName>
    <definedName name="GHKJHK" localSheetId="16"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localSheetId="16" hidden="1">{"TAB1",#N/A,TRUE,"GENERAL";"TAB2",#N/A,TRUE,"GENERAL";"TAB3",#N/A,TRUE,"GENERAL";"TAB4",#N/A,TRUE,"GENERAL";"TAB5",#N/A,TRUE,"GENERAL"}</definedName>
    <definedName name="GJHVCB" hidden="1">{"TAB1",#N/A,TRUE,"GENERAL";"TAB2",#N/A,TRUE,"GENERAL";"TAB3",#N/A,TRUE,"GENERAL";"TAB4",#N/A,TRUE,"GENERAL";"TAB5",#N/A,TRUE,"GENERAL"}</definedName>
    <definedName name="gk" localSheetId="16" hidden="1">{"via1",#N/A,TRUE,"general";"via2",#N/A,TRUE,"general";"via3",#N/A,TRUE,"general"}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dos">#REF!</definedName>
    <definedName name="GRAF1ANO" localSheetId="16" hidden="1">{"via1",#N/A,TRUE,"general";"via2",#N/A,TRUE,"general";"via3",#N/A,TRUE,"general"}</definedName>
    <definedName name="GRAF1ANO" hidden="1">{"via1",#N/A,TRUE,"general";"via2",#N/A,TRUE,"general";"via3",#N/A,TRUE,"general"}</definedName>
    <definedName name="GRAF1AÑO" localSheetId="16"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O">#REF!</definedName>
    <definedName name="GRAV2">#REF!</definedName>
    <definedName name="gravilla">#REF!</definedName>
    <definedName name="gregds" localSheetId="16" hidden="1">{"TAB1",#N/A,TRUE,"GENERAL";"TAB2",#N/A,TRUE,"GENERAL";"TAB3",#N/A,TRUE,"GENERAL";"TAB4",#N/A,TRUE,"GENERAL";"TAB5",#N/A,TRUE,"GENERAL"}</definedName>
    <definedName name="gregds" hidden="1">{"TAB1",#N/A,TRUE,"GENERAL";"TAB2",#N/A,TRUE,"GENERAL";"TAB3",#N/A,TRUE,"GENERAL";"TAB4",#N/A,TRUE,"GENERAL";"TAB5",#N/A,TRUE,"GENERAL"}</definedName>
    <definedName name="grehrtyh" localSheetId="16" hidden="1">{"TAB1",#N/A,TRUE,"GENERAL";"TAB2",#N/A,TRUE,"GENERAL";"TAB3",#N/A,TRUE,"GENERAL";"TAB4",#N/A,TRUE,"GENERAL";"TAB5",#N/A,TRUE,"GENERAL"}</definedName>
    <definedName name="grehrtyh" hidden="1">{"TAB1",#N/A,TRUE,"GENERAL";"TAB2",#N/A,TRUE,"GENERAL";"TAB3",#N/A,TRUE,"GENERAL";"TAB4",#N/A,TRUE,"GENERAL";"TAB5",#N/A,TRUE,"GENERAL"}</definedName>
    <definedName name="grggwero" localSheetId="16" hidden="1">{"via1",#N/A,TRUE,"general";"via2",#N/A,TRUE,"general";"via3",#N/A,TRUE,"general"}</definedName>
    <definedName name="grggwero" hidden="1">{"via1",#N/A,TRUE,"general";"via2",#N/A,TRUE,"general";"via3",#N/A,TRUE,"general"}</definedName>
    <definedName name="grl">#REF!</definedName>
    <definedName name="grtyerh" localSheetId="16"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2">#REF!</definedName>
    <definedName name="GSDG" localSheetId="16" hidden="1">{"TAB1",#N/A,TRUE,"GENERAL";"TAB2",#N/A,TRUE,"GENERAL";"TAB3",#N/A,TRUE,"GENERAL";"TAB4",#N/A,TRUE,"GENERAL";"TAB5",#N/A,TRUE,"GENERAL"}</definedName>
    <definedName name="GSDG" hidden="1">{"TAB1",#N/A,TRUE,"GENERAL";"TAB2",#N/A,TRUE,"GENERAL";"TAB3",#N/A,TRUE,"GENERAL";"TAB4",#N/A,TRUE,"GENERAL";"TAB5",#N/A,TRUE,"GENERAL"}</definedName>
    <definedName name="gsfsf" localSheetId="16" hidden="1">{"via1",#N/A,TRUE,"general";"via2",#N/A,TRUE,"general";"via3",#N/A,TRUE,"general"}</definedName>
    <definedName name="gsfsf" hidden="1">{"via1",#N/A,TRUE,"general";"via2",#N/A,TRUE,"general";"via3",#N/A,TRUE,"general"}</definedName>
    <definedName name="GT">IF(#REF!=9,#REF!,"")</definedName>
    <definedName name="gte">#REF!</definedName>
    <definedName name="gtgt" localSheetId="16" hidden="1">{"via1",#N/A,TRUE,"general";"via2",#N/A,TRUE,"general";"via3",#N/A,TRUE,"general"}</definedName>
    <definedName name="gtgt" hidden="1">{"via1",#N/A,TRUE,"general";"via2",#N/A,TRUE,"general";"via3",#N/A,TRUE,"general"}</definedName>
    <definedName name="gtgtg" localSheetId="16" hidden="1">{"via1",#N/A,TRUE,"general";"via2",#N/A,TRUE,"general";"via3",#N/A,TRUE,"general"}</definedName>
    <definedName name="gtgtg" hidden="1">{"via1",#N/A,TRUE,"general";"via2",#N/A,TRUE,"general";"via3",#N/A,TRUE,"general"}</definedName>
    <definedName name="gtgtgff" localSheetId="16" hidden="1">{"via1",#N/A,TRUE,"general";"via2",#N/A,TRUE,"general";"via3",#N/A,TRUE,"general"}</definedName>
    <definedName name="gtgtgff" hidden="1">{"via1",#N/A,TRUE,"general";"via2",#N/A,TRUE,"general";"via3",#N/A,TRUE,"general"}</definedName>
    <definedName name="gtgtgyh" localSheetId="16" hidden="1">{"TAB1",#N/A,TRUE,"GENERAL";"TAB2",#N/A,TRUE,"GENERAL";"TAB3",#N/A,TRUE,"GENERAL";"TAB4",#N/A,TRUE,"GENERAL";"TAB5",#N/A,TRUE,"GENERAL"}</definedName>
    <definedName name="gtgtgyh" hidden="1">{"TAB1",#N/A,TRUE,"GENERAL";"TAB2",#N/A,TRUE,"GENERAL";"TAB3",#N/A,TRUE,"GENERAL";"TAB4",#N/A,TRUE,"GENERAL";"TAB5",#N/A,TRUE,"GENERAL"}</definedName>
    <definedName name="gtgth" localSheetId="16"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v">#REF!</definedName>
    <definedName name="Gw">#REF!</definedName>
    <definedName name="gy">#REF!</definedName>
    <definedName name="H" hidden="1">#REF!</definedName>
    <definedName name="h.LOM">#REF!</definedName>
    <definedName name="H.LOMO">#REF!</definedName>
    <definedName name="h.POZ">#REF!</definedName>
    <definedName name="h9h" localSheetId="16" hidden="1">{"via1",#N/A,TRUE,"general";"via2",#N/A,TRUE,"general";"via3",#N/A,TRUE,"general"}</definedName>
    <definedName name="h9h" hidden="1">{"via1",#N/A,TRUE,"general";"via2",#N/A,TRUE,"general";"via3",#N/A,TRUE,"general"}</definedName>
    <definedName name="Ha">#REF!</definedName>
    <definedName name="Hab.predio">#REF!</definedName>
    <definedName name="hab___viv">#REF!</definedName>
    <definedName name="HARRY">#REF!</definedName>
    <definedName name="Hb">#REF!</definedName>
    <definedName name="hbfdhrw" localSheetId="16" hidden="1">{"TAB1",#N/A,TRUE,"GENERAL";"TAB2",#N/A,TRUE,"GENERAL";"TAB3",#N/A,TRUE,"GENERAL";"TAB4",#N/A,TRUE,"GENERAL";"TAB5",#N/A,TRUE,"GENERAL"}</definedName>
    <definedName name="hbfdhrw" hidden="1">{"TAB1",#N/A,TRUE,"GENERAL";"TAB2",#N/A,TRUE,"GENERAL";"TAB3",#N/A,TRUE,"GENERAL";"TAB4",#N/A,TRUE,"GENERAL";"TAB5",#N/A,TRUE,"GENERAL"}</definedName>
    <definedName name="hdfh" localSheetId="16" hidden="1">{"via1",#N/A,TRUE,"general";"via2",#N/A,TRUE,"general";"via3",#N/A,TRUE,"general"}</definedName>
    <definedName name="hdfh" hidden="1">{"via1",#N/A,TRUE,"general";"via2",#N/A,TRUE,"general";"via3",#N/A,TRUE,"general"}</definedName>
    <definedName name="hdfh4" localSheetId="16" hidden="1">{"TAB1",#N/A,TRUE,"GENERAL";"TAB2",#N/A,TRUE,"GENERAL";"TAB3",#N/A,TRUE,"GENERAL";"TAB4",#N/A,TRUE,"GENERAL";"TAB5",#N/A,TRUE,"GENERAL"}</definedName>
    <definedName name="hdfh4" hidden="1">{"TAB1",#N/A,TRUE,"GENERAL";"TAB2",#N/A,TRUE,"GENERAL";"TAB3",#N/A,TRUE,"GENERAL";"TAB4",#N/A,TRUE,"GENERAL";"TAB5",#N/A,TRUE,"GENERAL"}</definedName>
    <definedName name="hdfhwq" localSheetId="16" hidden="1">{"TAB1",#N/A,TRUE,"GENERAL";"TAB2",#N/A,TRUE,"GENERAL";"TAB3",#N/A,TRUE,"GENERAL";"TAB4",#N/A,TRUE,"GENERAL";"TAB5",#N/A,TRUE,"GENERAL"}</definedName>
    <definedName name="hdfhwq" hidden="1">{"TAB1",#N/A,TRUE,"GENERAL";"TAB2",#N/A,TRUE,"GENERAL";"TAB3",#N/A,TRUE,"GENERAL";"TAB4",#N/A,TRUE,"GENERAL";"TAB5",#N/A,TRUE,"GENERAL"}</definedName>
    <definedName name="hdgh" localSheetId="16" hidden="1">{"via1",#N/A,TRUE,"general";"via2",#N/A,TRUE,"general";"via3",#N/A,TRUE,"general"}</definedName>
    <definedName name="hdgh" hidden="1">{"via1",#N/A,TRUE,"general";"via2",#N/A,TRUE,"general";"via3",#N/A,TRUE,"general"}</definedName>
    <definedName name="hdhf" localSheetId="16"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DD">#REF!</definedName>
    <definedName name="hfgh" localSheetId="16" hidden="1">{"via1",#N/A,TRUE,"general";"via2",#N/A,TRUE,"general";"via3",#N/A,TRUE,"general"}</definedName>
    <definedName name="hfgh" hidden="1">{"via1",#N/A,TRUE,"general";"via2",#N/A,TRUE,"general";"via3",#N/A,TRUE,"general"}</definedName>
    <definedName name="hfh" localSheetId="16" hidden="1">{"TAB1",#N/A,TRUE,"GENERAL";"TAB2",#N/A,TRUE,"GENERAL";"TAB3",#N/A,TRUE,"GENERAL";"TAB4",#N/A,TRUE,"GENERAL";"TAB5",#N/A,TRUE,"GENERAL"}</definedName>
    <definedName name="hfh" hidden="1">{"TAB1",#N/A,TRUE,"GENERAL";"TAB2",#N/A,TRUE,"GENERAL";"TAB3",#N/A,TRUE,"GENERAL";"TAB4",#N/A,TRUE,"GENERAL";"TAB5",#N/A,TRUE,"GENERAL"}</definedName>
    <definedName name="hfhg" localSheetId="16" hidden="1">{"TAB1",#N/A,TRUE,"GENERAL";"TAB2",#N/A,TRUE,"GENERAL";"TAB3",#N/A,TRUE,"GENERAL";"TAB4",#N/A,TRUE,"GENERAL";"TAB5",#N/A,TRUE,"GENERAL"}</definedName>
    <definedName name="hfhg" hidden="1">{"TAB1",#N/A,TRUE,"GENERAL";"TAB2",#N/A,TRUE,"GENERAL";"TAB3",#N/A,TRUE,"GENERAL";"TAB4",#N/A,TRUE,"GENERAL";"TAB5",#N/A,TRUE,"GENERAL"}</definedName>
    <definedName name="hfthr" localSheetId="16" hidden="1">{"via1",#N/A,TRUE,"general";"via2",#N/A,TRUE,"general";"via3",#N/A,TRUE,"general"}</definedName>
    <definedName name="hfthr" hidden="1">{"via1",#N/A,TRUE,"general";"via2",#N/A,TRUE,"general";"via3",#N/A,TRUE,"general"}</definedName>
    <definedName name="hg" localSheetId="16" hidden="1">{"via1",#N/A,TRUE,"general";"via2",#N/A,TRUE,"general";"via3",#N/A,TRUE,"general"}</definedName>
    <definedName name="hg" hidden="1">{"via1",#N/A,TRUE,"general";"via2",#N/A,TRUE,"general";"via3",#N/A,TRUE,"general"}</definedName>
    <definedName name="HGFH" localSheetId="16" hidden="1">{"via1",#N/A,TRUE,"general";"via2",#N/A,TRUE,"general";"via3",#N/A,TRUE,"general"}</definedName>
    <definedName name="HGFH" hidden="1">{"via1",#N/A,TRUE,"general";"via2",#N/A,TRUE,"general";"via3",#N/A,TRUE,"general"}</definedName>
    <definedName name="hgfhty" localSheetId="16" hidden="1">{"via1",#N/A,TRUE,"general";"via2",#N/A,TRUE,"general";"via3",#N/A,TRUE,"general"}</definedName>
    <definedName name="hgfhty" hidden="1">{"via1",#N/A,TRUE,"general";"via2",#N/A,TRUE,"general";"via3",#N/A,TRUE,"general"}</definedName>
    <definedName name="HGHFH7" localSheetId="16" hidden="1">{"TAB1",#N/A,TRUE,"GENERAL";"TAB2",#N/A,TRUE,"GENERAL";"TAB3",#N/A,TRUE,"GENERAL";"TAB4",#N/A,TRUE,"GENERAL";"TAB5",#N/A,TRUE,"GENERAL"}</definedName>
    <definedName name="HGHFH7" hidden="1">{"TAB1",#N/A,TRUE,"GENERAL";"TAB2",#N/A,TRUE,"GENERAL";"TAB3",#N/A,TRUE,"GENERAL";"TAB4",#N/A,TRUE,"GENERAL";"TAB5",#N/A,TRUE,"GENERAL"}</definedName>
    <definedName name="hghhj" localSheetId="16" hidden="1">{"TAB1",#N/A,TRUE,"GENERAL";"TAB2",#N/A,TRUE,"GENERAL";"TAB3",#N/A,TRUE,"GENERAL";"TAB4",#N/A,TRUE,"GENERAL";"TAB5",#N/A,TRUE,"GENERAL"}</definedName>
    <definedName name="hghhj" hidden="1">{"TAB1",#N/A,TRUE,"GENERAL";"TAB2",#N/A,TRUE,"GENERAL";"TAB3",#N/A,TRUE,"GENERAL";"TAB4",#N/A,TRUE,"GENERAL";"TAB5",#N/A,TRUE,"GENERAL"}</definedName>
    <definedName name="hghydj" localSheetId="16" hidden="1">{"via1",#N/A,TRUE,"general";"via2",#N/A,TRUE,"general";"via3",#N/A,TRUE,"general"}</definedName>
    <definedName name="hghydj" hidden="1">{"via1",#N/A,TRUE,"general";"via2",#N/A,TRUE,"general";"via3",#N/A,TRUE,"general"}</definedName>
    <definedName name="hgjfjw" localSheetId="16" hidden="1">{"via1",#N/A,TRUE,"general";"via2",#N/A,TRUE,"general";"via3",#N/A,TRUE,"general"}</definedName>
    <definedName name="hgjfjw" hidden="1">{"via1",#N/A,TRUE,"general";"via2",#N/A,TRUE,"general";"via3",#N/A,TRUE,"general"}</definedName>
    <definedName name="HGJG" localSheetId="16"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6" hidden="1">{"TAB1",#N/A,TRUE,"GENERAL";"TAB2",#N/A,TRUE,"GENERAL";"TAB3",#N/A,TRUE,"GENERAL";"TAB4",#N/A,TRUE,"GENERAL";"TAB5",#N/A,TRUE,"GENERAL"}</definedName>
    <definedName name="hhh" hidden="1">{"TAB1",#N/A,TRUE,"GENERAL";"TAB2",#N/A,TRUE,"GENERAL";"TAB3",#N/A,TRUE,"GENERAL";"TAB4",#N/A,TRUE,"GENERAL";"TAB5",#N/A,TRUE,"GENERAL"}</definedName>
    <definedName name="hhhhhh" localSheetId="16" hidden="1">{"via1",#N/A,TRUE,"general";"via2",#N/A,TRUE,"general";"via3",#N/A,TRUE,"general"}</definedName>
    <definedName name="hhhhhh" hidden="1">{"via1",#N/A,TRUE,"general";"via2",#N/A,TRUE,"general";"via3",#N/A,TRUE,"general"}</definedName>
    <definedName name="hhhhhho" localSheetId="16" hidden="1">{"TAB1",#N/A,TRUE,"GENERAL";"TAB2",#N/A,TRUE,"GENERAL";"TAB3",#N/A,TRUE,"GENERAL";"TAB4",#N/A,TRUE,"GENERAL";"TAB5",#N/A,TRUE,"GENERAL"}</definedName>
    <definedName name="hhhhhho" hidden="1">{"TAB1",#N/A,TRUE,"GENERAL";"TAB2",#N/A,TRUE,"GENERAL";"TAB3",#N/A,TRUE,"GENERAL";"TAB4",#N/A,TRUE,"GENERAL";"TAB5",#N/A,TRUE,"GENERAL"}</definedName>
    <definedName name="hhhhhpy" localSheetId="16" hidden="1">{"TAB1",#N/A,TRUE,"GENERAL";"TAB2",#N/A,TRUE,"GENERAL";"TAB3",#N/A,TRUE,"GENERAL";"TAB4",#N/A,TRUE,"GENERAL";"TAB5",#N/A,TRUE,"GENERAL"}</definedName>
    <definedName name="hhhhhpy" hidden="1">{"TAB1",#N/A,TRUE,"GENERAL";"TAB2",#N/A,TRUE,"GENERAL";"TAB3",#N/A,TRUE,"GENERAL";"TAB4",#N/A,TRUE,"GENERAL";"TAB5",#N/A,TRUE,"GENERAL"}</definedName>
    <definedName name="hhhhth" localSheetId="16" hidden="1">{"via1",#N/A,TRUE,"general";"via2",#N/A,TRUE,"general";"via3",#N/A,TRUE,"general"}</definedName>
    <definedName name="hhhhth" hidden="1">{"via1",#N/A,TRUE,"general";"via2",#N/A,TRUE,"general";"via3",#N/A,TRUE,"general"}</definedName>
    <definedName name="hhhyhyh" localSheetId="16" hidden="1">{"TAB1",#N/A,TRUE,"GENERAL";"TAB2",#N/A,TRUE,"GENERAL";"TAB3",#N/A,TRUE,"GENERAL";"TAB4",#N/A,TRUE,"GENERAL";"TAB5",#N/A,TRUE,"GENERAL"}</definedName>
    <definedName name="hhhyhyh" hidden="1">{"TAB1",#N/A,TRUE,"GENERAL";"TAB2",#N/A,TRUE,"GENERAL";"TAB3",#N/A,TRUE,"GENERAL";"TAB4",#N/A,TRUE,"GENERAL";"TAB5",#N/A,TRUE,"GENERAL"}</definedName>
    <definedName name="hhtrhreh" localSheetId="16" hidden="1">{"via1",#N/A,TRUE,"general";"via2",#N/A,TRUE,"general";"via3",#N/A,TRUE,"general"}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60v">#REF!</definedName>
    <definedName name="HILERAS">#REF!</definedName>
    <definedName name="HJ">#REF!</definedName>
    <definedName name="hjfg" localSheetId="16" hidden="1">{"via1",#N/A,TRUE,"general";"via2",#N/A,TRUE,"general";"via3",#N/A,TRUE,"general"}</definedName>
    <definedName name="hjfg" hidden="1">{"via1",#N/A,TRUE,"general";"via2",#N/A,TRUE,"general";"via3",#N/A,TRUE,"general"}</definedName>
    <definedName name="hjgh" localSheetId="16" hidden="1">{"TAB1",#N/A,TRUE,"GENERAL";"TAB2",#N/A,TRUE,"GENERAL";"TAB3",#N/A,TRUE,"GENERAL";"TAB4",#N/A,TRUE,"GENERAL";"TAB5",#N/A,TRUE,"GENERAL"}</definedName>
    <definedName name="hjgh" hidden="1">{"TAB1",#N/A,TRUE,"GENERAL";"TAB2",#N/A,TRUE,"GENERAL";"TAB3",#N/A,TRUE,"GENERAL";"TAB4",#N/A,TRUE,"GENERAL";"TAB5",#N/A,TRUE,"GENERAL"}</definedName>
    <definedName name="hjghj" localSheetId="16" hidden="1">{"TAB1",#N/A,TRUE,"GENERAL";"TAB2",#N/A,TRUE,"GENERAL";"TAB3",#N/A,TRUE,"GENERAL";"TAB4",#N/A,TRUE,"GENERAL";"TAB5",#N/A,TRUE,"GENERAL"}</definedName>
    <definedName name="hjghj" hidden="1">{"TAB1",#N/A,TRUE,"GENERAL";"TAB2",#N/A,TRUE,"GENERAL";"TAB3",#N/A,TRUE,"GENERAL";"TAB4",#N/A,TRUE,"GENERAL";"TAB5",#N/A,TRUE,"GENERAL"}</definedName>
    <definedName name="hjhjhg" localSheetId="16"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6" hidden="1">{"via1",#N/A,TRUE,"general";"via2",#N/A,TRUE,"general";"via3",#N/A,TRUE,"general"}</definedName>
    <definedName name="HJKH" hidden="1">{"via1",#N/A,TRUE,"general";"via2",#N/A,TRUE,"general";"via3",#N/A,TRUE,"general"}</definedName>
    <definedName name="hjkjk" localSheetId="16" hidden="1">{"via1",#N/A,TRUE,"general";"via2",#N/A,TRUE,"general";"via3",#N/A,TRUE,"general"}</definedName>
    <definedName name="hjkjk" hidden="1">{"via1",#N/A,TRUE,"general";"via2",#N/A,TRUE,"general";"via3",#N/A,TRUE,"general"}</definedName>
    <definedName name="hl">#REF!</definedName>
    <definedName name="HMEN">#REF!</definedName>
    <definedName name="hn" localSheetId="16"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ha" localSheetId="16" hidden="1">{"PYGT",#N/A,FALSE,"PYG";"ACTIT",#N/A,FALSE,"BCE_GRAL-ACTIVO";"PASIT",#N/A,FALSE,"BCE_GRAL-PASIVO-PATRIM";"CAJAT",#N/A,FALSE,"CAJA"}</definedName>
    <definedName name="hoha" hidden="1">{"PYGT",#N/A,FALSE,"PYG";"ACTIT",#N/A,FALSE,"BCE_GRAL-ACTIVO";"PASIT",#N/A,FALSE,"BCE_GRAL-PASIVO-PATRIM";"CAJAT",#N/A,FALSE,"CAJA"}</definedName>
    <definedName name="HOJA">#N/A</definedName>
    <definedName name="HOJA1">#REF!</definedName>
    <definedName name="HOJA444">#N/A</definedName>
    <definedName name="HOJA8">#REF!</definedName>
    <definedName name="HonoraProfesionales">#REF!</definedName>
    <definedName name="HonoraTecnicos">#REF!</definedName>
    <definedName name="horat">#REF!</definedName>
    <definedName name="hp">#REF!</definedName>
    <definedName name="hqi">#REF!</definedName>
    <definedName name="hqmaxsutro">#REF!</definedName>
    <definedName name="hQminsutro">#REF!</definedName>
    <definedName name="hreer" localSheetId="16" hidden="1">{"TAB1",#N/A,TRUE,"GENERAL";"TAB2",#N/A,TRUE,"GENERAL";"TAB3",#N/A,TRUE,"GENERAL";"TAB4",#N/A,TRUE,"GENERAL";"TAB5",#N/A,TRUE,"GENERAL"}</definedName>
    <definedName name="hreer" hidden="1">{"TAB1",#N/A,TRUE,"GENERAL";"TAB2",#N/A,TRUE,"GENERAL";"TAB3",#N/A,TRUE,"GENERAL";"TAB4",#N/A,TRUE,"GENERAL";"TAB5",#N/A,TRUE,"GENERAL"}</definedName>
    <definedName name="hrhth" localSheetId="16" hidden="1">{"TAB1",#N/A,TRUE,"GENERAL";"TAB2",#N/A,TRUE,"GENERAL";"TAB3",#N/A,TRUE,"GENERAL";"TAB4",#N/A,TRUE,"GENERAL";"TAB5",#N/A,TRUE,"GENERAL"}</definedName>
    <definedName name="hrhth" hidden="1">{"TAB1",#N/A,TRUE,"GENERAL";"TAB2",#N/A,TRUE,"GENERAL";"TAB3",#N/A,TRUE,"GENERAL";"TAB4",#N/A,TRUE,"GENERAL";"TAB5",#N/A,TRUE,"GENERAL"}</definedName>
    <definedName name="hrthtrh" localSheetId="16" hidden="1">{"TAB1",#N/A,TRUE,"GENERAL";"TAB2",#N/A,TRUE,"GENERAL";"TAB3",#N/A,TRUE,"GENERAL";"TAB4",#N/A,TRUE,"GENERAL";"TAB5",#N/A,TRUE,"GENERAL"}</definedName>
    <definedName name="hrthtrh" hidden="1">{"TAB1",#N/A,TRUE,"GENERAL";"TAB2",#N/A,TRUE,"GENERAL";"TAB3",#N/A,TRUE,"GENERAL";"TAB4",#N/A,TRUE,"GENERAL";"TAB5",#N/A,TRUE,"GENERAL"}</definedName>
    <definedName name="hsfg" localSheetId="16" hidden="1">{"via1",#N/A,TRUE,"general";"via2",#N/A,TRUE,"general";"via3",#N/A,TRUE,"general"}</definedName>
    <definedName name="hsfg" hidden="1">{"via1",#N/A,TRUE,"general";"via2",#N/A,TRUE,"general";"via3",#N/A,TRUE,"general"}</definedName>
    <definedName name="ht">#REF!</definedName>
    <definedName name="hthdrf" localSheetId="16"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localSheetId="16"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6" hidden="1">{"via1",#N/A,TRUE,"general";"via2",#N/A,TRUE,"general";"via3",#N/A,TRUE,"general"}</definedName>
    <definedName name="htryrt7" hidden="1">{"via1",#N/A,TRUE,"general";"via2",#N/A,TRUE,"general";"via3",#N/A,TRUE,"general"}</definedName>
    <definedName name="HY">#REF!</definedName>
    <definedName name="hyhjop" localSheetId="16" hidden="1">{"TAB1",#N/A,TRUE,"GENERAL";"TAB2",#N/A,TRUE,"GENERAL";"TAB3",#N/A,TRUE,"GENERAL";"TAB4",#N/A,TRUE,"GENERAL";"TAB5",#N/A,TRUE,"GENERAL"}</definedName>
    <definedName name="hyhjop" hidden="1">{"TAB1",#N/A,TRUE,"GENERAL";"TAB2",#N/A,TRUE,"GENERAL";"TAB3",#N/A,TRUE,"GENERAL";"TAB4",#N/A,TRUE,"GENERAL";"TAB5",#N/A,TRUE,"GENERAL"}</definedName>
    <definedName name="hyhyh" localSheetId="16"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16" hidden="1">{"via1",#N/A,TRUE,"general";"via2",#N/A,TRUE,"general";"via3",#N/A,TRUE,"general"}</definedName>
    <definedName name="hytirs" hidden="1">{"via1",#N/A,TRUE,"general";"via2",#N/A,TRUE,"general";"via3",#N/A,TRUE,"general"}</definedName>
    <definedName name="I" localSheetId="16" hidden="1">{"PYGT",#N/A,FALSE,"PYG";"ACTIT",#N/A,FALSE,"BCE_GRAL-ACTIVO";"PASIT",#N/A,FALSE,"BCE_GRAL-PASIVO-PATRIM";"CAJAT",#N/A,FALSE,"CAJA"}</definedName>
    <definedName name="I" hidden="1">{"PYGT",#N/A,FALSE,"PYG";"ACTIT",#N/A,FALSE,"BCE_GRAL-ACTIVO";"PASIT",#N/A,FALSE,"BCE_GRAL-PASIVO-PATRIM";"CAJAT",#N/A,FALSE,"CAJA"}</definedName>
    <definedName name="i1277.">#REF!</definedName>
    <definedName name="i8i" localSheetId="16" hidden="1">{"TAB1",#N/A,TRUE,"GENERAL";"TAB2",#N/A,TRUE,"GENERAL";"TAB3",#N/A,TRUE,"GENERAL";"TAB4",#N/A,TRUE,"GENERAL";"TAB5",#N/A,TRUE,"GENERAL"}</definedName>
    <definedName name="i8i" hidden="1">{"TAB1",#N/A,TRUE,"GENERAL";"TAB2",#N/A,TRUE,"GENERAL";"TAB3",#N/A,TRUE,"GENERAL";"TAB4",#N/A,TRUE,"GENERAL";"TAB5",#N/A,TRUE,"GENERAL"}</definedName>
    <definedName name="IANC">#REF!</definedName>
    <definedName name="id">#REF!</definedName>
    <definedName name="IF">#REF!</definedName>
    <definedName name="ig">#REF!</definedName>
    <definedName name="ii" localSheetId="16" hidden="1">{"TAB1",#N/A,TRUE,"GENERAL";"TAB2",#N/A,TRUE,"GENERAL";"TAB3",#N/A,TRUE,"GENERAL";"TAB4",#N/A,TRUE,"GENERAL";"TAB5",#N/A,TRUE,"GENERAL"}</definedName>
    <definedName name="ii" hidden="1">{"TAB1",#N/A,TRUE,"GENERAL";"TAB2",#N/A,TRUE,"GENERAL";"TAB3",#N/A,TRUE,"GENERAL";"TAB4",#N/A,TRUE,"GENERAL";"TAB5",#N/A,TRUE,"GENERAL"}</definedName>
    <definedName name="iii" localSheetId="16" hidden="1">{"via1",#N/A,TRUE,"general";"via2",#N/A,TRUE,"general";"via3",#N/A,TRUE,"general"}</definedName>
    <definedName name="iii" hidden="1">{"via1",#N/A,TRUE,"general";"via2",#N/A,TRUE,"general";"via3",#N/A,TRUE,"general"}</definedName>
    <definedName name="iiii" localSheetId="16" hidden="1">{"via1",#N/A,TRUE,"general";"via2",#N/A,TRUE,"general";"via3",#N/A,TRUE,"general"}</definedName>
    <definedName name="iiii" hidden="1">{"via1",#N/A,TRUE,"general";"via2",#N/A,TRUE,"general";"via3",#N/A,TRUE,"general"}</definedName>
    <definedName name="iiiiiiik" localSheetId="16" hidden="1">{"via1",#N/A,TRUE,"general";"via2",#N/A,TRUE,"general";"via3",#N/A,TRUE,"general"}</definedName>
    <definedName name="iiiiiiik" hidden="1">{"via1",#N/A,TRUE,"general";"via2",#N/A,TRUE,"general";"via3",#N/A,TRUE,"general"}</definedName>
    <definedName name="iiiiuh" localSheetId="16"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6" hidden="1">{"TAB1",#N/A,TRUE,"GENERAL";"TAB2",#N/A,TRUE,"GENERAL";"TAB3",#N/A,TRUE,"GENERAL";"TAB4",#N/A,TRUE,"GENERAL";"TAB5",#N/A,TRUE,"GENERAL"}</definedName>
    <definedName name="iktgvfmu" hidden="1">{"TAB1",#N/A,TRUE,"GENERAL";"TAB2",#N/A,TRUE,"GENERAL";"TAB3",#N/A,TRUE,"GENERAL";"TAB4",#N/A,TRUE,"GENERAL";"TAB5",#N/A,TRUE,"GENERAL"}</definedName>
    <definedName name="imno">#REF!</definedName>
    <definedName name="IMP">#REF!</definedName>
    <definedName name="Impacto">#REF!</definedName>
    <definedName name="IMPIPVC">#REF!</definedName>
    <definedName name="ImpPolizasConsultoria">#REF!</definedName>
    <definedName name="ImpPolizasObra">#REF!</definedName>
    <definedName name="imprevistos">#REF!</definedName>
    <definedName name="Imprimir_área_IM">#REF!</definedName>
    <definedName name="Imprimir_área_IM_1">#REF!</definedName>
    <definedName name="Imprimir_títulos_IM">#REF!</definedName>
    <definedName name="impuesto" localSheetId="16" hidden="1">{"via1",#N/A,TRUE,"general";"via2",#N/A,TRUE,"general";"via3",#N/A,TRUE,"general"}</definedName>
    <definedName name="impuesto" hidden="1">{"via1",#N/A,TRUE,"general";"via2",#N/A,TRUE,"general";"via3",#N/A,TRUE,"general"}</definedName>
    <definedName name="IMPULSIONALCANTARILLADOTABLA1.10">#REF!</definedName>
    <definedName name="IND">#REF!</definedName>
    <definedName name="INDICEPRECIOSCONSUMIDOR">#REF!</definedName>
    <definedName name="inf">#REF!</definedName>
    <definedName name="INFF">#REF!</definedName>
    <definedName name="INFG">#REF!</definedName>
    <definedName name="infi">#REF!</definedName>
    <definedName name="inforn">#REF!</definedName>
    <definedName name="ingini">#REF!</definedName>
    <definedName name="Inicio">#REF!</definedName>
    <definedName name="Inicio_del_proyecto" localSheetId="16">CRONOGRAMA!$E$3</definedName>
    <definedName name="Inicio_del_proyecto">#REF!</definedName>
    <definedName name="INS">#REF!</definedName>
    <definedName name="Instalacion">#REF!</definedName>
    <definedName name="Instalación_TM_incluye15Breake">#REF!</definedName>
    <definedName name="instalaciontuberia3">#REF!</definedName>
    <definedName name="INSUMO">"$B$4:$B$2082"</definedName>
    <definedName name="INSUMOS">#REF!</definedName>
    <definedName name="Int">#REF!</definedName>
    <definedName name="Interest_Rate">#REF!</definedName>
    <definedName name="Interventor">#REF!</definedName>
    <definedName name="INTERVENTORIA" hidden="1">#REF!</definedName>
    <definedName name="INV_11">#REF!</definedName>
    <definedName name="io">#REF!</definedName>
    <definedName name="IPC">#REF!</definedName>
    <definedName name="ir">#REF!</definedName>
    <definedName name="it.">#REF!</definedName>
    <definedName name="ITEM">#REF!</definedName>
    <definedName name="ITEM1">#REF!</definedName>
    <definedName name="ITEM15">#REF!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S">#REF!</definedName>
    <definedName name="ITEN320">#REF!</definedName>
    <definedName name="IUI" localSheetId="16" hidden="1">{"TAB1",#N/A,TRUE,"GENERAL";"TAB2",#N/A,TRUE,"GENERAL";"TAB3",#N/A,TRUE,"GENERAL";"TAB4",#N/A,TRUE,"GENERAL";"TAB5",#N/A,TRUE,"GENERAL"}</definedName>
    <definedName name="IUI" hidden="1">{"TAB1",#N/A,TRUE,"GENERAL";"TAB2",#N/A,TRUE,"GENERAL";"TAB3",#N/A,TRUE,"GENERAL";"TAB4",#N/A,TRUE,"GENERAL";"TAB5",#N/A,TRUE,"GENERAL"}</definedName>
    <definedName name="iuit7" localSheetId="16" hidden="1">{"TAB1",#N/A,TRUE,"GENERAL";"TAB2",#N/A,TRUE,"GENERAL";"TAB3",#N/A,TRUE,"GENERAL";"TAB4",#N/A,TRUE,"GENERAL";"TAB5",#N/A,TRUE,"GENERAL"}</definedName>
    <definedName name="iuit7" hidden="1">{"TAB1",#N/A,TRUE,"GENERAL";"TAB2",#N/A,TRUE,"GENERAL";"TAB3",#N/A,TRUE,"GENERAL";"TAB4",#N/A,TRUE,"GENERAL";"TAB5",#N/A,TRUE,"GENERAL"}</definedName>
    <definedName name="iul" localSheetId="16" hidden="1">{"via1",#N/A,TRUE,"general";"via2",#N/A,TRUE,"general";"via3",#N/A,TRUE,"general"}</definedName>
    <definedName name="iul" hidden="1">{"via1",#N/A,TRUE,"general";"via2",#N/A,TRUE,"general";"via3",#N/A,TRUE,"general"}</definedName>
    <definedName name="iuouio" localSheetId="16" hidden="1">{"via1",#N/A,TRUE,"general";"via2",#N/A,TRUE,"general";"via3",#N/A,TRUE,"general"}</definedName>
    <definedName name="iuouio" hidden="1">{"via1",#N/A,TRUE,"general";"via2",#N/A,TRUE,"general";"via3",#N/A,TRUE,"general"}</definedName>
    <definedName name="iuyi9" localSheetId="16"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yuiuyi" localSheetId="16" hidden="1">{"via1",#N/A,TRUE,"general";"via2",#N/A,TRUE,"general";"via3",#N/A,TRUE,"general"}</definedName>
    <definedName name="iyuiuyi" hidden="1">{"via1",#N/A,TRUE,"general";"via2",#N/A,TRUE,"general";"via3",#N/A,TRUE,"general"}</definedName>
    <definedName name="IZQ_AUX">LEFT(#REF!,2)</definedName>
    <definedName name="j" localSheetId="16" hidden="1">{"TAB1",#N/A,TRUE,"GENERAL";"TAB2",#N/A,TRUE,"GENERAL";"TAB3",#N/A,TRUE,"GENERAL";"TAB4",#N/A,TRUE,"GENERAL";"TAB5",#N/A,TRUE,"GENERAL"}</definedName>
    <definedName name="j" hidden="1">{"TAB1",#N/A,TRUE,"GENERAL";"TAB2",#N/A,TRUE,"GENERAL";"TAB3",#N/A,TRUE,"GENERAL";"TAB4",#N/A,TRUE,"GENERAL";"TAB5",#N/A,TRUE,"GENERAL"}</definedName>
    <definedName name="Ja">#REF!</definedName>
    <definedName name="Jb">#REF!</definedName>
    <definedName name="Jc">#REF!</definedName>
    <definedName name="jd" localSheetId="16" hidden="1">{"via1",#N/A,TRUE,"general";"via2",#N/A,TRUE,"general";"via3",#N/A,TRUE,"general"}</definedName>
    <definedName name="jd" hidden="1">{"via1",#N/A,TRUE,"general";"via2",#N/A,TRUE,"general";"via3",#N/A,TRUE,"general"}</definedName>
    <definedName name="jdh" localSheetId="16"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#REF!</definedName>
    <definedName name="jeytj" localSheetId="16"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hjfrt" localSheetId="16" hidden="1">{"TAB1",#N/A,TRUE,"GENERAL";"TAB2",#N/A,TRUE,"GENERAL";"TAB3",#N/A,TRUE,"GENERAL";"TAB4",#N/A,TRUE,"GENERAL";"TAB5",#N/A,TRUE,"GENERAL"}</definedName>
    <definedName name="jfhjfrt" hidden="1">{"TAB1",#N/A,TRUE,"GENERAL";"TAB2",#N/A,TRUE,"GENERAL";"TAB3",#N/A,TRUE,"GENERAL";"TAB4",#N/A,TRUE,"GENERAL";"TAB5",#N/A,TRUE,"GENERAL"}</definedName>
    <definedName name="jgfj" localSheetId="16" hidden="1">{"via1",#N/A,TRUE,"general";"via2",#N/A,TRUE,"general";"via3",#N/A,TRUE,"general"}</definedName>
    <definedName name="jgfj" hidden="1">{"via1",#N/A,TRUE,"general";"via2",#N/A,TRUE,"general";"via3",#N/A,TRUE,"general"}</definedName>
    <definedName name="jghj" localSheetId="16" hidden="1">{"TAB1",#N/A,TRUE,"GENERAL";"TAB2",#N/A,TRUE,"GENERAL";"TAB3",#N/A,TRUE,"GENERAL";"TAB4",#N/A,TRUE,"GENERAL";"TAB5",#N/A,TRUE,"GENERAL"}</definedName>
    <definedName name="jghj" hidden="1">{"TAB1",#N/A,TRUE,"GENERAL";"TAB2",#N/A,TRUE,"GENERAL";"TAB3",#N/A,TRUE,"GENERAL";"TAB4",#N/A,TRUE,"GENERAL";"TAB5",#N/A,TRUE,"GENERAL"}</definedName>
    <definedName name="jgj" localSheetId="16"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h">#REF!</definedName>
    <definedName name="jhg" localSheetId="16" hidden="1">{"TAB1",#N/A,TRUE,"GENERAL";"TAB2",#N/A,TRUE,"GENERAL";"TAB3",#N/A,TRUE,"GENERAL";"TAB4",#N/A,TRUE,"GENERAL";"TAB5",#N/A,TRUE,"GENERAL"}</definedName>
    <definedName name="jhg" hidden="1">{"TAB1",#N/A,TRUE,"GENERAL";"TAB2",#N/A,TRUE,"GENERAL";"TAB3",#N/A,TRUE,"GENERAL";"TAB4",#N/A,TRUE,"GENERAL";"TAB5",#N/A,TRUE,"GENERAL"}</definedName>
    <definedName name="jhjyj" localSheetId="16" hidden="1">{"via1",#N/A,TRUE,"general";"via2",#N/A,TRUE,"general";"via3",#N/A,TRUE,"general"}</definedName>
    <definedName name="jhjyj" hidden="1">{"via1",#N/A,TRUE,"general";"via2",#N/A,TRUE,"general";"via3",#N/A,TRUE,"general"}</definedName>
    <definedName name="JHK" localSheetId="16" hidden="1">{"TAB1",#N/A,TRUE,"GENERAL";"TAB2",#N/A,TRUE,"GENERAL";"TAB3",#N/A,TRUE,"GENERAL";"TAB4",#N/A,TRUE,"GENERAL";"TAB5",#N/A,TRUE,"GENERAL"}</definedName>
    <definedName name="JHK" hidden="1">{"TAB1",#N/A,TRUE,"GENERAL";"TAB2",#N/A,TRUE,"GENERAL";"TAB3",#N/A,TRUE,"GENERAL";"TAB4",#N/A,TRUE,"GENERAL";"TAB5",#N/A,TRUE,"GENERAL"}</definedName>
    <definedName name="jhkgjkvf" localSheetId="16" hidden="1">{"TAB1",#N/A,TRUE,"GENERAL";"TAB2",#N/A,TRUE,"GENERAL";"TAB3",#N/A,TRUE,"GENERAL";"TAB4",#N/A,TRUE,"GENERAL";"TAB5",#N/A,TRUE,"GENERAL"}</definedName>
    <definedName name="jhkgjkvf" hidden="1">{"TAB1",#N/A,TRUE,"GENERAL";"TAB2",#N/A,TRUE,"GENERAL";"TAB3",#N/A,TRUE,"GENERAL";"TAB4",#N/A,TRUE,"GENERAL";"TAB5",#N/A,TRUE,"GENERAL"}</definedName>
    <definedName name="jj" localSheetId="16" hidden="1">{"via1",#N/A,TRUE,"general";"via2",#N/A,TRUE,"general";"via3",#N/A,TRUE,"general"}</definedName>
    <definedName name="jj" hidden="1">{"via1",#N/A,TRUE,"general";"via2",#N/A,TRUE,"general";"via3",#N/A,TRUE,"general"}</definedName>
    <definedName name="jjfq" localSheetId="16" hidden="1">{"via1",#N/A,TRUE,"general";"via2",#N/A,TRUE,"general";"via3",#N/A,TRUE,"general"}</definedName>
    <definedName name="jjfq" hidden="1">{"via1",#N/A,TRUE,"general";"via2",#N/A,TRUE,"general";"via3",#N/A,TRUE,"general"}</definedName>
    <definedName name="jjjhjddfg" localSheetId="16" hidden="1">{"via1",#N/A,TRUE,"general";"via2",#N/A,TRUE,"general";"via3",#N/A,TRUE,"general"}</definedName>
    <definedName name="jjjhjddfg" hidden="1">{"via1",#N/A,TRUE,"general";"via2",#N/A,TRUE,"general";"via3",#N/A,TRUE,"general"}</definedName>
    <definedName name="jjjjju" localSheetId="16" hidden="1">{"via1",#N/A,TRUE,"general";"via2",#N/A,TRUE,"general";"via3",#N/A,TRUE,"general"}</definedName>
    <definedName name="jjjjju" hidden="1">{"via1",#N/A,TRUE,"general";"via2",#N/A,TRUE,"general";"via3",#N/A,TRUE,"general"}</definedName>
    <definedName name="jjujujty" localSheetId="16" hidden="1">{"TAB1",#N/A,TRUE,"GENERAL";"TAB2",#N/A,TRUE,"GENERAL";"TAB3",#N/A,TRUE,"GENERAL";"TAB4",#N/A,TRUE,"GENERAL";"TAB5",#N/A,TRUE,"GENERAL"}</definedName>
    <definedName name="jjujujty" hidden="1">{"TAB1",#N/A,TRUE,"GENERAL";"TAB2",#N/A,TRUE,"GENERAL";"TAB3",#N/A,TRUE,"GENERAL";"TAB4",#N/A,TRUE,"GENERAL";"TAB5",#N/A,TRUE,"GENERAL"}</definedName>
    <definedName name="jjyjy" localSheetId="16" hidden="1">{"via1",#N/A,TRUE,"general";"via2",#N/A,TRUE,"general";"via3",#N/A,TRUE,"general"}</definedName>
    <definedName name="jjyjy" hidden="1">{"via1",#N/A,TRUE,"general";"via2",#N/A,TRUE,"general";"via3",#N/A,TRUE,"general"}</definedName>
    <definedName name="jk">#REF!</definedName>
    <definedName name="jkikyu" localSheetId="16" hidden="1">{"TAB1",#N/A,TRUE,"GENERAL";"TAB2",#N/A,TRUE,"GENERAL";"TAB3",#N/A,TRUE,"GENERAL";"TAB4",#N/A,TRUE,"GENERAL";"TAB5",#N/A,TRUE,"GENERAL"}</definedName>
    <definedName name="jkikyu" hidden="1">{"TAB1",#N/A,TRUE,"GENERAL";"TAB2",#N/A,TRUE,"GENERAL";"TAB3",#N/A,TRUE,"GENERAL";"TAB4",#N/A,TRUE,"GENERAL";"TAB5",#N/A,TRUE,"GENERAL"}</definedName>
    <definedName name="jkk" localSheetId="16" hidden="1">{"TAB1",#N/A,TRUE,"GENERAL";"TAB2",#N/A,TRUE,"GENERAL";"TAB3",#N/A,TRUE,"GENERAL";"TAB4",#N/A,TRUE,"GENERAL";"TAB5",#N/A,TRUE,"GENERAL"}</definedName>
    <definedName name="jkk" hidden="1">{"TAB1",#N/A,TRUE,"GENERAL";"TAB2",#N/A,TRUE,"GENERAL";"TAB3",#N/A,TRUE,"GENERAL";"TAB4",#N/A,TRUE,"GENERAL";"TAB5",#N/A,TRUE,"GENERAL"}</definedName>
    <definedName name="jkl" localSheetId="16"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rnal">#REF!</definedName>
    <definedName name="jose">#REF!</definedName>
    <definedName name="JRYJ" localSheetId="16" hidden="1">{"via1",#N/A,TRUE,"general";"via2",#N/A,TRUE,"general";"via3",#N/A,TRUE,"general"}</definedName>
    <definedName name="JRYJ" hidden="1">{"via1",#N/A,TRUE,"general";"via2",#N/A,TRUE,"general";"via3",#N/A,TRUE,"general"}</definedName>
    <definedName name="jt">#REF!</definedName>
    <definedName name="jtyj" localSheetId="16" hidden="1">{"TAB1",#N/A,TRUE,"GENERAL";"TAB2",#N/A,TRUE,"GENERAL";"TAB3",#N/A,TRUE,"GENERAL";"TAB4",#N/A,TRUE,"GENERAL";"TAB5",#N/A,TRUE,"GENERAL"}</definedName>
    <definedName name="jtyj" hidden="1">{"TAB1",#N/A,TRUE,"GENERAL";"TAB2",#N/A,TRUE,"GENERAL";"TAB3",#N/A,TRUE,"GENERAL";"TAB4",#N/A,TRUE,"GENERAL";"TAB5",#N/A,TRUE,"GENERAL"}</definedName>
    <definedName name="jtyry" localSheetId="16"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6" hidden="1">{"via1",#N/A,TRUE,"general";"via2",#N/A,TRUE,"general";"via3",#N/A,TRUE,"general"}</definedName>
    <definedName name="juj" hidden="1">{"via1",#N/A,TRUE,"general";"via2",#N/A,TRUE,"general";"via3",#N/A,TRUE,"general"}</definedName>
    <definedName name="jujcx" localSheetId="16" hidden="1">{"via1",#N/A,TRUE,"general";"via2",#N/A,TRUE,"general";"via3",#N/A,TRUE,"general"}</definedName>
    <definedName name="jujcx" hidden="1">{"via1",#N/A,TRUE,"general";"via2",#N/A,TRUE,"general";"via3",#N/A,TRUE,"general"}</definedName>
    <definedName name="jujuj" localSheetId="16" hidden="1">{"via1",#N/A,TRUE,"general";"via2",#N/A,TRUE,"general";"via3",#N/A,TRUE,"general"}</definedName>
    <definedName name="jujuj" hidden="1">{"via1",#N/A,TRUE,"general";"via2",#N/A,TRUE,"general";"via3",#N/A,TRUE,"general"}</definedName>
    <definedName name="jujujuju" localSheetId="16"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16"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16" hidden="1">{"via1",#N/A,TRUE,"general";"via2",#N/A,TRUE,"general";"via3",#N/A,TRUE,"general"}</definedName>
    <definedName name="jyjt7" hidden="1">{"via1",#N/A,TRUE,"general";"via2",#N/A,TRUE,"general";"via3",#N/A,TRUE,"general"}</definedName>
    <definedName name="jyt" localSheetId="16" hidden="1">{"via1",#N/A,TRUE,"general";"via2",#N/A,TRUE,"general";"via3",#N/A,TRUE,"general"}</definedName>
    <definedName name="jyt" hidden="1">{"via1",#N/A,TRUE,"general";"via2",#N/A,TRUE,"general";"via3",#N/A,TRUE,"general"}</definedName>
    <definedName name="jytj" localSheetId="16" hidden="1">{"via1",#N/A,TRUE,"general";"via2",#N/A,TRUE,"general";"via3",#N/A,TRUE,"general"}</definedName>
    <definedName name="jytj" hidden="1">{"via1",#N/A,TRUE,"general";"via2",#N/A,TRUE,"general";"via3",#N/A,TRUE,"general"}</definedName>
    <definedName name="jyuju" localSheetId="16" hidden="1">{"via1",#N/A,TRUE,"general";"via2",#N/A,TRUE,"general";"via3",#N/A,TRUE,"general"}</definedName>
    <definedName name="jyuju" hidden="1">{"via1",#N/A,TRUE,"general";"via2",#N/A,TRUE,"general";"via3",#N/A,TRUE,"general"}</definedName>
    <definedName name="jyujyuj" localSheetId="16" hidden="1">{"via1",#N/A,TRUE,"general";"via2",#N/A,TRUE,"general";"via3",#N/A,TRUE,"general"}</definedName>
    <definedName name="jyujyuj" hidden="1">{"via1",#N/A,TRUE,"general";"via2",#N/A,TRUE,"general";"via3",#N/A,TRUE,"general"}</definedName>
    <definedName name="K" localSheetId="16" hidden="1">{"PYGT",#N/A,FALSE,"PYG";"ACTIT",#N/A,FALSE,"BCE_GRAL-ACTIVO";"PASIT",#N/A,FALSE,"BCE_GRAL-PASIVO-PATRIM";"CAJAT",#N/A,FALSE,"CAJA"}</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BBM">#REF!</definedName>
    <definedName name="KDL" localSheetId="16" hidden="1">{#N/A,#N/A,TRUE,"1842CWN0"}</definedName>
    <definedName name="KDL" hidden="1">{#N/A,#N/A,TRUE,"1842CWN0"}</definedName>
    <definedName name="KDL_1" localSheetId="16" hidden="1">{#N/A,#N/A,TRUE,"1842CWN0"}</definedName>
    <definedName name="KDL_1" hidden="1">{#N/A,#N/A,TRUE,"1842CWN0"}</definedName>
    <definedName name="KDL_2" localSheetId="16" hidden="1">{#N/A,#N/A,TRUE,"1842CWN0"}</definedName>
    <definedName name="KDL_2" hidden="1">{#N/A,#N/A,TRUE,"1842CWN0"}</definedName>
    <definedName name="KFMDKMKF">#REF!</definedName>
    <definedName name="KHGGH" localSheetId="16" hidden="1">{"via1",#N/A,TRUE,"general";"via2",#N/A,TRUE,"general";"via3",#N/A,TRUE,"general"}</definedName>
    <definedName name="KHGGH" hidden="1">{"via1",#N/A,TRUE,"general";"via2",#N/A,TRUE,"general";"via3",#N/A,TRUE,"general"}</definedName>
    <definedName name="KHJ">#REF!</definedName>
    <definedName name="khjk7" localSheetId="16" hidden="1">{"TAB1",#N/A,TRUE,"GENERAL";"TAB2",#N/A,TRUE,"GENERAL";"TAB3",#N/A,TRUE,"GENERAL";"TAB4",#N/A,TRUE,"GENERAL";"TAB5",#N/A,TRUE,"GENERAL"}</definedName>
    <definedName name="khjk7" hidden="1">{"TAB1",#N/A,TRUE,"GENERAL";"TAB2",#N/A,TRUE,"GENERAL";"TAB3",#N/A,TRUE,"GENERAL";"TAB4",#N/A,TRUE,"GENERAL";"TAB5",#N/A,TRUE,"GENERAL"}</definedName>
    <definedName name="kikik" localSheetId="16"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6" hidden="1">{"via1",#N/A,TRUE,"general";"via2",#N/A,TRUE,"general";"via3",#N/A,TRUE,"general"}</definedName>
    <definedName name="kjhkd" hidden="1">{"via1",#N/A,TRUE,"general";"via2",#N/A,TRUE,"general";"via3",#N/A,TRUE,"general"}</definedName>
    <definedName name="kjk" localSheetId="16" hidden="1">{"via1",#N/A,TRUE,"general";"via2",#N/A,TRUE,"general";"via3",#N/A,TRUE,"general"}</definedName>
    <definedName name="kjk" hidden="1">{"via1",#N/A,TRUE,"general";"via2",#N/A,TRUE,"general";"via3",#N/A,TRUE,"general"}</definedName>
    <definedName name="kjtrkjr" localSheetId="16" hidden="1">{"via1",#N/A,TRUE,"general";"via2",#N/A,TRUE,"general";"via3",#N/A,TRUE,"general"}</definedName>
    <definedName name="kjtrkjr" hidden="1">{"via1",#N/A,TRUE,"general";"via2",#N/A,TRUE,"general";"via3",#N/A,TRUE,"general"}</definedName>
    <definedName name="KK">#REF!</definedName>
    <definedName name="KKK">#REF!</definedName>
    <definedName name="kkkki" localSheetId="16" hidden="1">{"via1",#N/A,TRUE,"general";"via2",#N/A,TRUE,"general";"via3",#N/A,TRUE,"general"}</definedName>
    <definedName name="kkkki" hidden="1">{"via1",#N/A,TRUE,"general";"via2",#N/A,TRUE,"general";"via3",#N/A,TRUE,"general"}</definedName>
    <definedName name="kkkkkki" localSheetId="16"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 hidden="1">#REF!</definedName>
    <definedName name="krtrk" localSheetId="16" hidden="1">{"via1",#N/A,TRUE,"general";"via2",#N/A,TRUE,"general";"via3",#N/A,TRUE,"general"}</definedName>
    <definedName name="krtrk" hidden="1">{"via1",#N/A,TRUE,"general";"via2",#N/A,TRUE,"general";"via3",#N/A,TRUE,"general"}</definedName>
    <definedName name="kuh">#REF!</definedName>
    <definedName name="kuy">#REF!</definedName>
    <definedName name="kyr" localSheetId="16"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_TUB">#REF!</definedName>
    <definedName name="LA">#REF!</definedName>
    <definedName name="largovertedero">#REF!</definedName>
    <definedName name="Last_Row">#N/A</definedName>
    <definedName name="Lavamanos">#REF!</definedName>
    <definedName name="Lb">#REF!</definedName>
    <definedName name="Ld">#REF!</definedName>
    <definedName name="Le">#REF!</definedName>
    <definedName name="lev0.1">#REF!</definedName>
    <definedName name="Lf">#REF!</definedName>
    <definedName name="Lh">#REF!</definedName>
    <definedName name="Li">#REF!</definedName>
    <definedName name="LICITACION">#REF!</definedName>
    <definedName name="LIMATESA">#REF!</definedName>
    <definedName name="LIMPIO">#REF!</definedName>
    <definedName name="LINEA">#REF!</definedName>
    <definedName name="LISBASE1">#REF!</definedName>
    <definedName name="LISBASE2">#REF!</definedName>
    <definedName name="List_cuadrillas">#REF!</definedName>
    <definedName name="LIST_MATERIAL">#REF!</definedName>
    <definedName name="LISTA">#REF!</definedName>
    <definedName name="LISTA_MATER">#REF!</definedName>
    <definedName name="LISTADO_OBRERO">#REF!</definedName>
    <definedName name="LISTADOEQUIPOS">#REF!</definedName>
    <definedName name="LISTADOMATERIALES">#REF!</definedName>
    <definedName name="LISTADOMO">#REF!</definedName>
    <definedName name="LISTADOTRANSPORTES">#REF!</definedName>
    <definedName name="LISTON_2_2">#REF!</definedName>
    <definedName name="LISTON2">#REF!</definedName>
    <definedName name="LISTON2x4x15">#REF!</definedName>
    <definedName name="liuoo" localSheetId="16"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16" hidden="1">{"via1",#N/A,TRUE,"general";"via2",#N/A,TRUE,"general";"via3",#N/A,TRUE,"general"}</definedName>
    <definedName name="lkj" hidden="1">{"via1",#N/A,TRUE,"general";"via2",#N/A,TRUE,"general";"via3",#N/A,TRUE,"general"}</definedName>
    <definedName name="LKJLJK" localSheetId="16"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enov">#REF!</definedName>
    <definedName name="Lll">#REF!</definedName>
    <definedName name="lllllh" localSheetId="16" hidden="1">{"via1",#N/A,TRUE,"general";"via2",#N/A,TRUE,"general";"via3",#N/A,TRUE,"general"}</definedName>
    <definedName name="lllllh" hidden="1">{"via1",#N/A,TRUE,"general";"via2",#N/A,TRUE,"general";"via3",#N/A,TRUE,"general"}</definedName>
    <definedName name="lllllllo" localSheetId="16"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 localSheetId="16"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#REF!</definedName>
    <definedName name="LOCA1">#REF!</definedName>
    <definedName name="LOCALIZACION">#REF!</definedName>
    <definedName name="LOCALIZACIÓN_Y_REPLANTEO._ESTRUCTURAS">#REF!</definedName>
    <definedName name="LOCALIZACIONV">#REF!</definedName>
    <definedName name="localizamuro">#REF!</definedName>
    <definedName name="LOI">#REF!</definedName>
    <definedName name="lolol" localSheetId="16"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desarenador">#REF!</definedName>
    <definedName name="LOPE">#REF!</definedName>
    <definedName name="Lp">#REF!</definedName>
    <definedName name="lplpl" localSheetId="16"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 localSheetId="16" hidden="1">{"TAB1",#N/A,TRUE,"GENERAL";"TAB2",#N/A,TRUE,"GENERAL";"TAB3",#N/A,TRUE,"GENERAL";"TAB4",#N/A,TRUE,"GENERAL";"TAB5",#N/A,TRUE,"GENERAL"}</definedName>
    <definedName name="lucy" hidden="1">{"TAB1",#N/A,TRUE,"GENERAL";"TAB2",#N/A,TRUE,"GENERAL";"TAB3",#N/A,TRUE,"GENERAL";"TAB4",#N/A,TRUE,"GENERAL";"TAB5",#N/A,TRUE,"GENERAL"}</definedName>
    <definedName name="Lz">#REF!</definedName>
    <definedName name="m">#REF!</definedName>
    <definedName name="M.O" comment="Mano de obra">#REF!</definedName>
    <definedName name="M.O_D18C">#REF!</definedName>
    <definedName name="Ma">#REF!</definedName>
    <definedName name="mac">#REF!</definedName>
    <definedName name="MACROMEDIDORES">#REF!</definedName>
    <definedName name="MAESTRO">#REF!</definedName>
    <definedName name="mafdsf" localSheetId="16" hidden="1">{"via1",#N/A,TRUE,"general";"via2",#N/A,TRUE,"general";"via3",#N/A,TRUE,"general"}</definedName>
    <definedName name="mafdsf" hidden="1">{"via1",#N/A,TRUE,"general";"via2",#N/A,TRUE,"general";"via3",#N/A,TRUE,"general"}</definedName>
    <definedName name="MAL">#REF!&lt;2.5</definedName>
    <definedName name="MALLA">#REF!</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GLE">#REF!</definedName>
    <definedName name="MANO_DE_OBRA">#REF!</definedName>
    <definedName name="MANO_O">#REF!</definedName>
    <definedName name="MANOAA">#REF!</definedName>
    <definedName name="MANOBB">#REF!</definedName>
    <definedName name="MANOBRA">#REF!</definedName>
    <definedName name="MANOCC">#REF!</definedName>
    <definedName name="MANODD">#REF!</definedName>
    <definedName name="MANODEOBRA">#REF!</definedName>
    <definedName name="MANOEE">#REF!</definedName>
    <definedName name="mantenimiento">#REF!</definedName>
    <definedName name="mao" localSheetId="16" hidden="1">{"TAB1",#N/A,TRUE,"GENERAL";"TAB2",#N/A,TRUE,"GENERAL";"TAB3",#N/A,TRUE,"GENERAL";"TAB4",#N/A,TRUE,"GENERAL";"TAB5",#N/A,TRUE,"GENERAL"}</definedName>
    <definedName name="mao" hidden="1">{"TAB1",#N/A,TRUE,"GENERAL";"TAB2",#N/A,TRUE,"GENERAL";"TAB3",#N/A,TRUE,"GENERAL";"TAB4",#N/A,TRUE,"GENERAL";"TAB5",#N/A,TRUE,"GENERAL"}</definedName>
    <definedName name="maow" localSheetId="16" hidden="1">{"via1",#N/A,TRUE,"general";"via2",#N/A,TRUE,"general";"via3",#N/A,TRUE,"general"}</definedName>
    <definedName name="maow" hidden="1">{"via1",#N/A,TRUE,"general";"via2",#N/A,TRUE,"general";"via3",#N/A,TRUE,"general"}</definedName>
    <definedName name="MAP">#REF!</definedName>
    <definedName name="Maquinaria">#REF!</definedName>
    <definedName name="MAQUINARIA_EQUIPOS">#REF!</definedName>
    <definedName name="MAR">#REF!</definedName>
    <definedName name="MARAVILLA" localSheetId="16" hidden="1">{"PRES REHAB ARM-PER POR ITEMS  KM A KM",#N/A,TRUE,"Rehabilitacion Arm-Per"}</definedName>
    <definedName name="MARAVILLA" hidden="1">{"PRES REHAB ARM-PER POR ITEMS  KM A KM",#N/A,TRUE,"Rehabilitacion Arm-Per"}</definedName>
    <definedName name="MarkP" localSheetId="16"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A">IF(Loan_Amount*Interest_Rate*Loan_Years*Loan_Start&gt;0,1,0)</definedName>
    <definedName name="MARTHA">#REF!</definedName>
    <definedName name="MARYLUZ" localSheetId="16" hidden="1">{"PRES REHAB ARM-PER POR ITEMS  KM A KM",#N/A,TRUE,"Rehabilitacion Arm-Per"}</definedName>
    <definedName name="MARYLUZ" hidden="1">{"PRES REHAB ARM-PER POR ITEMS  KM A KM",#N/A,TRUE,"Rehabilitacion Arm-Per"}</definedName>
    <definedName name="masor" localSheetId="16" hidden="1">{"via1",#N/A,TRUE,"general";"via2",#N/A,TRUE,"general";"via3",#N/A,TRUE,"general"}</definedName>
    <definedName name="masor" hidden="1">{"via1",#N/A,TRUE,"general";"via2",#N/A,TRUE,"general";"via3",#N/A,TRUE,"general"}</definedName>
    <definedName name="MAT">#REF!</definedName>
    <definedName name="mAT_MANO">#REF!</definedName>
    <definedName name="MAT_MATER">#REF!</definedName>
    <definedName name="MATER">#REF!</definedName>
    <definedName name="MATERIAL">#REF!</definedName>
    <definedName name="MATERIALES">#REF!</definedName>
    <definedName name="MATRIZ_OBRERO">#REF!</definedName>
    <definedName name="MAY">#REF!</definedName>
    <definedName name="Mb">#REF!</definedName>
    <definedName name="Mcotas">#REF!</definedName>
    <definedName name="md">#REF!</definedName>
    <definedName name="MDC">#REF!</definedName>
    <definedName name="mdd" localSheetId="16" hidden="1">{"via1",#N/A,TRUE,"general";"via2",#N/A,TRUE,"general";"via3",#N/A,TRUE,"general"}</definedName>
    <definedName name="mdd" hidden="1">{"via1",#N/A,TRUE,"general";"via2",#N/A,TRUE,"general";"via3",#N/A,TRUE,"general"}</definedName>
    <definedName name="mdo">#REF!</definedName>
    <definedName name="ME">#REF!</definedName>
    <definedName name="meg" localSheetId="16"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#REF!</definedName>
    <definedName name="meses">#REF!</definedName>
    <definedName name="met" localSheetId="16" hidden="1">{#N/A,#N/A,TRUE,"1842CWN0"}</definedName>
    <definedName name="met" hidden="1">{#N/A,#N/A,TRUE,"1842CWN0"}</definedName>
    <definedName name="met_1" localSheetId="16" hidden="1">{#N/A,#N/A,TRUE,"1842CWN0"}</definedName>
    <definedName name="met_1" hidden="1">{#N/A,#N/A,TRUE,"1842CWN0"}</definedName>
    <definedName name="met_2" localSheetId="16" hidden="1">{#N/A,#N/A,TRUE,"1842CWN0"}</definedName>
    <definedName name="met_2" hidden="1">{#N/A,#N/A,TRUE,"1842CWN0"}</definedName>
    <definedName name="META">#REF!</definedName>
    <definedName name="metal" localSheetId="16" hidden="1">{#N/A,#N/A,TRUE,"1842CWN0"}</definedName>
    <definedName name="metal" hidden="1">{#N/A,#N/A,TRUE,"1842CWN0"}</definedName>
    <definedName name="metal_1" localSheetId="16" hidden="1">{#N/A,#N/A,TRUE,"1842CWN0"}</definedName>
    <definedName name="metal_1" hidden="1">{#N/A,#N/A,TRUE,"1842CWN0"}</definedName>
    <definedName name="metal_2" localSheetId="16" hidden="1">{#N/A,#N/A,TRUE,"1842CWN0"}</definedName>
    <definedName name="metal_2" hidden="1">{#N/A,#N/A,TRUE,"1842CWN0"}</definedName>
    <definedName name="MEZCLADORA">#REF!</definedName>
    <definedName name="mf">#REF!</definedName>
    <definedName name="mfgjrdt" localSheetId="16" hidden="1">{"TAB1",#N/A,TRUE,"GENERAL";"TAB2",#N/A,TRUE,"GENERAL";"TAB3",#N/A,TRUE,"GENERAL";"TAB4",#N/A,TRUE,"GENERAL";"TAB5",#N/A,TRUE,"GENERAL"}</definedName>
    <definedName name="mfgjrdt" hidden="1">{"TAB1",#N/A,TRUE,"GENERAL";"TAB2",#N/A,TRUE,"GENERAL";"TAB3",#N/A,TRUE,"GENERAL";"TAB4",#N/A,TRUE,"GENERAL";"TAB5",#N/A,TRUE,"GENERAL"}</definedName>
    <definedName name="mghm" localSheetId="16"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ínimo">#REF!</definedName>
    <definedName name="MiT">#REF!</definedName>
    <definedName name="MiV">#REF!</definedName>
    <definedName name="mjmj" localSheetId="16" hidden="1">{"via1",#N/A,TRUE,"general";"via2",#N/A,TRUE,"general";"via3",#N/A,TRUE,"general"}</definedName>
    <definedName name="mjmj" hidden="1">{"via1",#N/A,TRUE,"general";"via2",#N/A,TRUE,"general";"via3",#N/A,TRUE,"general"}</definedName>
    <definedName name="mjmjmn" localSheetId="16" hidden="1">{"via1",#N/A,TRUE,"general";"via2",#N/A,TRUE,"general";"via3",#N/A,TRUE,"general"}</definedName>
    <definedName name="mjmjmn" hidden="1">{"via1",#N/A,TRUE,"general";"via2",#N/A,TRUE,"general";"via3",#N/A,TRUE,"general"}</definedName>
    <definedName name="mjnhgkio" localSheetId="16"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m">#REF!</definedName>
    <definedName name="MmIL">#REF!</definedName>
    <definedName name="mmjmjh" localSheetId="16" hidden="1">{"TAB1",#N/A,TRUE,"GENERAL";"TAB2",#N/A,TRUE,"GENERAL";"TAB3",#N/A,TRUE,"GENERAL";"TAB4",#N/A,TRUE,"GENERAL";"TAB5",#N/A,TRUE,"GENERAL"}</definedName>
    <definedName name="mmjmjh" hidden="1">{"TAB1",#N/A,TRUE,"GENERAL";"TAB2",#N/A,TRUE,"GENERAL";"TAB3",#N/A,TRUE,"GENERAL";"TAB4",#N/A,TRUE,"GENERAL";"TAB5",#N/A,TRUE,"GENERAL"}</definedName>
    <definedName name="mmm" localSheetId="16" hidden="1">{"TAB1",#N/A,TRUE,"GENERAL";"TAB2",#N/A,TRUE,"GENERAL";"TAB3",#N/A,TRUE,"GENERAL";"TAB4",#N/A,TRUE,"GENERAL";"TAB5",#N/A,TRUE,"GENERAL"}</definedName>
    <definedName name="mmm" hidden="1">{"TAB1",#N/A,TRUE,"GENERAL";"TAB2",#N/A,TRUE,"GENERAL";"TAB3",#N/A,TRUE,"GENERAL";"TAB4",#N/A,TRUE,"GENERAL";"TAB5",#N/A,TRUE,"GENERAL"}</definedName>
    <definedName name="mmmh" localSheetId="16" hidden="1">{"via1",#N/A,TRUE,"general";"via2",#N/A,TRUE,"general";"via3",#N/A,TRUE,"general"}</definedName>
    <definedName name="mmmh" hidden="1">{"via1",#N/A,TRUE,"general";"via2",#N/A,TRUE,"general";"via3",#N/A,TRUE,"general"}</definedName>
    <definedName name="mmmmmjyt" localSheetId="16" hidden="1">{"TAB1",#N/A,TRUE,"GENERAL";"TAB2",#N/A,TRUE,"GENERAL";"TAB3",#N/A,TRUE,"GENERAL";"TAB4",#N/A,TRUE,"GENERAL";"TAB5",#N/A,TRUE,"GENERAL"}</definedName>
    <definedName name="mmmmmjyt" hidden="1">{"TAB1",#N/A,TRUE,"GENERAL";"TAB2",#N/A,TRUE,"GENERAL";"TAB3",#N/A,TRUE,"GENERAL";"TAB4",#N/A,TRUE,"GENERAL";"TAB5",#N/A,TRUE,"GENERAL"}</definedName>
    <definedName name="mmmmmmg" localSheetId="16" hidden="1">{"via1",#N/A,TRUE,"general";"via2",#N/A,TRUE,"general";"via3",#N/A,TRUE,"general"}</definedName>
    <definedName name="mmmmmmg" hidden="1">{"via1",#N/A,TRUE,"general";"via2",#N/A,TRUE,"general";"via3",#N/A,TRUE,"general"}</definedName>
    <definedName name="MN" localSheetId="16" hidden="1">{"via1",#N/A,TRUE,"general";"via2",#N/A,TRUE,"general";"via3",#N/A,TRUE,"general"}</definedName>
    <definedName name="MN" hidden="1">{"via1",#N/A,TRUE,"general";"via2",#N/A,TRUE,"general";"via3",#N/A,TRUE,"general"}</definedName>
    <definedName name="MNO">#REF!</definedName>
    <definedName name="MO">#REF!</definedName>
    <definedName name="mobra">#REF!</definedName>
    <definedName name="MOdificad" hidden="1">#REF!</definedName>
    <definedName name="MORTE12">#REF!</definedName>
    <definedName name="MORTE14">#REF!</definedName>
    <definedName name="morte15">#REF!</definedName>
    <definedName name="MORTE16">#REF!</definedName>
    <definedName name="MORTERO_1_4">#REF!</definedName>
    <definedName name="MORTERO14IMP">#REF!</definedName>
    <definedName name="MORTERO14N">#REF!</definedName>
    <definedName name="MORTERO15">#REF!</definedName>
    <definedName name="MOTO">#REF!</definedName>
    <definedName name="motosierra">#REF!</definedName>
    <definedName name="mr">#REF!</definedName>
    <definedName name="Mtotalizado">#REF!</definedName>
    <definedName name="MU">#REF!</definedName>
    <definedName name="MULTI">#REF!</definedName>
    <definedName name="muro">#REF!</definedName>
    <definedName name="murocontencion">#REF!</definedName>
    <definedName name="MZ">#REF!</definedName>
    <definedName name="N">#REF!</definedName>
    <definedName name="Na">#REF!</definedName>
    <definedName name="nana">#REF!</definedName>
    <definedName name="Nb">#REF!</definedName>
    <definedName name="nbv">#REF!</definedName>
    <definedName name="nbvnv" localSheetId="16" hidden="1">{"via1",#N/A,TRUE,"general";"via2",#N/A,TRUE,"general";"via3",#N/A,TRUE,"general"}</definedName>
    <definedName name="nbvnv" hidden="1">{"via1",#N/A,TRUE,"general";"via2",#N/A,TRUE,"general";"via3",#N/A,TRUE,"general"}</definedName>
    <definedName name="Nc">#REF!</definedName>
    <definedName name="Nd">#REF!</definedName>
    <definedName name="NDHS" localSheetId="16"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S">#REF!</definedName>
    <definedName name="nf" localSheetId="16" hidden="1">{"TAB1",#N/A,TRUE,"GENERAL";"TAB2",#N/A,TRUE,"GENERAL";"TAB3",#N/A,TRUE,"GENERAL";"TAB4",#N/A,TRUE,"GENERAL";"TAB5",#N/A,TRUE,"GENERAL"}</definedName>
    <definedName name="nf" hidden="1">{"TAB1",#N/A,TRUE,"GENERAL";"TAB2",#N/A,TRUE,"GENERAL";"TAB3",#N/A,TRUE,"GENERAL";"TAB4",#N/A,TRUE,"GENERAL";"TAB5",#N/A,TRUE,"GENERAL"}</definedName>
    <definedName name="nfg" localSheetId="16" hidden="1">{"via1",#N/A,TRUE,"general";"via2",#N/A,TRUE,"general";"via3",#N/A,TRUE,"general"}</definedName>
    <definedName name="nfg" hidden="1">{"via1",#N/A,TRUE,"general";"via2",#N/A,TRUE,"general";"via3",#N/A,TRUE,"general"}</definedName>
    <definedName name="nfgn" localSheetId="16" hidden="1">{"via1",#N/A,TRUE,"general";"via2",#N/A,TRUE,"general";"via3",#N/A,TRUE,"general"}</definedName>
    <definedName name="nfgn" hidden="1">{"via1",#N/A,TRUE,"general";"via2",#N/A,TRUE,"general";"via3",#N/A,TRUE,"general"}</definedName>
    <definedName name="ngdn" localSheetId="16" hidden="1">{"TAB1",#N/A,TRUE,"GENERAL";"TAB2",#N/A,TRUE,"GENERAL";"TAB3",#N/A,TRUE,"GENERAL";"TAB4",#N/A,TRUE,"GENERAL";"TAB5",#N/A,TRUE,"GENERAL"}</definedName>
    <definedName name="ngdn" hidden="1">{"TAB1",#N/A,TRUE,"GENERAL";"TAB2",#N/A,TRUE,"GENERAL";"TAB3",#N/A,TRUE,"GENERAL";"TAB4",#N/A,TRUE,"GENERAL";"TAB5",#N/A,TRUE,"GENERAL"}</definedName>
    <definedName name="ngfh" localSheetId="16" hidden="1">{"via1",#N/A,TRUE,"general";"via2",#N/A,TRUE,"general";"via3",#N/A,TRUE,"general"}</definedName>
    <definedName name="ngfh" hidden="1">{"via1",#N/A,TRUE,"general";"via2",#N/A,TRUE,"general";"via3",#N/A,TRUE,"general"}</definedName>
    <definedName name="NHG">#REF!</definedName>
    <definedName name="nhn" localSheetId="16" hidden="1">{"via1",#N/A,TRUE,"general";"via2",#N/A,TRUE,"general";"via3",#N/A,TRUE,"general"}</definedName>
    <definedName name="nhn" hidden="1">{"via1",#N/A,TRUE,"general";"via2",#N/A,TRUE,"general";"via3",#N/A,TRUE,"general"}</definedName>
    <definedName name="nhncfgn" localSheetId="16" hidden="1">{"TAB1",#N/A,TRUE,"GENERAL";"TAB2",#N/A,TRUE,"GENERAL";"TAB3",#N/A,TRUE,"GENERAL";"TAB4",#N/A,TRUE,"GENERAL";"TAB5",#N/A,TRUE,"GENERAL"}</definedName>
    <definedName name="nhncfgn" hidden="1">{"TAB1",#N/A,TRUE,"GENERAL";"TAB2",#N/A,TRUE,"GENERAL";"TAB3",#N/A,TRUE,"GENERAL";"TAB4",#N/A,TRUE,"GENERAL";"TAB5",#N/A,TRUE,"GENERAL"}</definedName>
    <definedName name="nhndr" localSheetId="16" hidden="1">{"via1",#N/A,TRUE,"general";"via2",#N/A,TRUE,"general";"via3",#N/A,TRUE,"general"}</definedName>
    <definedName name="nhndr" hidden="1">{"via1",#N/A,TRUE,"general";"via2",#N/A,TRUE,"general";"via3",#N/A,TRUE,"general"}</definedName>
    <definedName name="nic_nis">#REF!</definedName>
    <definedName name="ninguno">#REF!</definedName>
    <definedName name="NJH">#REF!</definedName>
    <definedName name="NM">#REF!</definedName>
    <definedName name="nmmmm" localSheetId="16" hidden="1">{"via1",#N/A,TRUE,"general";"via2",#N/A,TRUE,"general";"via3",#N/A,TRUE,"general"}</definedName>
    <definedName name="nmmmm" hidden="1">{"via1",#N/A,TRUE,"general";"via2",#N/A,TRUE,"general";"via3",#N/A,TRUE,"general"}</definedName>
    <definedName name="NN" localSheetId="16" hidden="1">{"TAB1",#N/A,TRUE,"GENERAL";"TAB2",#N/A,TRUE,"GENERAL";"TAB3",#N/A,TRUE,"GENERAL";"TAB4",#N/A,TRUE,"GENERAL";"TAB5",#N/A,TRUE,"GENERAL"}</definedName>
    <definedName name="NN" hidden="1">{"TAB1",#N/A,TRUE,"GENERAL";"TAB2",#N/A,TRUE,"GENERAL";"TAB3",#N/A,TRUE,"GENERAL";"TAB4",#N/A,TRUE,"GENERAL";"TAB5",#N/A,TRUE,"GENERAL"}</definedName>
    <definedName name="nndng" localSheetId="16" hidden="1">{"TAB1",#N/A,TRUE,"GENERAL";"TAB2",#N/A,TRUE,"GENERAL";"TAB3",#N/A,TRUE,"GENERAL";"TAB4",#N/A,TRUE,"GENERAL";"TAB5",#N/A,TRUE,"GENERAL"}</definedName>
    <definedName name="nndng" hidden="1">{"TAB1",#N/A,TRUE,"GENERAL";"TAB2",#N/A,TRUE,"GENERAL";"TAB3",#N/A,TRUE,"GENERAL";"TAB4",#N/A,TRUE,"GENERAL";"TAB5",#N/A,TRUE,"GENERAL"}</definedName>
    <definedName name="nnn" localSheetId="16" hidden="1">{"TAB1",#N/A,TRUE,"GENERAL";"TAB2",#N/A,TRUE,"GENERAL";"TAB3",#N/A,TRUE,"GENERAL";"TAB4",#N/A,TRUE,"GENERAL";"TAB5",#N/A,TRUE,"GENERAL"}</definedName>
    <definedName name="nnn" hidden="1">{"TAB1",#N/A,TRUE,"GENERAL";"TAB2",#N/A,TRUE,"GENERAL";"TAB3",#N/A,TRUE,"GENERAL";"TAB4",#N/A,TRUE,"GENERAL";"TAB5",#N/A,TRUE,"GENERAL"}</definedName>
    <definedName name="nnnhd" localSheetId="16" hidden="1">{"via1",#N/A,TRUE,"general";"via2",#N/A,TRUE,"general";"via3",#N/A,TRUE,"general"}</definedName>
    <definedName name="nnnhd" hidden="1">{"via1",#N/A,TRUE,"general";"via2",#N/A,TRUE,"general";"via3",#N/A,TRUE,"general"}</definedName>
    <definedName name="nnnnn" localSheetId="16" hidden="1">{"via1",#N/A,TRUE,"general";"via2",#N/A,TRUE,"general";"via3",#N/A,TRUE,"general"}</definedName>
    <definedName name="nnnnn" hidden="1">{"via1",#N/A,TRUE,"general";"via2",#N/A,TRUE,"general";"via3",#N/A,TRUE,"general"}</definedName>
    <definedName name="nnnnnd" localSheetId="16" hidden="1">{"TAB1",#N/A,TRUE,"GENERAL";"TAB2",#N/A,TRUE,"GENERAL";"TAB3",#N/A,TRUE,"GENERAL";"TAB4",#N/A,TRUE,"GENERAL";"TAB5",#N/A,TRUE,"GENERAL"}</definedName>
    <definedName name="nnnnnd" hidden="1">{"TAB1",#N/A,TRUE,"GENERAL";"TAB2",#N/A,TRUE,"GENERAL";"TAB3",#N/A,TRUE,"GENERAL";"TAB4",#N/A,TRUE,"GENERAL";"TAB5",#N/A,TRUE,"GENERAL"}</definedName>
    <definedName name="nnnnnf" localSheetId="16" hidden="1">{"TAB1",#N/A,TRUE,"GENERAL";"TAB2",#N/A,TRUE,"GENERAL";"TAB3",#N/A,TRUE,"GENERAL";"TAB4",#N/A,TRUE,"GENERAL";"TAB5",#N/A,TRUE,"GENERAL"}</definedName>
    <definedName name="nnnnnf" hidden="1">{"TAB1",#N/A,TRUE,"GENERAL";"TAB2",#N/A,TRUE,"GENERAL";"TAB3",#N/A,TRUE,"GENERAL";"TAB4",#N/A,TRUE,"GENERAL";"TAB5",#N/A,TRUE,"GENERAL"}</definedName>
    <definedName name="nnnnnh" localSheetId="16" hidden="1">{"via1",#N/A,TRUE,"general";"via2",#N/A,TRUE,"general";"via3",#N/A,TRUE,"general"}</definedName>
    <definedName name="nnnnnh" hidden="1">{"via1",#N/A,TRUE,"general";"via2",#N/A,TRUE,"general";"via3",#N/A,TRUE,"general"}</definedName>
    <definedName name="NO" localSheetId="16" hidden="1">{"PYGT",#N/A,FALSE,"PYG";"ACTIT",#N/A,FALSE,"BCE_GRAL-ACTIVO";"PASIT",#N/A,FALSE,"BCE_GRAL-PASIVO-PATRIM";"CAJAT",#N/A,FALSE,"CAJA"}</definedName>
    <definedName name="NO" hidden="1">{"PYGT",#N/A,FALSE,"PYG";"ACTIT",#N/A,FALSE,"BCE_GRAL-ACTIVO";"PASIT",#N/A,FALSE,"BCE_GRAL-PASIVO-PATRIM";"CAJAT",#N/A,FALSE,"CAJA"}</definedName>
    <definedName name="No.">#REF!</definedName>
    <definedName name="NoFacturable">#REF!</definedName>
    <definedName name="NOMBRE">#REF!</definedName>
    <definedName name="Nombres_Materiales">#REF!</definedName>
    <definedName name="NOV">#REF!</definedName>
    <definedName name="nr">#REF!</definedName>
    <definedName name="nt">#REF!</definedName>
    <definedName name="NUEVO">#REF!</definedName>
    <definedName name="Num_Pmt_Per_Year">#REF!</definedName>
    <definedName name="Number_of_Payments">MATCH(0.01,End_Bal,-1)+1</definedName>
    <definedName name="NUMERO">#REF!</definedName>
    <definedName name="NUNI">#REF!</definedName>
    <definedName name="nxn" localSheetId="16"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localSheetId="16" hidden="1">{"via1",#N/A,TRUE,"general";"via2",#N/A,TRUE,"general";"via3",#N/A,TRUE,"general"}</definedName>
    <definedName name="ñpñpñ" hidden="1">{"via1",#N/A,TRUE,"general";"via2",#N/A,TRUE,"general";"via3",#N/A,TRUE,"general"}</definedName>
    <definedName name="ñpo">#REF!</definedName>
    <definedName name="o9o9" localSheetId="16" hidden="1">{"via1",#N/A,TRUE,"general";"via2",#N/A,TRUE,"general";"via3",#N/A,TRUE,"general"}</definedName>
    <definedName name="o9o9" hidden="1">{"via1",#N/A,TRUE,"general";"via2",#N/A,TRUE,"general";"via3",#N/A,TRUE,"general"}</definedName>
    <definedName name="Obra">#REF!</definedName>
    <definedName name="OBSERV">#REF!</definedName>
    <definedName name="OCT">#REF!</definedName>
    <definedName name="oera" localSheetId="16" hidden="1">{#N/A,#N/A,FALSE,"Aging Summary";#N/A,#N/A,FALSE,"Ratio Analysis";#N/A,#N/A,FALSE,"Test 120 Day Accts";#N/A,#N/A,FALSE,"Tickmarks"}</definedName>
    <definedName name="oera" hidden="1">{#N/A,#N/A,FALSE,"Aging Summary";#N/A,#N/A,FALSE,"Ratio Analysis";#N/A,#N/A,FALSE,"Test 120 Day Accts";#N/A,#N/A,FALSE,"Tickmarks"}</definedName>
    <definedName name="OFI">#REF!</definedName>
    <definedName name="OFICIAL">#REF!</definedName>
    <definedName name="Oficina">#REF!</definedName>
    <definedName name="oiret" localSheetId="16" hidden="1">{"TAB1",#N/A,TRUE,"GENERAL";"TAB2",#N/A,TRUE,"GENERAL";"TAB3",#N/A,TRUE,"GENERAL";"TAB4",#N/A,TRUE,"GENERAL";"TAB5",#N/A,TRUE,"GENERAL"}</definedName>
    <definedName name="oiret" hidden="1">{"TAB1",#N/A,TRUE,"GENERAL";"TAB2",#N/A,TRUE,"GENERAL";"TAB3",#N/A,TRUE,"GENERAL";"TAB4",#N/A,TRUE,"GENERAL";"TAB5",#N/A,TRUE,"GENERAL"}</definedName>
    <definedName name="oirgrth" localSheetId="16" hidden="1">{"TAB1",#N/A,TRUE,"GENERAL";"TAB2",#N/A,TRUE,"GENERAL";"TAB3",#N/A,TRUE,"GENERAL";"TAB4",#N/A,TRUE,"GENERAL";"TAB5",#N/A,TRUE,"GENERAL"}</definedName>
    <definedName name="oirgrth" hidden="1">{"TAB1",#N/A,TRUE,"GENERAL";"TAB2",#N/A,TRUE,"GENERAL";"TAB3",#N/A,TRUE,"GENERAL";"TAB4",#N/A,TRUE,"GENERAL";"TAB5",#N/A,TRUE,"GENERAL"}</definedName>
    <definedName name="OIUOIU" localSheetId="16" hidden="1">{"via1",#N/A,TRUE,"general";"via2",#N/A,TRUE,"general";"via3",#N/A,TRUE,"general"}</definedName>
    <definedName name="OIUOIU" hidden="1">{"via1",#N/A,TRUE,"general";"via2",#N/A,TRUE,"general";"via3",#N/A,TRUE,"general"}</definedName>
    <definedName name="ok">#REF!</definedName>
    <definedName name="om">#REF!</definedName>
    <definedName name="oo">#REF!</definedName>
    <definedName name="ooo" localSheetId="16" hidden="1">{"via1",#N/A,TRUE,"general";"via2",#N/A,TRUE,"general";"via3",#N/A,TRUE,"general"}</definedName>
    <definedName name="ooo" hidden="1">{"via1",#N/A,TRUE,"general";"via2",#N/A,TRUE,"general";"via3",#N/A,TRUE,"general"}</definedName>
    <definedName name="ooooiii" localSheetId="16" hidden="1">{"TAB1",#N/A,TRUE,"GENERAL";"TAB2",#N/A,TRUE,"GENERAL";"TAB3",#N/A,TRUE,"GENERAL";"TAB4",#N/A,TRUE,"GENERAL";"TAB5",#N/A,TRUE,"GENERAL"}</definedName>
    <definedName name="ooooiii" hidden="1">{"TAB1",#N/A,TRUE,"GENERAL";"TAB2",#N/A,TRUE,"GENERAL";"TAB3",#N/A,TRUE,"GENERAL";"TAB4",#N/A,TRUE,"GENERAL";"TAB5",#N/A,TRUE,"GENERAL"}</definedName>
    <definedName name="oooos" localSheetId="16" hidden="1">{"via1",#N/A,TRUE,"general";"via2",#N/A,TRUE,"general";"via3",#N/A,TRUE,"general"}</definedName>
    <definedName name="oooos" hidden="1">{"via1",#N/A,TRUE,"general";"via2",#N/A,TRUE,"general";"via3",#N/A,TRUE,"general"}</definedName>
    <definedName name="OP">#REF!</definedName>
    <definedName name="OrigenConsultoria">#REF!</definedName>
    <definedName name="OrigenObra">#REF!</definedName>
    <definedName name="ORO">#REF!</definedName>
    <definedName name="os">#REF!</definedName>
    <definedName name="p">#REF!</definedName>
    <definedName name="p0p0" localSheetId="16" hidden="1">{"via1",#N/A,TRUE,"general";"via2",#N/A,TRUE,"general";"via3",#N/A,TRUE,"general"}</definedName>
    <definedName name="p0p0" hidden="1">{"via1",#N/A,TRUE,"general";"via2",#N/A,TRUE,"general";"via3",#N/A,TRUE,"general"}</definedName>
    <definedName name="Pa">#REF!</definedName>
    <definedName name="pañet">#REF!</definedName>
    <definedName name="paquete1.5tons">#REF!</definedName>
    <definedName name="paquete10tons">#REF!</definedName>
    <definedName name="paquete12.5tons">#REF!</definedName>
    <definedName name="paquete15tons">#REF!</definedName>
    <definedName name="paquete2.5tons">#REF!</definedName>
    <definedName name="paquete20tons">#REF!</definedName>
    <definedName name="paquete25tons">#REF!</definedName>
    <definedName name="paquete2tons">#REF!</definedName>
    <definedName name="paquete30tons">#REF!</definedName>
    <definedName name="paquete3tons">#REF!</definedName>
    <definedName name="paquete4tons">#REF!</definedName>
    <definedName name="paquete5tons">#REF!</definedName>
    <definedName name="paquete7.5tons">#REF!</definedName>
    <definedName name="PARAMETROS">#REF!</definedName>
    <definedName name="particulares1" localSheetId="16" hidden="1">{#N/A,#N/A,FALSE,"Aging Summary";#N/A,#N/A,FALSE,"Ratio Analysis";#N/A,#N/A,FALSE,"Test 120 Day Accts";#N/A,#N/A,FALSE,"Tickmarks"}</definedName>
    <definedName name="particulares1" hidden="1">{#N/A,#N/A,FALSE,"Aging Summary";#N/A,#N/A,FALSE,"Ratio Analysis";#N/A,#N/A,FALSE,"Test 120 Day Accts";#N/A,#N/A,FALSE,"Tickmarks"}</definedName>
    <definedName name="pasamanos">#REF!</definedName>
    <definedName name="PATIOS">#REF!</definedName>
    <definedName name="pav_asf">#REF!</definedName>
    <definedName name="pav_cto">#REF!</definedName>
    <definedName name="pavimento">#REF!</definedName>
    <definedName name="Pay_Date">#REF!</definedName>
    <definedName name="Pay_Num">#REF!</definedName>
    <definedName name="Payment_Date">DATE(YEAR(Loan_Start),MONTH(Loan_Start)+Payment_Number,DAY(Loan_Start))</definedName>
    <definedName name="PAZ">#REF!</definedName>
    <definedName name="Pb">#REF!</definedName>
    <definedName name="Pc">#REF!</definedName>
    <definedName name="Pd">#REF!</definedName>
    <definedName name="Pe">#REF!</definedName>
    <definedName name="Pegante_PVC">#REF!</definedName>
    <definedName name="PEGAPVC">#REF!</definedName>
    <definedName name="PER_PAV">#REF!</definedName>
    <definedName name="PERFIL_DEL_TRAMO">#REF!</definedName>
    <definedName name="PERIODO">#REF!</definedName>
    <definedName name="PersonalProfesional">#REF!</definedName>
    <definedName name="PERSONALTABLA1.1.1">#REF!</definedName>
    <definedName name="PERSONALTABLA1.2">#REF!</definedName>
    <definedName name="PERSONALTABLA1.3">#REF!</definedName>
    <definedName name="PersonalTecnico">#REF!</definedName>
    <definedName name="PESO14.2">#REF!</definedName>
    <definedName name="PESO14.3">#REF!</definedName>
    <definedName name="PESO14.4">#REF!</definedName>
    <definedName name="pie">#REF!</definedName>
    <definedName name="PILOTE">#REF!</definedName>
    <definedName name="PKHK" localSheetId="16" hidden="1">{"TAB1",#N/A,TRUE,"GENERAL";"TAB2",#N/A,TRUE,"GENERAL";"TAB3",#N/A,TRUE,"GENERAL";"TAB4",#N/A,TRUE,"GENERAL";"TAB5",#N/A,TRUE,"GENERAL"}</definedName>
    <definedName name="PKHK" hidden="1">{"TAB1",#N/A,TRUE,"GENERAL";"TAB2",#N/A,TRUE,"GENERAL";"TAB3",#N/A,TRUE,"GENERAL";"TAB4",#N/A,TRUE,"GENERAL";"TAB5",#N/A,TRUE,"GENERAL"}</definedName>
    <definedName name="pkj" localSheetId="16"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s_.9x.9_Azul_labrador">#REF!</definedName>
    <definedName name="PLAD" localSheetId="16" hidden="1">{"TAB1",#N/A,TRUE,"GENERAL";"TAB2",#N/A,TRUE,"GENERAL";"TAB3",#N/A,TRUE,"GENERAL";"TAB4",#N/A,TRUE,"GENERAL";"TAB5",#N/A,TRUE,"GENERAL"}</definedName>
    <definedName name="PLAD" hidden="1">{"TAB1",#N/A,TRUE,"GENERAL";"TAB2",#N/A,TRUE,"GENERAL";"TAB3",#N/A,TRUE,"GENERAL";"TAB4",#N/A,TRUE,"GENERAL";"TAB5",#N/A,TRUE,"GENERAL"}</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zo">#REF!</definedName>
    <definedName name="PlazoAIU">#REF!</definedName>
    <definedName name="PlazoEnMeses">#REF!</definedName>
    <definedName name="Plegable">#REF!</definedName>
    <definedName name="PLOMERO">#REF!</definedName>
    <definedName name="PLPLUNN" localSheetId="16" hidden="1">{"TAB1",#N/A,TRUE,"GENERAL";"TAB2",#N/A,TRUE,"GENERAL";"TAB3",#N/A,TRUE,"GENERAL";"TAB4",#N/A,TRUE,"GENERAL";"TAB5",#N/A,TRUE,"GENERAL"}</definedName>
    <definedName name="PLPLUNN" hidden="1">{"TAB1",#N/A,TRUE,"GENERAL";"TAB2",#N/A,TRUE,"GENERAL";"TAB3",#N/A,TRUE,"GENERAL";"TAB4",#N/A,TRUE,"GENERAL";"TAB5",#N/A,TRUE,"GENERAL"}</definedName>
    <definedName name="PMT">#REF!</definedName>
    <definedName name="pñ">#REF!</definedName>
    <definedName name="po">#REF!</definedName>
    <definedName name="poi">#REF!</definedName>
    <definedName name="POIPOZOS">#REF!</definedName>
    <definedName name="POIUP" localSheetId="16" hidden="1">{"via1",#N/A,TRUE,"general";"via2",#N/A,TRUE,"general";"via3",#N/A,TRUE,"general"}</definedName>
    <definedName name="POIUP" hidden="1">{"via1",#N/A,TRUE,"general";"via2",#N/A,TRUE,"general";"via3",#N/A,TRUE,"general"}</definedName>
    <definedName name="POLIZAS" localSheetId="16" hidden="1">{"TAB1",#N/A,TRUE,"GENERAL";"TAB2",#N/A,TRUE,"GENERAL";"TAB3",#N/A,TRUE,"GENERAL";"TAB4",#N/A,TRUE,"GENERAL";"TAB5",#N/A,TRUE,"GENERAL"}</definedName>
    <definedName name="POLIZAS" hidden="1">{"TAB1",#N/A,TRUE,"GENERAL";"TAB2",#N/A,TRUE,"GENERAL";"TAB3",#N/A,TRUE,"GENERAL";"TAB4",#N/A,TRUE,"GENERAL";"TAB5",#N/A,TRUE,"GENERAL"}</definedName>
    <definedName name="POO">#REF!</definedName>
    <definedName name="popop" localSheetId="16" hidden="1">{"via1",#N/A,TRUE,"general";"via2",#N/A,TRUE,"general";"via3",#N/A,TRUE,"general"}</definedName>
    <definedName name="popop" hidden="1">{"via1",#N/A,TRUE,"general";"via2",#N/A,TRUE,"general";"via3",#N/A,TRUE,"general"}</definedName>
    <definedName name="popp" localSheetId="16" hidden="1">{"via1",#N/A,TRUE,"general";"via2",#N/A,TRUE,"general";"via3",#N/A,TRUE,"general"}</definedName>
    <definedName name="popp" hidden="1">{"via1",#N/A,TRUE,"general";"via2",#N/A,TRUE,"general";"via3",#N/A,TRUE,"general"}</definedName>
    <definedName name="popvds" localSheetId="16" hidden="1">{"TAB1",#N/A,TRUE,"GENERAL";"TAB2",#N/A,TRUE,"GENERAL";"TAB3",#N/A,TRUE,"GENERAL";"TAB4",#N/A,TRUE,"GENERAL";"TAB5",#N/A,TRUE,"GENERAL"}</definedName>
    <definedName name="popvds" hidden="1">{"TAB1",#N/A,TRUE,"GENERAL";"TAB2",#N/A,TRUE,"GENERAL";"TAB3",#N/A,TRUE,"GENERAL";"TAB4",#N/A,TRUE,"GENERAL";"TAB5",#N/A,TRUE,"GENERAL"}</definedName>
    <definedName name="PORCE">#REF!</definedName>
    <definedName name="pouig" localSheetId="16"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OZOSACTUAL">#REF!</definedName>
    <definedName name="pozosconduccion">#REF!</definedName>
    <definedName name="pp">#REF!</definedName>
    <definedName name="ppp" localSheetId="16" hidden="1">{"TAB1",#N/A,TRUE,"GENERAL";"TAB2",#N/A,TRUE,"GENERAL";"TAB3",#N/A,TRUE,"GENERAL";"TAB4",#N/A,TRUE,"GENERAL";"TAB5",#N/A,TRUE,"GENERAL"}</definedName>
    <definedName name="ppp" hidden="1">{"TAB1",#N/A,TRUE,"GENERAL";"TAB2",#N/A,TRUE,"GENERAL";"TAB3",#N/A,TRUE,"GENERAL";"TAB4",#N/A,TRUE,"GENERAL";"TAB5",#N/A,TRUE,"GENERAL"}</definedName>
    <definedName name="PPPP">#REF!</definedName>
    <definedName name="ppppp9" localSheetId="16" hidden="1">{"via1",#N/A,TRUE,"general";"via2",#N/A,TRUE,"general";"via3",#N/A,TRUE,"general"}</definedName>
    <definedName name="ppppp9" hidden="1">{"via1",#N/A,TRUE,"general";"via2",#N/A,TRUE,"general";"via3",#N/A,TRUE,"general"}</definedName>
    <definedName name="pppppd" localSheetId="16" hidden="1">{"TAB1",#N/A,TRUE,"GENERAL";"TAB2",#N/A,TRUE,"GENERAL";"TAB3",#N/A,TRUE,"GENERAL";"TAB4",#N/A,TRUE,"GENERAL";"TAB5",#N/A,TRUE,"GENERAL"}</definedName>
    <definedName name="pppppd" hidden="1">{"TAB1",#N/A,TRUE,"GENERAL";"TAB2",#N/A,TRUE,"GENERAL";"TAB3",#N/A,TRUE,"GENERAL";"TAB4",#N/A,TRUE,"GENERAL";"TAB5",#N/A,TRUE,"GENERAL"}</definedName>
    <definedName name="pqroj" localSheetId="16" hidden="1">{"via1",#N/A,TRUE,"general";"via2",#N/A,TRUE,"general";"via3",#N/A,TRUE,"general"}</definedName>
    <definedName name="pqroj" hidden="1">{"via1",#N/A,TRUE,"general";"via2",#N/A,TRUE,"general";"via3",#N/A,TRUE,"general"}</definedName>
    <definedName name="PRE">#REF!</definedName>
    <definedName name="PRECIO">#REF!</definedName>
    <definedName name="precios">#REF!</definedName>
    <definedName name="Precios1">#REF!</definedName>
    <definedName name="PREST">#REF!</definedName>
    <definedName name="PRESTACIONES">#REF!</definedName>
    <definedName name="Prestaciones_sociales">#REF!</definedName>
    <definedName name="PrestacionesSeguridadOtros">#REF!</definedName>
    <definedName name="Presu">#REF!</definedName>
    <definedName name="PRESUPUESTADO">#REF!</definedName>
    <definedName name="Presupuesto_Maternidad">#REF!</definedName>
    <definedName name="PRESUPUESTOCLIENTE3" hidden="1">#REF!</definedName>
    <definedName name="PRIMER" localSheetId="16" hidden="1">{"via1",#N/A,TRUE,"general";"via2",#N/A,TRUE,"general";"via3",#N/A,TRUE,"general"}</definedName>
    <definedName name="PRIMER" hidden="1">{"via1",#N/A,TRUE,"general";"via2",#N/A,TRUE,"general";"via3",#N/A,TRUE,"general"}</definedName>
    <definedName name="PRIMET" localSheetId="16"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#N/A</definedName>
    <definedName name="Print_Area_Reset">OFFSET(Full_Print,0,0,Last_Row)</definedName>
    <definedName name="PRINT_TITLES_MI">#N/A</definedName>
    <definedName name="proddsfdhgasd">#REF!</definedName>
    <definedName name="PRODUCCIONACTUAL">#REF!</definedName>
    <definedName name="Profesional">#REF!</definedName>
    <definedName name="PrOfic">#REF!</definedName>
    <definedName name="Profundidad">#REF!</definedName>
    <definedName name="PROG" hidden="1">#REF!</definedName>
    <definedName name="proj_id">#REF!</definedName>
    <definedName name="proj_mgr">#REF!</definedName>
    <definedName name="proj_nm">#REF!</definedName>
    <definedName name="PROP">#REF!</definedName>
    <definedName name="PROPONE">#REF!</definedName>
    <definedName name="Prov">#REF!</definedName>
    <definedName name="PROVISIONALES" hidden="1">#REF!</definedName>
    <definedName name="PROYECCIONDEMANDATABLA1">#REF!</definedName>
    <definedName name="PROYECTOS">#REF!</definedName>
    <definedName name="prueba">#REF!</definedName>
    <definedName name="PRUEBA2">#REF!</definedName>
    <definedName name="ptope" localSheetId="16" hidden="1">{"TAB1",#N/A,TRUE,"GENERAL";"TAB2",#N/A,TRUE,"GENERAL";"TAB3",#N/A,TRUE,"GENERAL";"TAB4",#N/A,TRUE,"GENERAL";"TAB5",#N/A,TRUE,"GENERAL"}</definedName>
    <definedName name="ptope" hidden="1">{"TAB1",#N/A,TRUE,"GENERAL";"TAB2",#N/A,TRUE,"GENERAL";"TAB3",#N/A,TRUE,"GENERAL";"TAB4",#N/A,TRUE,"GENERAL";"TAB5",#N/A,TRUE,"GENERAL"}</definedName>
    <definedName name="ptopes" localSheetId="16" hidden="1">{"via1",#N/A,TRUE,"general";"via2",#N/A,TRUE,"general";"via3",#N/A,TRUE,"general"}</definedName>
    <definedName name="ptopes" hidden="1">{"via1",#N/A,TRUE,"general";"via2",#N/A,TRUE,"general";"via3",#N/A,TRUE,"general"}</definedName>
    <definedName name="PULI">#REF!</definedName>
    <definedName name="Pulidora">#REF!</definedName>
    <definedName name="PUNT">#REF!</definedName>
    <definedName name="PWINCHE2000K">#REF!</definedName>
    <definedName name="q">#REF!</definedName>
    <definedName name="q1q1q" localSheetId="16" hidden="1">{"via1",#N/A,TRUE,"general";"via2",#N/A,TRUE,"general";"via3",#N/A,TRUE,"general"}</definedName>
    <definedName name="q1q1q" hidden="1">{"via1",#N/A,TRUE,"general";"via2",#N/A,TRUE,"general";"via3",#N/A,TRUE,"general"}</definedName>
    <definedName name="qaedtguj" localSheetId="16" hidden="1">{"via1",#N/A,TRUE,"general";"via2",#N/A,TRUE,"general";"via3",#N/A,TRUE,"general"}</definedName>
    <definedName name="qaedtguj" hidden="1">{"via1",#N/A,TRUE,"general";"via2",#N/A,TRUE,"general";"via3",#N/A,TRUE,"general"}</definedName>
    <definedName name="QAQSWS" localSheetId="16" hidden="1">{"via1",#N/A,TRUE,"general";"via2",#N/A,TRUE,"general";"via3",#N/A,TRUE,"general"}</definedName>
    <definedName name="QAQSWS" hidden="1">{"via1",#N/A,TRUE,"general";"via2",#N/A,TRUE,"general";"via3",#N/A,TRUE,"general"}</definedName>
    <definedName name="qaqwwxcr" localSheetId="16" hidden="1">{"via1",#N/A,TRUE,"general";"via2",#N/A,TRUE,"general";"via3",#N/A,TRUE,"general"}</definedName>
    <definedName name="qaqwwxcr" hidden="1">{"via1",#N/A,TRUE,"general";"via2",#N/A,TRUE,"general";"via3",#N/A,TRUE,"general"}</definedName>
    <definedName name="qdefqfqwreqwerqw">#REF!</definedName>
    <definedName name="qedcd" localSheetId="16" hidden="1">{"via1",#N/A,TRUE,"general";"via2",#N/A,TRUE,"general";"via3",#N/A,TRUE,"general"}</definedName>
    <definedName name="qedcd" hidden="1">{"via1",#N/A,TRUE,"general";"via2",#N/A,TRUE,"general";"via3",#N/A,TRUE,"general"}</definedName>
    <definedName name="qeqewe" localSheetId="16" hidden="1">{"TAB1",#N/A,TRUE,"GENERAL";"TAB2",#N/A,TRUE,"GENERAL";"TAB3",#N/A,TRUE,"GENERAL";"TAB4",#N/A,TRUE,"GENERAL";"TAB5",#N/A,TRUE,"GENERAL"}</definedName>
    <definedName name="qeqewe" hidden="1">{"TAB1",#N/A,TRUE,"GENERAL";"TAB2",#N/A,TRUE,"GENERAL";"TAB3",#N/A,TRUE,"GENERAL";"TAB4",#N/A,TRUE,"GENERAL";"TAB5",#N/A,TRUE,"GENERAL"}</definedName>
    <definedName name="qewj" localSheetId="16" hidden="1">{"via1",#N/A,TRUE,"general";"via2",#N/A,TRUE,"general";"via3",#N/A,TRUE,"general"}</definedName>
    <definedName name="qewj" hidden="1">{"via1",#N/A,TRUE,"general";"via2",#N/A,TRUE,"general";"via3",#N/A,TRUE,"general"}</definedName>
    <definedName name="QMAX">#REF!</definedName>
    <definedName name="qmaxdesarenador">#REF!</definedName>
    <definedName name="QMAXDIARIO">#REF!</definedName>
    <definedName name="Qmed">#REF!</definedName>
    <definedName name="QMIN">#REF!</definedName>
    <definedName name="qmindesarenador">#REF!</definedName>
    <definedName name="QPROM">#REF!</definedName>
    <definedName name="QQ">#REF!</definedName>
    <definedName name="qqq">#REF!</definedName>
    <definedName name="qqqqqw" localSheetId="16" hidden="1">{"via1",#N/A,TRUE,"general";"via2",#N/A,TRUE,"general";"via3",#N/A,TRUE,"general"}</definedName>
    <definedName name="qqqqqw" hidden="1">{"via1",#N/A,TRUE,"general";"via2",#N/A,TRUE,"general";"via3",#N/A,TRUE,"general"}</definedName>
    <definedName name="QRS">#REF!</definedName>
    <definedName name="QUIMICOSTABLA1.3.1">#REF!</definedName>
    <definedName name="qw" localSheetId="16" hidden="1">{"via1",#N/A,TRUE,"general";"via2",#N/A,TRUE,"general";"via3",#N/A,TRUE,"general"}</definedName>
    <definedName name="qw" hidden="1">{"via1",#N/A,TRUE,"general";"via2",#N/A,TRUE,"general";"via3",#N/A,TRUE,"general"}</definedName>
    <definedName name="qwdas2" localSheetId="16" hidden="1">{"via1",#N/A,TRUE,"general";"via2",#N/A,TRUE,"general";"via3",#N/A,TRUE,"general"}</definedName>
    <definedName name="qwdas2" hidden="1">{"via1",#N/A,TRUE,"general";"via2",#N/A,TRUE,"general";"via3",#N/A,TRUE,"general"}</definedName>
    <definedName name="qweqe" localSheetId="16" hidden="1">{"TAB1",#N/A,TRUE,"GENERAL";"TAB2",#N/A,TRUE,"GENERAL";"TAB3",#N/A,TRUE,"GENERAL";"TAB4",#N/A,TRUE,"GENERAL";"TAB5",#N/A,TRUE,"GENERAL"}</definedName>
    <definedName name="qweqe" hidden="1">{"TAB1",#N/A,TRUE,"GENERAL";"TAB2",#N/A,TRUE,"GENERAL";"TAB3",#N/A,TRUE,"GENERAL";"TAB4",#N/A,TRUE,"GENERAL";"TAB5",#N/A,TRUE,"GENERAL"}</definedName>
    <definedName name="qwqwqwj" localSheetId="16"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dianes">#REF!</definedName>
    <definedName name="RAJON">#REF!</definedName>
    <definedName name="RANA">#REF!</definedName>
    <definedName name="rango">#REF!</definedName>
    <definedName name="rateadohormigon">#REF!</definedName>
    <definedName name="Rb">#REF!</definedName>
    <definedName name="Rd">#REF!</definedName>
    <definedName name="rds">#REF!</definedName>
    <definedName name="Re">#REF!</definedName>
    <definedName name="RECEBO">#REF!</definedName>
    <definedName name="RECURSO">#REF!</definedName>
    <definedName name="RECURSOS">#REF!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FERENCIAPROYECTOS">#REF!</definedName>
    <definedName name="REG">#REF!&gt;2.5</definedName>
    <definedName name="rege" localSheetId="16" hidden="1">{"TAB1",#N/A,TRUE,"GENERAL";"TAB2",#N/A,TRUE,"GENERAL";"TAB3",#N/A,TRUE,"GENERAL";"TAB4",#N/A,TRUE,"GENERAL";"TAB5",#N/A,TRUE,"GENERAL"}</definedName>
    <definedName name="rege" hidden="1">{"TAB1",#N/A,TRUE,"GENERAL";"TAB2",#N/A,TRUE,"GENERAL";"TAB3",#N/A,TRUE,"GENERAL";"TAB4",#N/A,TRUE,"GENERAL";"TAB5",#N/A,TRUE,"GENERAL"}</definedName>
    <definedName name="regional">#REF!</definedName>
    <definedName name="regresd" localSheetId="16" hidden="1">{"TAB1",#N/A,TRUE,"GENERAL";"TAB2",#N/A,TRUE,"GENERAL";"TAB3",#N/A,TRUE,"GENERAL";"TAB4",#N/A,TRUE,"GENERAL";"TAB5",#N/A,TRUE,"GENERAL"}</definedName>
    <definedName name="regresd" hidden="1">{"TAB1",#N/A,TRUE,"GENERAL";"TAB2",#N/A,TRUE,"GENERAL";"TAB3",#N/A,TRUE,"GENERAL";"TAB4",#N/A,TRUE,"GENERAL";"TAB5",#N/A,TRUE,"GENERAL"}</definedName>
    <definedName name="regthio" localSheetId="16"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16" hidden="1">{"via1",#N/A,TRUE,"general";"via2",#N/A,TRUE,"general";"via3",#N/A,TRUE,"general"}</definedName>
    <definedName name="REJHE" hidden="1">{"via1",#N/A,TRUE,"general";"via2",#N/A,TRUE,"general";"via3",#N/A,TRUE,"general"}</definedName>
    <definedName name="RELACUION">#REF!</definedName>
    <definedName name="rell">#REF!</definedName>
    <definedName name="relle">#REF!</definedName>
    <definedName name="relleno">#REF!</definedName>
    <definedName name="RELLG">#REF!</definedName>
    <definedName name="RELLG1">#REF!</definedName>
    <definedName name="remb">#REF!</definedName>
    <definedName name="Rendimiento">#REF!</definedName>
    <definedName name="REP.PAV">#REF!</definedName>
    <definedName name="repello">#REF!</definedName>
    <definedName name="replanteo">#REF!</definedName>
    <definedName name="REPOSICIONACU">#REF!</definedName>
    <definedName name="REPOSICIONACUREDES">#REF!</definedName>
    <definedName name="REPOSICIONALC">#REF!</definedName>
    <definedName name="REPOSICIONALCREDES">#REF!</definedName>
    <definedName name="repuesto">#REF!</definedName>
    <definedName name="rer" localSheetId="16" hidden="1">{"via1",#N/A,TRUE,"general";"via2",#N/A,TRUE,"general";"via3",#N/A,TRUE,"general"}</definedName>
    <definedName name="rer" hidden="1">{"via1",#N/A,TRUE,"general";"via2",#N/A,TRUE,"general";"via3",#N/A,TRUE,"general"}</definedName>
    <definedName name="rererw" localSheetId="16" hidden="1">{"TAB1",#N/A,TRUE,"GENERAL";"TAB2",#N/A,TRUE,"GENERAL";"TAB3",#N/A,TRUE,"GENERAL";"TAB4",#N/A,TRUE,"GENERAL";"TAB5",#N/A,TRUE,"GENERAL"}</definedName>
    <definedName name="rererw" hidden="1">{"TAB1",#N/A,TRUE,"GENERAL";"TAB2",#N/A,TRUE,"GENERAL";"TAB3",#N/A,TRUE,"GENERAL";"TAB4",#N/A,TRUE,"GENERAL";"TAB5",#N/A,TRUE,"GENERAL"}</definedName>
    <definedName name="rerg" localSheetId="16" hidden="1">{"TAB1",#N/A,TRUE,"GENERAL";"TAB2",#N/A,TRUE,"GENERAL";"TAB3",#N/A,TRUE,"GENERAL";"TAB4",#N/A,TRUE,"GENERAL";"TAB5",#N/A,TRUE,"GENERAL"}</definedName>
    <definedName name="rerg" hidden="1">{"TAB1",#N/A,TRUE,"GENERAL";"TAB2",#N/A,TRUE,"GENERAL";"TAB3",#N/A,TRUE,"GENERAL";"TAB4",#N/A,TRUE,"GENERAL";"TAB5",#N/A,TRUE,"GENERAL"}</definedName>
    <definedName name="rerrrrw" localSheetId="16" hidden="1">{"TAB1",#N/A,TRUE,"GENERAL";"TAB2",#N/A,TRUE,"GENERAL";"TAB3",#N/A,TRUE,"GENERAL";"TAB4",#N/A,TRUE,"GENERAL";"TAB5",#N/A,TRUE,"GENERAL"}</definedName>
    <definedName name="rerrrrw" hidden="1">{"TAB1",#N/A,TRUE,"GENERAL";"TAB2",#N/A,TRUE,"GENERAL";"TAB3",#N/A,TRUE,"GENERAL";"TAB4",#N/A,TRUE,"GENERAL";"TAB5",#N/A,TRUE,"GENERAL"}</definedName>
    <definedName name="res" localSheetId="16"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#REF!</definedName>
    <definedName name="Resistenciaconductor">#REF!</definedName>
    <definedName name="resultado">#REF!</definedName>
    <definedName name="RESUM">#REF!</definedName>
    <definedName name="resum2">#REF!</definedName>
    <definedName name="resumen">#REF!</definedName>
    <definedName name="RESUMENALCANTARILLADO">#REF!</definedName>
    <definedName name="ResumenAPU">#REF!</definedName>
    <definedName name="RESUMENCOSTOSOPERACIÓN">#REF!</definedName>
    <definedName name="resumendescargadero">#REF!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sumentanques">#REF!</definedName>
    <definedName name="RET">#REF!</definedName>
    <definedName name="Retenc">#REF!</definedName>
    <definedName name="retiroarbol">#REF!</definedName>
    <definedName name="retirocorte">#REF!</definedName>
    <definedName name="RETIROV">#REF!</definedName>
    <definedName name="retr">#REF!</definedName>
    <definedName name="RETRO">#REF!</definedName>
    <definedName name="RETTRE" localSheetId="16" hidden="1">{"via1",#N/A,TRUE,"general";"via2",#N/A,TRUE,"general";"via3",#N/A,TRUE,"general"}</definedName>
    <definedName name="RETTRE" hidden="1">{"via1",#N/A,TRUE,"general";"via2",#N/A,TRUE,"general";"via3",#N/A,TRUE,"general"}</definedName>
    <definedName name="rety" localSheetId="16" hidden="1">{"TAB1",#N/A,TRUE,"GENERAL";"TAB2",#N/A,TRUE,"GENERAL";"TAB3",#N/A,TRUE,"GENERAL";"TAB4",#N/A,TRUE,"GENERAL";"TAB5",#N/A,TRUE,"GENERAL"}</definedName>
    <definedName name="rety" hidden="1">{"TAB1",#N/A,TRUE,"GENERAL";"TAB2",#N/A,TRUE,"GENERAL";"TAB3",#N/A,TRUE,"GENERAL";"TAB4",#N/A,TRUE,"GENERAL";"TAB5",#N/A,TRUE,"GENERAL"}</definedName>
    <definedName name="rewfreg" localSheetId="16" hidden="1">{"via1",#N/A,TRUE,"general";"via2",#N/A,TRUE,"general";"via3",#N/A,TRUE,"general"}</definedName>
    <definedName name="rewfreg" hidden="1">{"via1",#N/A,TRUE,"general";"via2",#N/A,TRUE,"general";"via3",#N/A,TRUE,"general"}</definedName>
    <definedName name="rewr" localSheetId="16" hidden="1">{"via1",#N/A,TRUE,"general";"via2",#N/A,TRUE,"general";"via3",#N/A,TRUE,"general"}</definedName>
    <definedName name="rewr" hidden="1">{"via1",#N/A,TRUE,"general";"via2",#N/A,TRUE,"general";"via3",#N/A,TRUE,"general"}</definedName>
    <definedName name="REWWER" localSheetId="16" hidden="1">{"TAB1",#N/A,TRUE,"GENERAL";"TAB2",#N/A,TRUE,"GENERAL";"TAB3",#N/A,TRUE,"GENERAL";"TAB4",#N/A,TRUE,"GENERAL";"TAB5",#N/A,TRUE,"GENERAL"}</definedName>
    <definedName name="REWWER" hidden="1">{"TAB1",#N/A,TRUE,"GENERAL";"TAB2",#N/A,TRUE,"GENERAL";"TAB3",#N/A,TRUE,"GENERAL";"TAB4",#N/A,TRUE,"GENERAL";"TAB5",#N/A,TRUE,"GENERAL"}</definedName>
    <definedName name="reyepoi" localSheetId="16" hidden="1">{"TAB1",#N/A,TRUE,"GENERAL";"TAB2",#N/A,TRUE,"GENERAL";"TAB3",#N/A,TRUE,"GENERAL";"TAB4",#N/A,TRUE,"GENERAL";"TAB5",#N/A,TRUE,"GENERAL"}</definedName>
    <definedName name="reyepoi" hidden="1">{"TAB1",#N/A,TRUE,"GENERAL";"TAB2",#N/A,TRUE,"GENERAL";"TAB3",#N/A,TRUE,"GENERAL";"TAB4",#N/A,TRUE,"GENERAL";"TAB5",#N/A,TRUE,"GENERAL"}</definedName>
    <definedName name="reyety" localSheetId="16" hidden="1">{"via1",#N/A,TRUE,"general";"via2",#N/A,TRUE,"general";"via3",#N/A,TRUE,"general"}</definedName>
    <definedName name="reyety" hidden="1">{"via1",#N/A,TRUE,"general";"via2",#N/A,TRUE,"general";"via3",#N/A,TRUE,"general"}</definedName>
    <definedName name="reyty" localSheetId="16" hidden="1">{"via1",#N/A,TRUE,"general";"via2",#N/A,TRUE,"general";"via3",#N/A,TRUE,"general"}</definedName>
    <definedName name="reyty" hidden="1">{"via1",#N/A,TRUE,"general";"via2",#N/A,TRUE,"general";"via3",#N/A,TRUE,"general"}</definedName>
    <definedName name="reyyt" localSheetId="16" hidden="1">{"via1",#N/A,TRUE,"general";"via2",#N/A,TRUE,"general";"via3",#N/A,TRUE,"general"}</definedName>
    <definedName name="reyyt" hidden="1">{"via1",#N/A,TRUE,"general";"via2",#N/A,TRUE,"general";"via3",#N/A,TRUE,"general"}</definedName>
    <definedName name="Rf">#REF!</definedName>
    <definedName name="rfhnhjyu" localSheetId="16"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evr" hidden="1">#REF!</definedName>
    <definedName name="rfrf" localSheetId="16" hidden="1">{"via1",#N/A,TRUE,"general";"via2",#N/A,TRUE,"general";"via3",#N/A,TRUE,"general"}</definedName>
    <definedName name="rfrf" hidden="1">{"via1",#N/A,TRUE,"general";"via2",#N/A,TRUE,"general";"via3",#N/A,TRUE,"general"}</definedName>
    <definedName name="Rg">#REF!</definedName>
    <definedName name="rge" localSheetId="16" hidden="1">{"via1",#N/A,TRUE,"general";"via2",#N/A,TRUE,"general";"via3",#N/A,TRUE,"general"}</definedName>
    <definedName name="rge" hidden="1">{"via1",#N/A,TRUE,"general";"via2",#N/A,TRUE,"general";"via3",#N/A,TRUE,"general"}</definedName>
    <definedName name="rgegg" localSheetId="16" hidden="1">{"via1",#N/A,TRUE,"general";"via2",#N/A,TRUE,"general";"via3",#N/A,TRUE,"general"}</definedName>
    <definedName name="rgegg" hidden="1">{"via1",#N/A,TRUE,"general";"via2",#N/A,TRUE,"general";"via3",#N/A,TRUE,"general"}</definedName>
    <definedName name="Rh">#REF!</definedName>
    <definedName name="rhh" localSheetId="16" hidden="1">{"TAB1",#N/A,TRUE,"GENERAL";"TAB2",#N/A,TRUE,"GENERAL";"TAB3",#N/A,TRUE,"GENERAL";"TAB4",#N/A,TRUE,"GENERAL";"TAB5",#N/A,TRUE,"GENERAL"}</definedName>
    <definedName name="rhh" hidden="1">{"TAB1",#N/A,TRUE,"GENERAL";"TAB2",#N/A,TRUE,"GENERAL";"TAB3",#N/A,TRUE,"GENERAL";"TAB4",#N/A,TRUE,"GENERAL";"TAB5",#N/A,TRUE,"GENERAL"}</definedName>
    <definedName name="rhrtd" localSheetId="16" hidden="1">{"TAB1",#N/A,TRUE,"GENERAL";"TAB2",#N/A,TRUE,"GENERAL";"TAB3",#N/A,TRUE,"GENERAL";"TAB4",#N/A,TRUE,"GENERAL";"TAB5",#N/A,TRUE,"GENERAL"}</definedName>
    <definedName name="rhrtd" hidden="1">{"TAB1",#N/A,TRUE,"GENERAL";"TAB2",#N/A,TRUE,"GENERAL";"TAB3",#N/A,TRUE,"GENERAL";"TAB4",#N/A,TRUE,"GENERAL";"TAB5",#N/A,TRUE,"GENERAL"}</definedName>
    <definedName name="rhtry" localSheetId="16"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IF(Loan_Amount*Interest_Rate*Loan_Years*Loan_Start&gt;0,1,0)</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6" hidden="1">{"TAB1",#N/A,TRUE,"GENERAL";"TAB2",#N/A,TRUE,"GENERAL";"TAB3",#N/A,TRUE,"GENERAL";"TAB4",#N/A,TRUE,"GENERAL";"TAB5",#N/A,TRUE,"GENERAL"}</definedName>
    <definedName name="rj" hidden="1">{"TAB1",#N/A,TRUE,"GENERAL";"TAB2",#N/A,TRUE,"GENERAL";"TAB3",#N/A,TRUE,"GENERAL";"TAB4",#N/A,TRUE,"GENERAL";"TAB5",#N/A,TRUE,"GENERAL"}</definedName>
    <definedName name="rjjth" localSheetId="16" hidden="1">{"TAB1",#N/A,TRUE,"GENERAL";"TAB2",#N/A,TRUE,"GENERAL";"TAB3",#N/A,TRUE,"GENERAL";"TAB4",#N/A,TRUE,"GENERAL";"TAB5",#N/A,TRUE,"GENERAL"}</definedName>
    <definedName name="rjjth" hidden="1">{"TAB1",#N/A,TRUE,"GENERAL";"TAB2",#N/A,TRUE,"GENERAL";"TAB3",#N/A,TRUE,"GENERAL";"TAB4",#N/A,TRUE,"GENERAL";"TAB5",#N/A,TRUE,"GENERAL"}</definedName>
    <definedName name="rjy" localSheetId="16" hidden="1">{"via1",#N/A,TRUE,"general";"via2",#N/A,TRUE,"general";"via3",#N/A,TRUE,"general"}</definedName>
    <definedName name="rjy" hidden="1">{"via1",#N/A,TRUE,"general";"via2",#N/A,TRUE,"general";"via3",#N/A,TRUE,"general"}</definedName>
    <definedName name="Rk">#REF!</definedName>
    <definedName name="rkjyk" localSheetId="16" hidden="1">{"TAB1",#N/A,TRUE,"GENERAL";"TAB2",#N/A,TRUE,"GENERAL";"TAB3",#N/A,TRUE,"GENERAL";"TAB4",#N/A,TRUE,"GENERAL";"TAB5",#N/A,TRUE,"GENERAL"}</definedName>
    <definedName name="rkjyk" hidden="1">{"TAB1",#N/A,TRUE,"GENERAL";"TAB2",#N/A,TRUE,"GENERAL";"TAB3",#N/A,TRUE,"GENERAL";"TAB4",#N/A,TRUE,"GENERAL";"TAB5",#N/A,TRUE,"GENERAL"}</definedName>
    <definedName name="rkru" localSheetId="16" hidden="1">{"via1",#N/A,TRUE,"general";"via2",#N/A,TRUE,"general";"via3",#N/A,TRUE,"general"}</definedName>
    <definedName name="rkru" hidden="1">{"via1",#N/A,TRUE,"general";"via2",#N/A,TRUE,"general";"via3",#N/A,TRUE,"general"}</definedName>
    <definedName name="rky" localSheetId="16"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ñ">#REF!</definedName>
    <definedName name="Ro">#REF!</definedName>
    <definedName name="rolando">#REF!</definedName>
    <definedName name="Rp">#REF!</definedName>
    <definedName name="Rq">#REF!</definedName>
    <definedName name="rr">#REF!</definedName>
    <definedName name="rrr" localSheetId="16" hidden="1">{"via1",#N/A,TRUE,"general";"via2",#N/A,TRUE,"general";"via3",#N/A,TRUE,"general"}</definedName>
    <definedName name="rrr" hidden="1">{"via1",#N/A,TRUE,"general";"via2",#N/A,TRUE,"general";"via3",#N/A,TRUE,"general"}</definedName>
    <definedName name="rrrr">#REF!</definedName>
    <definedName name="rrrrrb" localSheetId="16" hidden="1">{"via1",#N/A,TRUE,"general";"via2",#N/A,TRUE,"general";"via3",#N/A,TRUE,"general"}</definedName>
    <definedName name="rrrrrb" hidden="1">{"via1",#N/A,TRUE,"general";"via2",#N/A,TRUE,"general";"via3",#N/A,TRUE,"general"}</definedName>
    <definedName name="rrrrrrre" localSheetId="16" hidden="1">{"TAB1",#N/A,TRUE,"GENERAL";"TAB2",#N/A,TRUE,"GENERAL";"TAB3",#N/A,TRUE,"GENERAL";"TAB4",#N/A,TRUE,"GENERAL";"TAB5",#N/A,TRUE,"GENERAL"}</definedName>
    <definedName name="rrrrrrre" hidden="1">{"TAB1",#N/A,TRUE,"GENERAL";"TAB2",#N/A,TRUE,"GENERAL";"TAB3",#N/A,TRUE,"GENERAL";"TAB4",#N/A,TRUE,"GENERAL";"TAB5",#N/A,TRUE,"GENERAL"}</definedName>
    <definedName name="rrrrt" localSheetId="16" hidden="1">{"via1",#N/A,TRUE,"general";"via2",#N/A,TRUE,"general";"via3",#N/A,TRUE,"general"}</definedName>
    <definedName name="rrrrt" hidden="1">{"via1",#N/A,TRUE,"general";"via2",#N/A,TRUE,"general";"via3",#N/A,TRUE,"general"}</definedName>
    <definedName name="RRRTGTG">#REF!</definedName>
    <definedName name="Rs">#REF!</definedName>
    <definedName name="rsdgsd5" localSheetId="16" hidden="1">{"TAB1",#N/A,TRUE,"GENERAL";"TAB2",#N/A,TRUE,"GENERAL";"TAB3",#N/A,TRUE,"GENERAL";"TAB4",#N/A,TRUE,"GENERAL";"TAB5",#N/A,TRUE,"GENERAL"}</definedName>
    <definedName name="rsdgsd5" hidden="1">{"TAB1",#N/A,TRUE,"GENERAL";"TAB2",#N/A,TRUE,"GENERAL";"TAB3",#N/A,TRUE,"GENERAL";"TAB4",#N/A,TRUE,"GENERAL";"TAB5",#N/A,TRUE,"GENERAL"}</definedName>
    <definedName name="rt" localSheetId="16" hidden="1">{"TAB1",#N/A,TRUE,"GENERAL";"TAB2",#N/A,TRUE,"GENERAL";"TAB3",#N/A,TRUE,"GENERAL";"TAB4",#N/A,TRUE,"GENERAL";"TAB5",#N/A,TRUE,"GENERAL"}</definedName>
    <definedName name="rt" hidden="1">{"TAB1",#N/A,TRUE,"GENERAL";"TAB2",#N/A,TRUE,"GENERAL";"TAB3",#N/A,TRUE,"GENERAL";"TAB4",#N/A,TRUE,"GENERAL";"TAB5",#N/A,TRUE,"GENERAL"}</definedName>
    <definedName name="rte" localSheetId="16" hidden="1">{"TAB1",#N/A,TRUE,"GENERAL";"TAB2",#N/A,TRUE,"GENERAL";"TAB3",#N/A,TRUE,"GENERAL";"TAB4",#N/A,TRUE,"GENERAL";"TAB5",#N/A,TRUE,"GENERAL"}</definedName>
    <definedName name="rte" hidden="1">{"TAB1",#N/A,TRUE,"GENERAL";"TAB2",#N/A,TRUE,"GENERAL";"TAB3",#N/A,TRUE,"GENERAL";"TAB4",#N/A,TRUE,"GENERAL";"TAB5",#N/A,TRUE,"GENERAL"}</definedName>
    <definedName name="rteg" localSheetId="16" hidden="1">{"via1",#N/A,TRUE,"general";"via2",#N/A,TRUE,"general";"via3",#N/A,TRUE,"general"}</definedName>
    <definedName name="rteg" hidden="1">{"via1",#N/A,TRUE,"general";"via2",#N/A,TRUE,"general";"via3",#N/A,TRUE,"general"}</definedName>
    <definedName name="rtert" localSheetId="16" hidden="1">{"TAB1",#N/A,TRUE,"GENERAL";"TAB2",#N/A,TRUE,"GENERAL";"TAB3",#N/A,TRUE,"GENERAL";"TAB4",#N/A,TRUE,"GENERAL";"TAB5",#N/A,TRUE,"GENERAL"}</definedName>
    <definedName name="rtert" hidden="1">{"TAB1",#N/A,TRUE,"GENERAL";"TAB2",#N/A,TRUE,"GENERAL";"TAB3",#N/A,TRUE,"GENERAL";"TAB4",#N/A,TRUE,"GENERAL";"TAB5",#N/A,TRUE,"GENERAL"}</definedName>
    <definedName name="rtes" localSheetId="16" hidden="1">{"via1",#N/A,TRUE,"general";"via2",#N/A,TRUE,"general";"via3",#N/A,TRUE,"general"}</definedName>
    <definedName name="rtes" hidden="1">{"via1",#N/A,TRUE,"general";"via2",#N/A,TRUE,"general";"via3",#N/A,TRUE,"general"}</definedName>
    <definedName name="rtewth" localSheetId="16" hidden="1">{"TAB1",#N/A,TRUE,"GENERAL";"TAB2",#N/A,TRUE,"GENERAL";"TAB3",#N/A,TRUE,"GENERAL";"TAB4",#N/A,TRUE,"GENERAL";"TAB5",#N/A,TRUE,"GENERAL"}</definedName>
    <definedName name="rtewth" hidden="1">{"TAB1",#N/A,TRUE,"GENERAL";"TAB2",#N/A,TRUE,"GENERAL";"TAB3",#N/A,TRUE,"GENERAL";"TAB4",#N/A,TRUE,"GENERAL";"TAB5",#N/A,TRUE,"GENERAL"}</definedName>
    <definedName name="rthjtj" localSheetId="16" hidden="1">{"TAB1",#N/A,TRUE,"GENERAL";"TAB2",#N/A,TRUE,"GENERAL";"TAB3",#N/A,TRUE,"GENERAL";"TAB4",#N/A,TRUE,"GENERAL";"TAB5",#N/A,TRUE,"GENERAL"}</definedName>
    <definedName name="rthjtj" hidden="1">{"TAB1",#N/A,TRUE,"GENERAL";"TAB2",#N/A,TRUE,"GENERAL";"TAB3",#N/A,TRUE,"GENERAL";"TAB4",#N/A,TRUE,"GENERAL";"TAB5",#N/A,TRUE,"GENERAL"}</definedName>
    <definedName name="rthrthg" localSheetId="16" hidden="1">{"via1",#N/A,TRUE,"general";"via2",#N/A,TRUE,"general";"via3",#N/A,TRUE,"general"}</definedName>
    <definedName name="rthrthg" hidden="1">{"via1",#N/A,TRUE,"general";"via2",#N/A,TRUE,"general";"via3",#N/A,TRUE,"general"}</definedName>
    <definedName name="rthtrh" localSheetId="16" hidden="1">{"via1",#N/A,TRUE,"general";"via2",#N/A,TRUE,"general";"via3",#N/A,TRUE,"general"}</definedName>
    <definedName name="rthtrh" hidden="1">{"via1",#N/A,TRUE,"general";"via2",#N/A,TRUE,"general";"via3",#N/A,TRUE,"general"}</definedName>
    <definedName name="rtkk" localSheetId="16" hidden="1">{"via1",#N/A,TRUE,"general";"via2",#N/A,TRUE,"general";"via3",#N/A,TRUE,"general"}</definedName>
    <definedName name="rtkk" hidden="1">{"via1",#N/A,TRUE,"general";"via2",#N/A,TRUE,"general";"via3",#N/A,TRUE,"general"}</definedName>
    <definedName name="rttthy" localSheetId="16" hidden="1">{"via1",#N/A,TRUE,"general";"via2",#N/A,TRUE,"general";"via3",#N/A,TRUE,"general"}</definedName>
    <definedName name="rttthy" hidden="1">{"via1",#N/A,TRUE,"general";"via2",#N/A,TRUE,"general";"via3",#N/A,TRUE,"general"}</definedName>
    <definedName name="rtu" localSheetId="16" hidden="1">{"via1",#N/A,TRUE,"general";"via2",#N/A,TRUE,"general";"via3",#N/A,TRUE,"general"}</definedName>
    <definedName name="rtu" hidden="1">{"via1",#N/A,TRUE,"general";"via2",#N/A,TRUE,"general";"via3",#N/A,TRUE,"general"}</definedName>
    <definedName name="rtug" localSheetId="16" hidden="1">{"TAB1",#N/A,TRUE,"GENERAL";"TAB2",#N/A,TRUE,"GENERAL";"TAB3",#N/A,TRUE,"GENERAL";"TAB4",#N/A,TRUE,"GENERAL";"TAB5",#N/A,TRUE,"GENERAL"}</definedName>
    <definedName name="rtug" hidden="1">{"TAB1",#N/A,TRUE,"GENERAL";"TAB2",#N/A,TRUE,"GENERAL";"TAB3",#N/A,TRUE,"GENERAL";"TAB4",#N/A,TRUE,"GENERAL";"TAB5",#N/A,TRUE,"GENERAL"}</definedName>
    <definedName name="rtugsd" localSheetId="16" hidden="1">{"TAB1",#N/A,TRUE,"GENERAL";"TAB2",#N/A,TRUE,"GENERAL";"TAB3",#N/A,TRUE,"GENERAL";"TAB4",#N/A,TRUE,"GENERAL";"TAB5",#N/A,TRUE,"GENERAL"}</definedName>
    <definedName name="rtugsd" hidden="1">{"TAB1",#N/A,TRUE,"GENERAL";"TAB2",#N/A,TRUE,"GENERAL";"TAB3",#N/A,TRUE,"GENERAL";"TAB4",#N/A,TRUE,"GENERAL";"TAB5",#N/A,TRUE,"GENERAL"}</definedName>
    <definedName name="rturtu" localSheetId="16" hidden="1">{"via1",#N/A,TRUE,"general";"via2",#N/A,TRUE,"general";"via3",#N/A,TRUE,"general"}</definedName>
    <definedName name="rturtu" hidden="1">{"via1",#N/A,TRUE,"general";"via2",#N/A,TRUE,"general";"via3",#N/A,TRUE,"general"}</definedName>
    <definedName name="rturu" localSheetId="16" hidden="1">{"via1",#N/A,TRUE,"general";"via2",#N/A,TRUE,"general";"via3",#N/A,TRUE,"general"}</definedName>
    <definedName name="rturu" hidden="1">{"via1",#N/A,TRUE,"general";"via2",#N/A,TRUE,"general";"via3",#N/A,TRUE,"general"}</definedName>
    <definedName name="rtut" localSheetId="16" hidden="1">{"via1",#N/A,TRUE,"general";"via2",#N/A,TRUE,"general";"via3",#N/A,TRUE,"general"}</definedName>
    <definedName name="rtut" hidden="1">{"via1",#N/A,TRUE,"general";"via2",#N/A,TRUE,"general";"via3",#N/A,TRUE,"general"}</definedName>
    <definedName name="rtutru" localSheetId="16" hidden="1">{"via1",#N/A,TRUE,"general";"via2",#N/A,TRUE,"general";"via3",#N/A,TRUE,"general"}</definedName>
    <definedName name="rtutru" hidden="1">{"via1",#N/A,TRUE,"general";"via2",#N/A,TRUE,"general";"via3",#N/A,TRUE,"general"}</definedName>
    <definedName name="rtuy" localSheetId="16" hidden="1">{"via1",#N/A,TRUE,"general";"via2",#N/A,TRUE,"general";"via3",#N/A,TRUE,"general"}</definedName>
    <definedName name="rtuy" hidden="1">{"via1",#N/A,TRUE,"general";"via2",#N/A,TRUE,"general";"via3",#N/A,TRUE,"general"}</definedName>
    <definedName name="rty">#REF!</definedName>
    <definedName name="rtyhr" localSheetId="16" hidden="1">{"TAB1",#N/A,TRUE,"GENERAL";"TAB2",#N/A,TRUE,"GENERAL";"TAB3",#N/A,TRUE,"GENERAL";"TAB4",#N/A,TRUE,"GENERAL";"TAB5",#N/A,TRUE,"GENERAL"}</definedName>
    <definedName name="rtyhr" hidden="1">{"TAB1",#N/A,TRUE,"GENERAL";"TAB2",#N/A,TRUE,"GENERAL";"TAB3",#N/A,TRUE,"GENERAL";"TAB4",#N/A,TRUE,"GENERAL";"TAB5",#N/A,TRUE,"GENERAL"}</definedName>
    <definedName name="rtym" localSheetId="16" hidden="1">{"via1",#N/A,TRUE,"general";"via2",#N/A,TRUE,"general";"via3",#N/A,TRUE,"general"}</definedName>
    <definedName name="rtym" hidden="1">{"via1",#N/A,TRUE,"general";"via2",#N/A,TRUE,"general";"via3",#N/A,TRUE,"general"}</definedName>
    <definedName name="rtyrey" localSheetId="16" hidden="1">{"TAB1",#N/A,TRUE,"GENERAL";"TAB2",#N/A,TRUE,"GENERAL";"TAB3",#N/A,TRUE,"GENERAL";"TAB4",#N/A,TRUE,"GENERAL";"TAB5",#N/A,TRUE,"GENERAL"}</definedName>
    <definedName name="rtyrey" hidden="1">{"TAB1",#N/A,TRUE,"GENERAL";"TAB2",#N/A,TRUE,"GENERAL";"TAB3",#N/A,TRUE,"GENERAL";"TAB4",#N/A,TRUE,"GENERAL";"TAB5",#N/A,TRUE,"GENERAL"}</definedName>
    <definedName name="rtyrh" localSheetId="16" hidden="1">{"via1",#N/A,TRUE,"general";"via2",#N/A,TRUE,"general";"via3",#N/A,TRUE,"general"}</definedName>
    <definedName name="rtyrh" hidden="1">{"via1",#N/A,TRUE,"general";"via2",#N/A,TRUE,"general";"via3",#N/A,TRUE,"general"}</definedName>
    <definedName name="RTYRTY" localSheetId="16" hidden="1">{"via1",#N/A,TRUE,"general";"via2",#N/A,TRUE,"general";"via3",#N/A,TRUE,"general"}</definedName>
    <definedName name="RTYRTY" hidden="1">{"via1",#N/A,TRUE,"general";"via2",#N/A,TRUE,"general";"via3",#N/A,TRUE,"general"}</definedName>
    <definedName name="rtyt" localSheetId="16" hidden="1">{"TAB1",#N/A,TRUE,"GENERAL";"TAB2",#N/A,TRUE,"GENERAL";"TAB3",#N/A,TRUE,"GENERAL";"TAB4",#N/A,TRUE,"GENERAL";"TAB5",#N/A,TRUE,"GENERAL"}</definedName>
    <definedName name="rtyt" hidden="1">{"TAB1",#N/A,TRUE,"GENERAL";"TAB2",#N/A,TRUE,"GENERAL";"TAB3",#N/A,TRUE,"GENERAL";"TAB4",#N/A,TRUE,"GENERAL";"TAB5",#N/A,TRUE,"GENERAL"}</definedName>
    <definedName name="rtytry" localSheetId="16" hidden="1">{"via1",#N/A,TRUE,"general";"via2",#N/A,TRUE,"general";"via3",#N/A,TRUE,"general"}</definedName>
    <definedName name="rtytry" hidden="1">{"via1",#N/A,TRUE,"general";"via2",#N/A,TRUE,"general";"via3",#N/A,TRUE,"general"}</definedName>
    <definedName name="RURAL" localSheetId="16" hidden="1">{"TAB1",#N/A,TRUE,"GENERAL";"TAB2",#N/A,TRUE,"GENERAL";"TAB3",#N/A,TRUE,"GENERAL";"TAB4",#N/A,TRUE,"GENERAL";"TAB5",#N/A,TRUE,"GENERAL"}</definedName>
    <definedName name="RURAL" hidden="1">{"TAB1",#N/A,TRUE,"GENERAL";"TAB2",#N/A,TRUE,"GENERAL";"TAB3",#N/A,TRUE,"GENERAL";"TAB4",#N/A,TRUE,"GENERAL";"TAB5",#N/A,TRUE,"GENERAL"}</definedName>
    <definedName name="ruru" localSheetId="16" hidden="1">{"TAB1",#N/A,TRUE,"GENERAL";"TAB2",#N/A,TRUE,"GENERAL";"TAB3",#N/A,TRUE,"GENERAL";"TAB4",#N/A,TRUE,"GENERAL";"TAB5",#N/A,TRUE,"GENERAL"}</definedName>
    <definedName name="ruru" hidden="1">{"TAB1",#N/A,TRUE,"GENERAL";"TAB2",#N/A,TRUE,"GENERAL";"TAB3",#N/A,TRUE,"GENERAL";"TAB4",#N/A,TRUE,"GENERAL";"TAB5",#N/A,TRUE,"GENERAL"}</definedName>
    <definedName name="RUTA">DATE(YEAR(#REF!),MONTH(#REF!)+Payment_Number,DAY(#REF!))</definedName>
    <definedName name="rutu" localSheetId="16" hidden="1">{"via1",#N/A,TRUE,"general";"via2",#N/A,TRUE,"general";"via3",#N/A,TRUE,"general"}</definedName>
    <definedName name="rutu" hidden="1">{"via1",#N/A,TRUE,"general";"via2",#N/A,TRUE,"general";"via3",#N/A,TRUE,"general"}</definedName>
    <definedName name="Rv">#REF!</definedName>
    <definedName name="Rw">#REF!</definedName>
    <definedName name="rwt" localSheetId="16" hidden="1">{"via1",#N/A,TRUE,"general";"via2",#N/A,TRUE,"general";"via3",#N/A,TRUE,"general"}</definedName>
    <definedName name="rwt" hidden="1">{"via1",#N/A,TRUE,"general";"via2",#N/A,TRUE,"general";"via3",#N/A,TRUE,"general"}</definedName>
    <definedName name="Rx">#REF!</definedName>
    <definedName name="ry" localSheetId="16" hidden="1">{"via1",#N/A,TRUE,"general";"via2",#N/A,TRUE,"general";"via3",#N/A,TRUE,"general"}</definedName>
    <definedName name="ry" hidden="1">{"via1",#N/A,TRUE,"general";"via2",#N/A,TRUE,"general";"via3",#N/A,TRUE,"general"}</definedName>
    <definedName name="ryeryb" localSheetId="16" hidden="1">{"TAB1",#N/A,TRUE,"GENERAL";"TAB2",#N/A,TRUE,"GENERAL";"TAB3",#N/A,TRUE,"GENERAL";"TAB4",#N/A,TRUE,"GENERAL";"TAB5",#N/A,TRUE,"GENERAL"}</definedName>
    <definedName name="ryeryb" hidden="1">{"TAB1",#N/A,TRUE,"GENERAL";"TAB2",#N/A,TRUE,"GENERAL";"TAB3",#N/A,TRUE,"GENERAL";"TAB4",#N/A,TRUE,"GENERAL";"TAB5",#N/A,TRUE,"GENERAL"}</definedName>
    <definedName name="rytrsdg" localSheetId="16" hidden="1">{"via1",#N/A,TRUE,"general";"via2",#N/A,TRUE,"general";"via3",#N/A,TRUE,"general"}</definedName>
    <definedName name="rytrsdg" hidden="1">{"via1",#N/A,TRUE,"general";"via2",#N/A,TRUE,"general";"via3",#N/A,TRUE,"general"}</definedName>
    <definedName name="Rz">#REF!</definedName>
    <definedName name="S">#REF!</definedName>
    <definedName name="SA">#REF!</definedName>
    <definedName name="saa" localSheetId="16" hidden="1">{"via1",#N/A,TRUE,"general";"via2",#N/A,TRUE,"general";"via3",#N/A,TRUE,"general"}</definedName>
    <definedName name="saa" hidden="1">{"via1",#N/A,TRUE,"general";"via2",#N/A,TRUE,"general";"via3",#N/A,TRUE,"general"}</definedName>
    <definedName name="SAD" localSheetId="16" hidden="1">{"via1",#N/A,TRUE,"general";"via2",#N/A,TRUE,"general";"via3",#N/A,TRUE,"general"}</definedName>
    <definedName name="SAD" hidden="1">{"via1",#N/A,TRUE,"general";"via2",#N/A,TRUE,"general";"via3",#N/A,TRUE,"general"}</definedName>
    <definedName name="SADF" localSheetId="16" hidden="1">{"via1",#N/A,TRUE,"general";"via2",#N/A,TRUE,"general";"via3",#N/A,TRUE,"general"}</definedName>
    <definedName name="SADF" hidden="1">{"via1",#N/A,TRUE,"general";"via2",#N/A,TRUE,"general";"via3",#N/A,TRUE,"general"}</definedName>
    <definedName name="sadff" localSheetId="16" hidden="1">{"TAB1",#N/A,TRUE,"GENERAL";"TAB2",#N/A,TRUE,"GENERAL";"TAB3",#N/A,TRUE,"GENERAL";"TAB4",#N/A,TRUE,"GENERAL";"TAB5",#N/A,TRUE,"GENERAL"}</definedName>
    <definedName name="sadff" hidden="1">{"TAB1",#N/A,TRUE,"GENERAL";"TAB2",#N/A,TRUE,"GENERAL";"TAB3",#N/A,TRUE,"GENERAL";"TAB4",#N/A,TRUE,"GENERAL";"TAB5",#N/A,TRUE,"GENERAL"}</definedName>
    <definedName name="sadfo" localSheetId="16" hidden="1">{"via1",#N/A,TRUE,"general";"via2",#N/A,TRUE,"general";"via3",#N/A,TRUE,"general"}</definedName>
    <definedName name="sadfo" hidden="1">{"via1",#N/A,TRUE,"general";"via2",#N/A,TRUE,"general";"via3",#N/A,TRUE,"general"}</definedName>
    <definedName name="safdp" localSheetId="16"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#REF!</definedName>
    <definedName name="SalMinimo">#REF!</definedName>
    <definedName name="SARDINELV">#REF!</definedName>
    <definedName name="sasa">#REF!</definedName>
    <definedName name="Sb">#REF!</definedName>
    <definedName name="sbe">#REF!</definedName>
    <definedName name="sbgfbgdr" localSheetId="16"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6" hidden="1">{"TAB1",#N/A,TRUE,"GENERAL";"TAB2",#N/A,TRUE,"GENERAL";"TAB3",#N/A,TRUE,"GENERAL";"TAB4",#N/A,TRUE,"GENERAL";"TAB5",#N/A,TRUE,"GENERAL"}</definedName>
    <definedName name="sd" hidden="1">{"TAB1",#N/A,TRUE,"GENERAL";"TAB2",#N/A,TRUE,"GENERAL";"TAB3",#N/A,TRUE,"GENERAL";"TAB4",#N/A,TRUE,"GENERAL";"TAB5",#N/A,TRUE,"GENERAL"}</definedName>
    <definedName name="sdaf" localSheetId="16" hidden="1">{"via1",#N/A,TRUE,"general";"via2",#N/A,TRUE,"general";"via3",#N/A,TRUE,"general"}</definedName>
    <definedName name="sdaf" hidden="1">{"via1",#N/A,TRUE,"general";"via2",#N/A,TRUE,"general";"via3",#N/A,TRUE,"general"}</definedName>
    <definedName name="sdas" localSheetId="16" hidden="1">{"via1",#N/A,TRUE,"general";"via2",#N/A,TRUE,"general";"via3",#N/A,TRUE,"general"}</definedName>
    <definedName name="sdas" hidden="1">{"via1",#N/A,TRUE,"general";"via2",#N/A,TRUE,"general";"via3",#N/A,TRUE,"general"}</definedName>
    <definedName name="sdasdf" localSheetId="16" hidden="1">{"via1",#N/A,TRUE,"general";"via2",#N/A,TRUE,"general";"via3",#N/A,TRUE,"general"}</definedName>
    <definedName name="sdasdf" hidden="1">{"via1",#N/A,TRUE,"general";"via2",#N/A,TRUE,"general";"via3",#N/A,TRUE,"general"}</definedName>
    <definedName name="SDCDSCT" localSheetId="16"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CE" localSheetId="16" hidden="1">{"TAB1",#N/A,TRUE,"GENERAL";"TAB2",#N/A,TRUE,"GENERAL";"TAB3",#N/A,TRUE,"GENERAL";"TAB4",#N/A,TRUE,"GENERAL";"TAB5",#N/A,TRUE,"GENERAL"}</definedName>
    <definedName name="SDFCE" hidden="1">{"TAB1",#N/A,TRUE,"GENERAL";"TAB2",#N/A,TRUE,"GENERAL";"TAB3",#N/A,TRUE,"GENERAL";"TAB4",#N/A,TRUE,"GENERAL";"TAB5",#N/A,TRUE,"GENERAL"}</definedName>
    <definedName name="sdfd" localSheetId="16" hidden="1">{"via1",#N/A,TRUE,"general";"via2",#N/A,TRUE,"general";"via3",#N/A,TRUE,"general"}</definedName>
    <definedName name="sdfd" hidden="1">{"via1",#N/A,TRUE,"general";"via2",#N/A,TRUE,"general";"via3",#N/A,TRUE,"general"}</definedName>
    <definedName name="sdfds" localSheetId="16" hidden="1">{"via1",#N/A,TRUE,"general";"via2",#N/A,TRUE,"general";"via3",#N/A,TRUE,"general"}</definedName>
    <definedName name="sdfds" hidden="1">{"via1",#N/A,TRUE,"general";"via2",#N/A,TRUE,"general";"via3",#N/A,TRUE,"general"}</definedName>
    <definedName name="SDFDSO" localSheetId="16" hidden="1">{"via1",#N/A,TRUE,"general";"via2",#N/A,TRUE,"general";"via3",#N/A,TRUE,"general"}</definedName>
    <definedName name="SDFDSO" hidden="1">{"via1",#N/A,TRUE,"general";"via2",#N/A,TRUE,"general";"via3",#N/A,TRUE,"general"}</definedName>
    <definedName name="sdfdstp" localSheetId="16" hidden="1">{"TAB1",#N/A,TRUE,"GENERAL";"TAB2",#N/A,TRUE,"GENERAL";"TAB3",#N/A,TRUE,"GENERAL";"TAB4",#N/A,TRUE,"GENERAL";"TAB5",#N/A,TRUE,"GENERAL"}</definedName>
    <definedName name="sdfdstp" hidden="1">{"TAB1",#N/A,TRUE,"GENERAL";"TAB2",#N/A,TRUE,"GENERAL";"TAB3",#N/A,TRUE,"GENERAL";"TAB4",#N/A,TRUE,"GENERAL";"TAB5",#N/A,TRUE,"GENERAL"}</definedName>
    <definedName name="SDFEO" localSheetId="16" hidden="1">{"via1",#N/A,TRUE,"general";"via2",#N/A,TRUE,"general";"via3",#N/A,TRUE,"general"}</definedName>
    <definedName name="SDFEO" hidden="1">{"via1",#N/A,TRUE,"general";"via2",#N/A,TRUE,"general";"via3",#N/A,TRUE,"general"}</definedName>
    <definedName name="sdfg" localSheetId="16" hidden="1">{"TAB1",#N/A,TRUE,"GENERAL";"TAB2",#N/A,TRUE,"GENERAL";"TAB3",#N/A,TRUE,"GENERAL";"TAB4",#N/A,TRUE,"GENERAL";"TAB5",#N/A,TRUE,"GENERAL"}</definedName>
    <definedName name="sdfg" hidden="1">{"TAB1",#N/A,TRUE,"GENERAL";"TAB2",#N/A,TRUE,"GENERAL";"TAB3",#N/A,TRUE,"GENERAL";"TAB4",#N/A,TRUE,"GENERAL";"TAB5",#N/A,TRUE,"GENERAL"}</definedName>
    <definedName name="sdfgdsfk" localSheetId="16" hidden="1">{"via1",#N/A,TRUE,"general";"via2",#N/A,TRUE,"general";"via3",#N/A,TRUE,"general"}</definedName>
    <definedName name="sdfgdsfk" hidden="1">{"via1",#N/A,TRUE,"general";"via2",#N/A,TRUE,"general";"via3",#N/A,TRUE,"general"}</definedName>
    <definedName name="sdfgsg" localSheetId="16" hidden="1">{"via1",#N/A,TRUE,"general";"via2",#N/A,TRUE,"general";"via3",#N/A,TRUE,"general"}</definedName>
    <definedName name="sdfgsg" hidden="1">{"via1",#N/A,TRUE,"general";"via2",#N/A,TRUE,"general";"via3",#N/A,TRUE,"general"}</definedName>
    <definedName name="sdfhjfasdfjasj">#REF!</definedName>
    <definedName name="SDFLJK" localSheetId="16" hidden="1">{"TAB1",#N/A,TRUE,"GENERAL";"TAB2",#N/A,TRUE,"GENERAL";"TAB3",#N/A,TRUE,"GENERAL";"TAB4",#N/A,TRUE,"GENERAL";"TAB5",#N/A,TRUE,"GENERAL"}</definedName>
    <definedName name="SDFLJK" hidden="1">{"TAB1",#N/A,TRUE,"GENERAL";"TAB2",#N/A,TRUE,"GENERAL";"TAB3",#N/A,TRUE,"GENERAL";"TAB4",#N/A,TRUE,"GENERAL";"TAB5",#N/A,TRUE,"GENERAL"}</definedName>
    <definedName name="sdfsd4" localSheetId="16" hidden="1">{"via1",#N/A,TRUE,"general";"via2",#N/A,TRUE,"general";"via3",#N/A,TRUE,"general"}</definedName>
    <definedName name="sdfsd4" hidden="1">{"via1",#N/A,TRUE,"general";"via2",#N/A,TRUE,"general";"via3",#N/A,TRUE,"general"}</definedName>
    <definedName name="SDFSDF" localSheetId="16" hidden="1">{"TAB1",#N/A,TRUE,"GENERAL";"TAB2",#N/A,TRUE,"GENERAL";"TAB3",#N/A,TRUE,"GENERAL";"TAB4",#N/A,TRUE,"GENERAL";"TAB5",#N/A,TRUE,"GENERAL"}</definedName>
    <definedName name="SDFSDF" hidden="1">{"TAB1",#N/A,TRUE,"GENERAL";"TAB2",#N/A,TRUE,"GENERAL";"TAB3",#N/A,TRUE,"GENERAL";"TAB4",#N/A,TRUE,"GENERAL";"TAB5",#N/A,TRUE,"GENERAL"}</definedName>
    <definedName name="sdfsdfb" localSheetId="16" hidden="1">{"via1",#N/A,TRUE,"general";"via2",#N/A,TRUE,"general";"via3",#N/A,TRUE,"general"}</definedName>
    <definedName name="sdfsdfb" hidden="1">{"via1",#N/A,TRUE,"general";"via2",#N/A,TRUE,"general";"via3",#N/A,TRUE,"general"}</definedName>
    <definedName name="SDFSF" localSheetId="16" hidden="1">{"TAB1",#N/A,TRUE,"GENERAL";"TAB2",#N/A,TRUE,"GENERAL";"TAB3",#N/A,TRUE,"GENERAL";"TAB4",#N/A,TRUE,"GENERAL";"TAB5",#N/A,TRUE,"GENERAL"}</definedName>
    <definedName name="SDFSF" hidden="1">{"TAB1",#N/A,TRUE,"GENERAL";"TAB2",#N/A,TRUE,"GENERAL";"TAB3",#N/A,TRUE,"GENERAL";"TAB4",#N/A,TRUE,"GENERAL";"TAB5",#N/A,TRUE,"GENERAL"}</definedName>
    <definedName name="sdfsv" localSheetId="16" hidden="1">{"TAB1",#N/A,TRUE,"GENERAL";"TAB2",#N/A,TRUE,"GENERAL";"TAB3",#N/A,TRUE,"GENERAL";"TAB4",#N/A,TRUE,"GENERAL";"TAB5",#N/A,TRUE,"GENERAL"}</definedName>
    <definedName name="sdfsv" hidden="1">{"TAB1",#N/A,TRUE,"GENERAL";"TAB2",#N/A,TRUE,"GENERAL";"TAB3",#N/A,TRUE,"GENERAL";"TAB4",#N/A,TRUE,"GENERAL";"TAB5",#N/A,TRUE,"GENERAL"}</definedName>
    <definedName name="sdgfd" localSheetId="16" hidden="1">{"TAB1",#N/A,TRUE,"GENERAL";"TAB2",#N/A,TRUE,"GENERAL";"TAB3",#N/A,TRUE,"GENERAL";"TAB4",#N/A,TRUE,"GENERAL";"TAB5",#N/A,TRUE,"GENERAL"}</definedName>
    <definedName name="sdgfd" hidden="1">{"TAB1",#N/A,TRUE,"GENERAL";"TAB2",#N/A,TRUE,"GENERAL";"TAB3",#N/A,TRUE,"GENERAL";"TAB4",#N/A,TRUE,"GENERAL";"TAB5",#N/A,TRUE,"GENERAL"}</definedName>
    <definedName name="sdgfgp" localSheetId="16" hidden="1">{"via1",#N/A,TRUE,"general";"via2",#N/A,TRUE,"general";"via3",#N/A,TRUE,"general"}</definedName>
    <definedName name="sdgfgp" hidden="1">{"via1",#N/A,TRUE,"general";"via2",#N/A,TRUE,"general";"via3",#N/A,TRUE,"general"}</definedName>
    <definedName name="sdgfiu" localSheetId="16" hidden="1">{"via1",#N/A,TRUE,"general";"via2",#N/A,TRUE,"general";"via3",#N/A,TRUE,"general"}</definedName>
    <definedName name="sdgfiu" hidden="1">{"via1",#N/A,TRUE,"general";"via2",#N/A,TRUE,"general";"via3",#N/A,TRUE,"general"}</definedName>
    <definedName name="sdgsd" localSheetId="16" hidden="1">{"TAB1",#N/A,TRUE,"GENERAL";"TAB2",#N/A,TRUE,"GENERAL";"TAB3",#N/A,TRUE,"GENERAL";"TAB4",#N/A,TRUE,"GENERAL";"TAB5",#N/A,TRUE,"GENERAL"}</definedName>
    <definedName name="sdgsd" hidden="1">{"TAB1",#N/A,TRUE,"GENERAL";"TAB2",#N/A,TRUE,"GENERAL";"TAB3",#N/A,TRUE,"GENERAL";"TAB4",#N/A,TRUE,"GENERAL";"TAB5",#N/A,TRUE,"GENERAL"}</definedName>
    <definedName name="sdgsg" localSheetId="16" hidden="1">{"via1",#N/A,TRUE,"general";"via2",#N/A,TRUE,"general";"via3",#N/A,TRUE,"general"}</definedName>
    <definedName name="sdgsg" hidden="1">{"via1",#N/A,TRUE,"general";"via2",#N/A,TRUE,"general";"via3",#N/A,TRUE,"general"}</definedName>
    <definedName name="SDIKOM" localSheetId="16" hidden="1">{"TAB1",#N/A,TRUE,"GENERAL";"TAB2",#N/A,TRUE,"GENERAL";"TAB3",#N/A,TRUE,"GENERAL";"TAB4",#N/A,TRUE,"GENERAL";"TAB5",#N/A,TRUE,"GENERAL"}</definedName>
    <definedName name="SDIKOM" hidden="1">{"TAB1",#N/A,TRUE,"GENERAL";"TAB2",#N/A,TRUE,"GENERAL";"TAB3",#N/A,TRUE,"GENERAL";"TAB4",#N/A,TRUE,"GENERAL";"TAB5",#N/A,TRUE,"GENERAL"}</definedName>
    <definedName name="sdsdfh" localSheetId="16" hidden="1">{"via1",#N/A,TRUE,"general";"via2",#N/A,TRUE,"general";"via3",#N/A,TRUE,"general"}</definedName>
    <definedName name="sdsdfh" hidden="1">{"via1",#N/A,TRUE,"general";"via2",#N/A,TRUE,"general";"via3",#N/A,TRUE,"general"}</definedName>
    <definedName name="Se">#REF!</definedName>
    <definedName name="SEGUE">#REF!</definedName>
    <definedName name="segundo">#REF!</definedName>
    <definedName name="Semana_para_mostrar" localSheetId="16">CRONOGRAMA!$E$4</definedName>
    <definedName name="Semana_para_mostrar">#REF!</definedName>
    <definedName name="SEP">#REF!</definedName>
    <definedName name="SEPARACIONPLACAS">#REF!</definedName>
    <definedName name="setrj" localSheetId="16" hidden="1">{"via1",#N/A,TRUE,"general";"via2",#N/A,TRUE,"general";"via3",#N/A,TRUE,"general"}</definedName>
    <definedName name="setrj" hidden="1">{"via1",#N/A,TRUE,"general";"via2",#N/A,TRUE,"general";"via3",#N/A,TRUE,"general"}</definedName>
    <definedName name="sett" localSheetId="16" hidden="1">{"via1",#N/A,TRUE,"general";"via2",#N/A,TRUE,"general";"via3",#N/A,TRUE,"general"}</definedName>
    <definedName name="sett" hidden="1">{"via1",#N/A,TRUE,"general";"via2",#N/A,TRUE,"general";"via3",#N/A,TRUE,"general"}</definedName>
    <definedName name="Sf">#REF!</definedName>
    <definedName name="sfasf" localSheetId="16" hidden="1">{"TAB1",#N/A,TRUE,"GENERAL";"TAB2",#N/A,TRUE,"GENERAL";"TAB3",#N/A,TRUE,"GENERAL";"TAB4",#N/A,TRUE,"GENERAL";"TAB5",#N/A,TRUE,"GENERAL"}</definedName>
    <definedName name="sfasf" hidden="1">{"TAB1",#N/A,TRUE,"GENERAL";"TAB2",#N/A,TRUE,"GENERAL";"TAB3",#N/A,TRUE,"GENERAL";"TAB4",#N/A,TRUE,"GENERAL";"TAB5",#N/A,TRUE,"GENERAL"}</definedName>
    <definedName name="sffsaf">#REF!</definedName>
    <definedName name="SFHSGFH" localSheetId="16" hidden="1">{"TAB1",#N/A,TRUE,"GENERAL";"TAB2",#N/A,TRUE,"GENERAL";"TAB3",#N/A,TRUE,"GENERAL";"TAB4",#N/A,TRUE,"GENERAL";"TAB5",#N/A,TRUE,"GENERAL"}</definedName>
    <definedName name="SFHSGFH" hidden="1">{"TAB1",#N/A,TRUE,"GENERAL";"TAB2",#N/A,TRUE,"GENERAL";"TAB3",#N/A,TRUE,"GENERAL";"TAB4",#N/A,TRUE,"GENERAL";"TAB5",#N/A,TRUE,"GENERAL"}</definedName>
    <definedName name="sfsd" localSheetId="16" hidden="1">{"via1",#N/A,TRUE,"general";"via2",#N/A,TRUE,"general";"via3",#N/A,TRUE,"general"}</definedName>
    <definedName name="sfsd" hidden="1">{"via1",#N/A,TRUE,"general";"via2",#N/A,TRUE,"general";"via3",#N/A,TRUE,"general"}</definedName>
    <definedName name="sfsdf" localSheetId="16" hidden="1">{"TAB1",#N/A,TRUE,"GENERAL";"TAB2",#N/A,TRUE,"GENERAL";"TAB3",#N/A,TRUE,"GENERAL";"TAB4",#N/A,TRUE,"GENERAL";"TAB5",#N/A,TRUE,"GENERAL"}</definedName>
    <definedName name="sfsdf" hidden="1">{"TAB1",#N/A,TRUE,"GENERAL";"TAB2",#N/A,TRUE,"GENERAL";"TAB3",#N/A,TRUE,"GENERAL";"TAB4",#N/A,TRUE,"GENERAL";"TAB5",#N/A,TRUE,"GENERAL"}</definedName>
    <definedName name="sfsdferg" localSheetId="16" hidden="1">{"TAB1",#N/A,TRUE,"GENERAL";"TAB2",#N/A,TRUE,"GENERAL";"TAB3",#N/A,TRUE,"GENERAL";"TAB4",#N/A,TRUE,"GENERAL";"TAB5",#N/A,TRUE,"GENERAL"}</definedName>
    <definedName name="sfsdferg" hidden="1">{"TAB1",#N/A,TRUE,"GENERAL";"TAB2",#N/A,TRUE,"GENERAL";"TAB3",#N/A,TRUE,"GENERAL";"TAB4",#N/A,TRUE,"GENERAL";"TAB5",#N/A,TRUE,"GENERAL"}</definedName>
    <definedName name="sfsdfs" localSheetId="16"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21">#N/A</definedName>
    <definedName name="si">#REF!</definedName>
    <definedName name="SIKA">#REF!</definedName>
    <definedName name="SIKA1">#REF!</definedName>
    <definedName name="sio">#REF!</definedName>
    <definedName name="SJ">#REF!</definedName>
    <definedName name="sk">#REF!</definedName>
    <definedName name="SL">#REF!</definedName>
    <definedName name="sm">#REF!</definedName>
    <definedName name="sn">#REF!</definedName>
    <definedName name="snw">#REF!</definedName>
    <definedName name="sñ">#REF!</definedName>
    <definedName name="so">#REF!</definedName>
    <definedName name="SOBRE2H">#REF!</definedName>
    <definedName name="sobrecimiento">#REF!</definedName>
    <definedName name="SOCIAL">#REF!</definedName>
    <definedName name="soladov">#REF!</definedName>
    <definedName name="SOLDA">#REF!</definedName>
    <definedName name="split1.5tons">#REF!</definedName>
    <definedName name="split10tons">#REF!</definedName>
    <definedName name="split12.5tons">#REF!</definedName>
    <definedName name="split15tons">#REF!</definedName>
    <definedName name="split1ton">#REF!</definedName>
    <definedName name="split2.5tons">#REF!</definedName>
    <definedName name="split20tons">#REF!</definedName>
    <definedName name="split2tons">#REF!</definedName>
    <definedName name="split3tons">#REF!</definedName>
    <definedName name="split4tons">#REF!</definedName>
    <definedName name="split5tons">#REF!</definedName>
    <definedName name="split7.5tons">#REF!</definedName>
    <definedName name="splitt15tons">#REF!</definedName>
    <definedName name="spread">#REF!</definedName>
    <definedName name="sr">#REF!</definedName>
    <definedName name="srwrwr" localSheetId="16"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s7" localSheetId="16" hidden="1">{"via1",#N/A,TRUE,"general";"via2",#N/A,TRUE,"general";"via3",#N/A,TRUE,"general"}</definedName>
    <definedName name="sssss7" hidden="1">{"via1",#N/A,TRUE,"general";"via2",#N/A,TRUE,"general";"via3",#N/A,TRUE,"general"}</definedName>
    <definedName name="sssssa" localSheetId="16" hidden="1">{"TAB1",#N/A,TRUE,"GENERAL";"TAB2",#N/A,TRUE,"GENERAL";"TAB3",#N/A,TRUE,"GENERAL";"TAB4",#N/A,TRUE,"GENERAL";"TAB5",#N/A,TRUE,"GENERAL"}</definedName>
    <definedName name="sssssa" hidden="1">{"TAB1",#N/A,TRUE,"GENERAL";"TAB2",#N/A,TRUE,"GENERAL";"TAB3",#N/A,TRUE,"GENERAL";"TAB4",#N/A,TRUE,"GENERAL";"TAB5",#N/A,TRUE,"GENERAL"}</definedName>
    <definedName name="SSSSSSS">IF(Loan_Amount*Interest_Rate*Loan_Years*Loan_Start&gt;0,1,0)</definedName>
    <definedName name="sssssy" localSheetId="16" hidden="1">{"via1",#N/A,TRUE,"general";"via2",#N/A,TRUE,"general";"via3",#N/A,TRUE,"general"}</definedName>
    <definedName name="sssssy" hidden="1">{"via1",#N/A,TRUE,"general";"via2",#N/A,TRUE,"general";"via3",#N/A,TRUE,"general"}</definedName>
    <definedName name="SST" hidden="1">#REF!</definedName>
    <definedName name="st">#REF!</definedName>
    <definedName name="STAYTY">#REF!</definedName>
    <definedName name="stt" localSheetId="16" hidden="1">{"via1",#N/A,TRUE,"general";"via2",#N/A,TRUE,"general";"via3",#N/A,TRUE,"general"}</definedName>
    <definedName name="stt" hidden="1">{"via1",#N/A,TRUE,"general";"via2",#N/A,TRUE,"general";"via3",#N/A,TRUE,"general"}</definedName>
    <definedName name="SU">#REF!</definedName>
    <definedName name="SUBBASE">#REF!</definedName>
    <definedName name="SUBESTACIONES">#REF!</definedName>
    <definedName name="SUBPRODUCTOS">#REF!</definedName>
    <definedName name="SUBTOTALMAT">#REF!</definedName>
    <definedName name="suma">#REF!</definedName>
    <definedName name="SUPERCEL">#REF!</definedName>
    <definedName name="SUPERT">#REF!</definedName>
    <definedName name="swsw" localSheetId="16" hidden="1">{"via1",#N/A,TRUE,"general";"via2",#N/A,TRUE,"general";"via3",#N/A,TRUE,"general"}</definedName>
    <definedName name="swsw" hidden="1">{"via1",#N/A,TRUE,"general";"via2",#N/A,TRUE,"general";"via3",#N/A,TRUE,"general"}</definedName>
    <definedName name="swsw3" localSheetId="16"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ZX">#REF!</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5t5" localSheetId="16"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#REF!</definedName>
    <definedName name="TABLA">#REF!</definedName>
    <definedName name="TABLA_CMI">#REF!</definedName>
    <definedName name="TABLA_RN">#REF!</definedName>
    <definedName name="TABLA1.2.2">#REF!</definedName>
    <definedName name="tabla2">#REF!</definedName>
    <definedName name="Tablero_trifásico_12_circuitos">#REF!</definedName>
    <definedName name="TANQUE">#REF!</definedName>
    <definedName name="TANQUES4.1">#REF!</definedName>
    <definedName name="TAPA">#REF!</definedName>
    <definedName name="TARIFAS_SUBSIDIOS">#REF!</definedName>
    <definedName name="TARIFAS1">#REF!</definedName>
    <definedName name="task_end">[1]CRONOGRAMA!$F1</definedName>
    <definedName name="task_progress">#REF!</definedName>
    <definedName name="task_start">[1]CRONOGRAMA!$E1</definedName>
    <definedName name="Tb">#REF!</definedName>
    <definedName name="TC" localSheetId="16"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#REF!</definedName>
    <definedName name="tdy" localSheetId="16"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ble">#REF!</definedName>
    <definedName name="Tec_Adesivo">#REF!</definedName>
    <definedName name="TECN">DATE(YEAR(Loan_Start),MONTH(Loan_Start)+Payment_Number,DAY(Loan_Start))</definedName>
    <definedName name="Tecnico">#REF!</definedName>
    <definedName name="TEE_HD_PN10_DN_200x200mm_3BR">#REF!</definedName>
    <definedName name="TERMINADORA">#REF!</definedName>
    <definedName name="tewst" localSheetId="16" hidden="1">{"TAB1",#N/A,TRUE,"GENERAL";"TAB2",#N/A,TRUE,"GENERAL";"TAB3",#N/A,TRUE,"GENERAL";"TAB4",#N/A,TRUE,"GENERAL";"TAB5",#N/A,TRUE,"GENERAL"}</definedName>
    <definedName name="tewst" hidden="1">{"TAB1",#N/A,TRUE,"GENERAL";"TAB2",#N/A,TRUE,"GENERAL";"TAB3",#N/A,TRUE,"GENERAL";"TAB4",#N/A,TRUE,"GENERAL";"TAB5",#N/A,TRUE,"GENERAL"}</definedName>
    <definedName name="teytrh" localSheetId="16" hidden="1">{"via1",#N/A,TRUE,"general";"via2",#N/A,TRUE,"general";"via3",#N/A,TRUE,"general"}</definedName>
    <definedName name="teytrh" hidden="1">{"via1",#N/A,TRUE,"general";"via2",#N/A,TRUE,"general";"via3",#N/A,TRUE,"general"}</definedName>
    <definedName name="Tf">#REF!</definedName>
    <definedName name="Tg">#REF!</definedName>
    <definedName name="Th">#REF!</definedName>
    <definedName name="thdh" localSheetId="16" hidden="1">{"TAB1",#N/A,TRUE,"GENERAL";"TAB2",#N/A,TRUE,"GENERAL";"TAB3",#N/A,TRUE,"GENERAL";"TAB4",#N/A,TRUE,"GENERAL";"TAB5",#N/A,TRUE,"GENERAL"}</definedName>
    <definedName name="thdh" hidden="1">{"TAB1",#N/A,TRUE,"GENERAL";"TAB2",#N/A,TRUE,"GENERAL";"TAB3",#N/A,TRUE,"GENERAL";"TAB4",#N/A,TRUE,"GENERAL";"TAB5",#N/A,TRUE,"GENERAL"}</definedName>
    <definedName name="thtj" localSheetId="16" hidden="1">{"via1",#N/A,TRUE,"general";"via2",#N/A,TRUE,"general";"via3",#N/A,TRUE,"general"}</definedName>
    <definedName name="thtj" hidden="1">{"via1",#N/A,TRUE,"general";"via2",#N/A,TRUE,"general";"via3",#N/A,TRUE,"general"}</definedName>
    <definedName name="Ti">#REF!</definedName>
    <definedName name="TIEMPO">#REF!</definedName>
    <definedName name="Tipo_Hora">#REF!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IF(Loan_Amount*Interest_Rate*Loan_Years*Loan_Start&gt;0,1,0)</definedName>
    <definedName name="TITO">#N/A</definedName>
    <definedName name="TITOF">#N/A</definedName>
    <definedName name="TITULO">#REF!</definedName>
    <definedName name="TITULOS">#REF!</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b">#REF!</definedName>
    <definedName name="TODOANA">#REF!</definedName>
    <definedName name="TODOINSU">#REF!</definedName>
    <definedName name="TODOITEM">#REF!</definedName>
    <definedName name="TOPO">#REF!</definedName>
    <definedName name="tortas" localSheetId="16" hidden="1">{"TAB1",#N/A,TRUE,"GENERAL";"TAB2",#N/A,TRUE,"GENERAL";"TAB3",#N/A,TRUE,"GENERAL";"TAB4",#N/A,TRUE,"GENERAL";"TAB5",#N/A,TRUE,"GENERAL"}</definedName>
    <definedName name="tortas" hidden="1">{"TAB1",#N/A,TRUE,"GENERAL";"TAB2",#N/A,TRUE,"GENERAL";"TAB3",#N/A,TRUE,"GENERAL";"TAB4",#N/A,TRUE,"GENERAL";"TAB5",#N/A,TRUE,"GENERAL"}</definedName>
    <definedName name="tortas2" localSheetId="16"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ia">#REF!</definedName>
    <definedName name="Tp">#REF!</definedName>
    <definedName name="Tq">#REF!</definedName>
    <definedName name="tr" localSheetId="16"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mite">#REF!</definedName>
    <definedName name="TRAMO">#REF!</definedName>
    <definedName name="TRANAG">#REF!</definedName>
    <definedName name="Transporte">#REF!</definedName>
    <definedName name="Transporte_material">#REF!</definedName>
    <definedName name="TRAT">#REF!</definedName>
    <definedName name="trest" localSheetId="16" hidden="1">{"TAB1",#N/A,TRUE,"GENERAL";"TAB2",#N/A,TRUE,"GENERAL";"TAB3",#N/A,TRUE,"GENERAL";"TAB4",#N/A,TRUE,"GENERAL";"TAB5",#N/A,TRUE,"GENERAL"}</definedName>
    <definedName name="trest" hidden="1">{"TAB1",#N/A,TRUE,"GENERAL";"TAB2",#N/A,TRUE,"GENERAL";"TAB3",#N/A,TRUE,"GENERAL";"TAB4",#N/A,TRUE,"GENERAL";"TAB5",#N/A,TRUE,"GENERAL"}</definedName>
    <definedName name="tret" localSheetId="16" hidden="1">{"TAB1",#N/A,TRUE,"GENERAL";"TAB2",#N/A,TRUE,"GENERAL";"TAB3",#N/A,TRUE,"GENERAL";"TAB4",#N/A,TRUE,"GENERAL";"TAB5",#N/A,TRUE,"GENERAL"}</definedName>
    <definedName name="tret" hidden="1">{"TAB1",#N/A,TRUE,"GENERAL";"TAB2",#N/A,TRUE,"GENERAL";"TAB3",#N/A,TRUE,"GENERAL";"TAB4",#N/A,TRUE,"GENERAL";"TAB5",#N/A,TRUE,"GENERAL"}</definedName>
    <definedName name="trh" localSheetId="16" hidden="1">{"via1",#N/A,TRUE,"general";"via2",#N/A,TRUE,"general";"via3",#N/A,TRUE,"general"}</definedName>
    <definedName name="trh" hidden="1">{"via1",#N/A,TRUE,"general";"via2",#N/A,TRUE,"general";"via3",#N/A,TRUE,"general"}</definedName>
    <definedName name="trhfh" localSheetId="16" hidden="1">{"via1",#N/A,TRUE,"general";"via2",#N/A,TRUE,"general";"via3",#N/A,TRUE,"general"}</definedName>
    <definedName name="trhfh" hidden="1">{"via1",#N/A,TRUE,"general";"via2",#N/A,TRUE,"general";"via3",#N/A,TRUE,"general"}</definedName>
    <definedName name="trimestre1">#REF!</definedName>
    <definedName name="TRIPLEX">#REF!</definedName>
    <definedName name="TRITM">#REF!</definedName>
    <definedName name="TRITU">#REF!</definedName>
    <definedName name="TRITURADO">#REF!</definedName>
    <definedName name="trjfgjh" localSheetId="16" hidden="1">{"via1",#N/A,TRUE,"general";"via2",#N/A,TRUE,"general";"via3",#N/A,TRUE,"general"}</definedName>
    <definedName name="trjfgjh" hidden="1">{"via1",#N/A,TRUE,"general";"via2",#N/A,TRUE,"general";"via3",#N/A,TRUE,"general"}</definedName>
    <definedName name="tru" localSheetId="16" hidden="1">{"via1",#N/A,TRUE,"general";"via2",#N/A,TRUE,"general";"via3",#N/A,TRUE,"general"}</definedName>
    <definedName name="tru" hidden="1">{"via1",#N/A,TRUE,"general";"via2",#N/A,TRUE,"general";"via3",#N/A,TRUE,"general"}</definedName>
    <definedName name="truds" localSheetId="16" hidden="1">{"via1",#N/A,TRUE,"general";"via2",#N/A,TRUE,"general";"via3",#N/A,TRUE,"general"}</definedName>
    <definedName name="truds" hidden="1">{"via1",#N/A,TRUE,"general";"via2",#N/A,TRUE,"general";"via3",#N/A,TRUE,"general"}</definedName>
    <definedName name="trutu" localSheetId="16" hidden="1">{"via1",#N/A,TRUE,"general";"via2",#N/A,TRUE,"general";"via3",#N/A,TRUE,"general"}</definedName>
    <definedName name="trutu" hidden="1">{"via1",#N/A,TRUE,"general";"via2",#N/A,TRUE,"general";"via3",#N/A,TRUE,"general"}</definedName>
    <definedName name="trydfg" localSheetId="16" hidden="1">{"via1",#N/A,TRUE,"general";"via2",#N/A,TRUE,"general";"via3",#N/A,TRUE,"general"}</definedName>
    <definedName name="trydfg" hidden="1">{"via1",#N/A,TRUE,"general";"via2",#N/A,TRUE,"general";"via3",#N/A,TRUE,"general"}</definedName>
    <definedName name="trydtrygf" localSheetId="16" hidden="1">{"via1",#N/A,TRUE,"general";"via2",#N/A,TRUE,"general";"via3",#N/A,TRUE,"general"}</definedName>
    <definedName name="trydtrygf" hidden="1">{"via1",#N/A,TRUE,"general";"via2",#N/A,TRUE,"general";"via3",#N/A,TRUE,"general"}</definedName>
    <definedName name="tryery" localSheetId="16" hidden="1">{"TAB1",#N/A,TRUE,"GENERAL";"TAB2",#N/A,TRUE,"GENERAL";"TAB3",#N/A,TRUE,"GENERAL";"TAB4",#N/A,TRUE,"GENERAL";"TAB5",#N/A,TRUE,"GENERAL"}</definedName>
    <definedName name="tryery" hidden="1">{"TAB1",#N/A,TRUE,"GENERAL";"TAB2",#N/A,TRUE,"GENERAL";"TAB3",#N/A,TRUE,"GENERAL";"TAB4",#N/A,TRUE,"GENERAL";"TAB5",#N/A,TRUE,"GENERAL"}</definedName>
    <definedName name="tryi6" localSheetId="16" hidden="1">{"TAB1",#N/A,TRUE,"GENERAL";"TAB2",#N/A,TRUE,"GENERAL";"TAB3",#N/A,TRUE,"GENERAL";"TAB4",#N/A,TRUE,"GENERAL";"TAB5",#N/A,TRUE,"GENERAL"}</definedName>
    <definedName name="tryi6" hidden="1">{"TAB1",#N/A,TRUE,"GENERAL";"TAB2",#N/A,TRUE,"GENERAL";"TAB3",#N/A,TRUE,"GENERAL";"TAB4",#N/A,TRUE,"GENERAL";"TAB5",#N/A,TRUE,"GENERAL"}</definedName>
    <definedName name="tryrth" localSheetId="16" hidden="1">{"via1",#N/A,TRUE,"general";"via2",#N/A,TRUE,"general";"via3",#N/A,TRUE,"general"}</definedName>
    <definedName name="tryrth" hidden="1">{"via1",#N/A,TRUE,"general";"via2",#N/A,TRUE,"general";"via3",#N/A,TRUE,"general"}</definedName>
    <definedName name="Ts">#REF!</definedName>
    <definedName name="tsert" localSheetId="16"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localSheetId="16" hidden="1">{"via1",#N/A,TRUE,"general";"via2",#N/A,TRUE,"general";"via3",#N/A,TRUE,"general"}</definedName>
    <definedName name="TTR" hidden="1">{"via1",#N/A,TRUE,"general";"via2",#N/A,TRUE,"general";"via3",#N/A,TRUE,"general"}</definedName>
    <definedName name="ttrff" localSheetId="16" hidden="1">{"via1",#N/A,TRUE,"general";"via2",#N/A,TRUE,"general";"via3",#N/A,TRUE,"general"}</definedName>
    <definedName name="ttrff" hidden="1">{"via1",#N/A,TRUE,"general";"via2",#N/A,TRUE,"general";"via3",#N/A,TRUE,"general"}</definedName>
    <definedName name="ttt" hidden="1">#REF!</definedName>
    <definedName name="tttt7" localSheetId="16" hidden="1">{"via1",#N/A,TRUE,"general";"via2",#N/A,TRUE,"general";"via3",#N/A,TRUE,"general"}</definedName>
    <definedName name="tttt7" hidden="1">{"via1",#N/A,TRUE,"general";"via2",#N/A,TRUE,"general";"via3",#N/A,TRUE,"general"}</definedName>
    <definedName name="tttthy" localSheetId="16" hidden="1">{"TAB1",#N/A,TRUE,"GENERAL";"TAB2",#N/A,TRUE,"GENERAL";"TAB3",#N/A,TRUE,"GENERAL";"TAB4",#N/A,TRUE,"GENERAL";"TAB5",#N/A,TRUE,"GENERAL"}</definedName>
    <definedName name="tttthy" hidden="1">{"TAB1",#N/A,TRUE,"GENERAL";"TAB2",#N/A,TRUE,"GENERAL";"TAB3",#N/A,TRUE,"GENERAL";"TAB4",#N/A,TRUE,"GENERAL";"TAB5",#N/A,TRUE,"GENERAL"}</definedName>
    <definedName name="ttttr" localSheetId="16" hidden="1">{"via1",#N/A,TRUE,"general";"via2",#N/A,TRUE,"general";"via3",#N/A,TRUE,"general"}</definedName>
    <definedName name="ttttr" hidden="1">{"via1",#N/A,TRUE,"general";"via2",#N/A,TRUE,"general";"via3",#N/A,TRUE,"general"}</definedName>
    <definedName name="ttttt" localSheetId="16"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u">#REF!</definedName>
    <definedName name="tub">#REF!</definedName>
    <definedName name="tuberia3">#REF!</definedName>
    <definedName name="TUBO">#REF!</definedName>
    <definedName name="TUBO6">#REF!</definedName>
    <definedName name="TUBO8">#REF!</definedName>
    <definedName name="TUPI">MATCH(0.01,End_Bal,-1)+1</definedName>
    <definedName name="tur" localSheetId="16" hidden="1">{"TAB1",#N/A,TRUE,"GENERAL";"TAB2",#N/A,TRUE,"GENERAL";"TAB3",#N/A,TRUE,"GENERAL";"TAB4",#N/A,TRUE,"GENERAL";"TAB5",#N/A,TRUE,"GENERAL"}</definedName>
    <definedName name="tur" hidden="1">{"TAB1",#N/A,TRUE,"GENERAL";"TAB2",#N/A,TRUE,"GENERAL";"TAB3",#N/A,TRUE,"GENERAL";"TAB4",#N/A,TRUE,"GENERAL";"TAB5",#N/A,TRUE,"GENERAL"}</definedName>
    <definedName name="turbiedad">#REF!</definedName>
    <definedName name="turu" localSheetId="16"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localSheetId="16" hidden="1">{"TAB1",#N/A,TRUE,"GENERAL";"TAB2",#N/A,TRUE,"GENERAL";"TAB3",#N/A,TRUE,"GENERAL";"TAB4",#N/A,TRUE,"GENERAL";"TAB5",#N/A,TRUE,"GENERAL"}</definedName>
    <definedName name="twer" hidden="1">{"TAB1",#N/A,TRUE,"GENERAL";"TAB2",#N/A,TRUE,"GENERAL";"TAB3",#N/A,TRUE,"GENERAL";"TAB4",#N/A,TRUE,"GENERAL";"TAB5",#N/A,TRUE,"GENERAL"}</definedName>
    <definedName name="twet" localSheetId="16"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16" hidden="1">{"via1",#N/A,TRUE,"general";"via2",#N/A,TRUE,"general";"via3",#N/A,TRUE,"general"}</definedName>
    <definedName name="ty" hidden="1">{"via1",#N/A,TRUE,"general";"via2",#N/A,TRUE,"general";"via3",#N/A,TRUE,"general"}</definedName>
    <definedName name="tyery" localSheetId="16" hidden="1">{"via1",#N/A,TRUE,"general";"via2",#N/A,TRUE,"general";"via3",#N/A,TRUE,"general"}</definedName>
    <definedName name="tyery" hidden="1">{"via1",#N/A,TRUE,"general";"via2",#N/A,TRUE,"general";"via3",#N/A,TRUE,"general"}</definedName>
    <definedName name="tyj" localSheetId="16" hidden="1">{"TAB1",#N/A,TRUE,"GENERAL";"TAB2",#N/A,TRUE,"GENERAL";"TAB3",#N/A,TRUE,"GENERAL";"TAB4",#N/A,TRUE,"GENERAL";"TAB5",#N/A,TRUE,"GENERAL"}</definedName>
    <definedName name="tyj" hidden="1">{"TAB1",#N/A,TRUE,"GENERAL";"TAB2",#N/A,TRUE,"GENERAL";"TAB3",#N/A,TRUE,"GENERAL";"TAB4",#N/A,TRUE,"GENERAL";"TAB5",#N/A,TRUE,"GENERAL"}</definedName>
    <definedName name="tyjtyj" localSheetId="16" hidden="1">{"TAB1",#N/A,TRUE,"GENERAL";"TAB2",#N/A,TRUE,"GENERAL";"TAB3",#N/A,TRUE,"GENERAL";"TAB4",#N/A,TRUE,"GENERAL";"TAB5",#N/A,TRUE,"GENERAL"}</definedName>
    <definedName name="tyjtyj"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hidden="1">{"TAB1",#N/A,TRUE,"GENERAL";"TAB2",#N/A,TRUE,"GENERAL";"TAB3",#N/A,TRUE,"GENERAL";"TAB4",#N/A,TRUE,"GENERAL";"TAB5",#N/A,TRUE,"GENERAL"}</definedName>
    <definedName name="tyk" localSheetId="16" hidden="1">{"via1",#N/A,TRUE,"general";"via2",#N/A,TRUE,"general";"via3",#N/A,TRUE,"general"}</definedName>
    <definedName name="tyk" hidden="1">{"via1",#N/A,TRUE,"general";"via2",#N/A,TRUE,"general";"via3",#N/A,TRUE,"general"}</definedName>
    <definedName name="tym" localSheetId="16" hidden="1">{"via1",#N/A,TRUE,"general";"via2",#N/A,TRUE,"general";"via3",#N/A,TRUE,"general"}</definedName>
    <definedName name="tym" hidden="1">{"via1",#N/A,TRUE,"general";"via2",#N/A,TRUE,"general";"via3",#N/A,TRUE,"general"}</definedName>
    <definedName name="tyr" localSheetId="16" hidden="1">{"via1",#N/A,TRUE,"general";"via2",#N/A,TRUE,"general";"via3",#N/A,TRUE,"general"}</definedName>
    <definedName name="tyr" hidden="1">{"via1",#N/A,TRUE,"general";"via2",#N/A,TRUE,"general";"via3",#N/A,TRUE,"general"}</definedName>
    <definedName name="tytgfhgfh" localSheetId="16" hidden="1">{"TAB1",#N/A,TRUE,"GENERAL";"TAB2",#N/A,TRUE,"GENERAL";"TAB3",#N/A,TRUE,"GENERAL";"TAB4",#N/A,TRUE,"GENERAL";"TAB5",#N/A,TRUE,"GENERAL"}</definedName>
    <definedName name="tytgfhgfh" hidden="1">{"TAB1",#N/A,TRUE,"GENERAL";"TAB2",#N/A,TRUE,"GENERAL";"TAB3",#N/A,TRUE,"GENERAL";"TAB4",#N/A,TRUE,"GENERAL";"TAB5",#N/A,TRUE,"GENERAL"}</definedName>
    <definedName name="tyty" localSheetId="16"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6" hidden="1">{"TAB1",#N/A,TRUE,"GENERAL";"TAB2",#N/A,TRUE,"GENERAL";"TAB3",#N/A,TRUE,"GENERAL";"TAB4",#N/A,TRUE,"GENERAL";"TAB5",#N/A,TRUE,"GENERAL"}</definedName>
    <definedName name="TYUIYI" hidden="1">{"TAB1",#N/A,TRUE,"GENERAL";"TAB2",#N/A,TRUE,"GENERAL";"TAB3",#N/A,TRUE,"GENERAL";"TAB4",#N/A,TRUE,"GENERAL";"TAB5",#N/A,TRUE,"GENERAL"}</definedName>
    <definedName name="tyujh" localSheetId="16" hidden="1">{"TAB1",#N/A,TRUE,"GENERAL";"TAB2",#N/A,TRUE,"GENERAL";"TAB3",#N/A,TRUE,"GENERAL";"TAB4",#N/A,TRUE,"GENERAL";"TAB5",#N/A,TRUE,"GENERAL"}</definedName>
    <definedName name="tyujh" hidden="1">{"TAB1",#N/A,TRUE,"GENERAL";"TAB2",#N/A,TRUE,"GENERAL";"TAB3",#N/A,TRUE,"GENERAL";"TAB4",#N/A,TRUE,"GENERAL";"TAB5",#N/A,TRUE,"GENERAL"}</definedName>
    <definedName name="tyuty" localSheetId="16" hidden="1">{"TAB1",#N/A,TRUE,"GENERAL";"TAB2",#N/A,TRUE,"GENERAL";"TAB3",#N/A,TRUE,"GENERAL";"TAB4",#N/A,TRUE,"GENERAL";"TAB5",#N/A,TRUE,"GENERAL"}</definedName>
    <definedName name="tyuty" hidden="1">{"TAB1",#N/A,TRUE,"GENERAL";"TAB2",#N/A,TRUE,"GENERAL";"TAB3",#N/A,TRUE,"GENERAL";"TAB4",#N/A,TRUE,"GENERAL";"TAB5",#N/A,TRUE,"GENERAL"}</definedName>
    <definedName name="tyutyu" localSheetId="16" hidden="1">{"via1",#N/A,TRUE,"general";"via2",#N/A,TRUE,"general";"via3",#N/A,TRUE,"general"}</definedName>
    <definedName name="tyutyu" hidden="1">{"via1",#N/A,TRUE,"general";"via2",#N/A,TRUE,"general";"via3",#N/A,TRUE,"general"}</definedName>
    <definedName name="tyxg" localSheetId="16" hidden="1">{"via1",#N/A,TRUE,"general";"via2",#N/A,TRUE,"general";"via3",#N/A,TRUE,"general"}</definedName>
    <definedName name="tyxg" hidden="1">{"via1",#N/A,TRUE,"general";"via2",#N/A,TRUE,"general";"via3",#N/A,TRUE,"general"}</definedName>
    <definedName name="Tz">#REF!</definedName>
    <definedName name="U">#REF!</definedName>
    <definedName name="u3u" localSheetId="16" hidden="1">{"TAB1",#N/A,TRUE,"GENERAL";"TAB2",#N/A,TRUE,"GENERAL";"TAB3",#N/A,TRUE,"GENERAL";"TAB4",#N/A,TRUE,"GENERAL";"TAB5",#N/A,TRUE,"GENERAL"}</definedName>
    <definedName name="u3u" hidden="1">{"TAB1",#N/A,TRUE,"GENERAL";"TAB2",#N/A,TRUE,"GENERAL";"TAB3",#N/A,TRUE,"GENERAL";"TAB4",#N/A,TRUE,"GENERAL";"TAB5",#N/A,TRUE,"GENERAL"}</definedName>
    <definedName name="u7u7" localSheetId="16"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g">#REF!</definedName>
    <definedName name="Uh">#REF!</definedName>
    <definedName name="UI" localSheetId="16" hidden="1">{"via1",#N/A,TRUE,"general";"via2",#N/A,TRUE,"general";"via3",#N/A,TRUE,"general"}</definedName>
    <definedName name="UI" hidden="1">{"via1",#N/A,TRUE,"general";"via2",#N/A,TRUE,"general";"via3",#N/A,TRUE,"general"}</definedName>
    <definedName name="uijhj" localSheetId="16" hidden="1">{"via1",#N/A,TRUE,"general";"via2",#N/A,TRUE,"general";"via3",#N/A,TRUE,"general"}</definedName>
    <definedName name="uijhj" hidden="1">{"via1",#N/A,TRUE,"general";"via2",#N/A,TRUE,"general";"via3",#N/A,TRUE,"general"}</definedName>
    <definedName name="uio" localSheetId="16" hidden="1">{"TAB1",#N/A,TRUE,"GENERAL";"TAB2",#N/A,TRUE,"GENERAL";"TAB3",#N/A,TRUE,"GENERAL";"TAB4",#N/A,TRUE,"GENERAL";"TAB5",#N/A,TRUE,"GENERAL"}</definedName>
    <definedName name="uio" hidden="1">{"TAB1",#N/A,TRUE,"GENERAL";"TAB2",#N/A,TRUE,"GENERAL";"TAB3",#N/A,TRUE,"GENERAL";"TAB4",#N/A,TRUE,"GENERAL";"TAB5",#N/A,TRUE,"GENERAL"}</definedName>
    <definedName name="uiou" localSheetId="16" hidden="1">{"TAB1",#N/A,TRUE,"GENERAL";"TAB2",#N/A,TRUE,"GENERAL";"TAB3",#N/A,TRUE,"GENERAL";"TAB4",#N/A,TRUE,"GENERAL";"TAB5",#N/A,TRUE,"GENERAL"}</definedName>
    <definedName name="uiou" hidden="1">{"TAB1",#N/A,TRUE,"GENERAL";"TAB2",#N/A,TRUE,"GENERAL";"TAB3",#N/A,TRUE,"GENERAL";"TAB4",#N/A,TRUE,"GENERAL";"TAB5",#N/A,TRUE,"GENERAL"}</definedName>
    <definedName name="uir" localSheetId="16" hidden="1">{"via1",#N/A,TRUE,"general";"via2",#N/A,TRUE,"general";"via3",#N/A,TRUE,"general"}</definedName>
    <definedName name="uir" hidden="1">{"via1",#N/A,TRUE,"general";"via2",#N/A,TRUE,"general";"via3",#N/A,TRUE,"general"}</definedName>
    <definedName name="uituii" localSheetId="16" hidden="1">{"TAB1",#N/A,TRUE,"GENERAL";"TAB2",#N/A,TRUE,"GENERAL";"TAB3",#N/A,TRUE,"GENERAL";"TAB4",#N/A,TRUE,"GENERAL";"TAB5",#N/A,TRUE,"GENERAL"}</definedName>
    <definedName name="uituii" hidden="1">{"TAB1",#N/A,TRUE,"GENERAL";"TAB2",#N/A,TRUE,"GENERAL";"TAB3",#N/A,TRUE,"GENERAL";"TAB4",#N/A,TRUE,"GENERAL";"TAB5",#N/A,TRUE,"GENERAL"}</definedName>
    <definedName name="uityjj" localSheetId="16" hidden="1">{"via1",#N/A,TRUE,"general";"via2",#N/A,TRUE,"general";"via3",#N/A,TRUE,"general"}</definedName>
    <definedName name="uityjj" hidden="1">{"via1",#N/A,TRUE,"general";"via2",#N/A,TRUE,"general";"via3",#N/A,TRUE,"general"}</definedName>
    <definedName name="uiufgj" localSheetId="16" hidden="1">{"TAB1",#N/A,TRUE,"GENERAL";"TAB2",#N/A,TRUE,"GENERAL";"TAB3",#N/A,TRUE,"GENERAL";"TAB4",#N/A,TRUE,"GENERAL";"TAB5",#N/A,TRUE,"GENERAL"}</definedName>
    <definedName name="uiufgj" hidden="1">{"TAB1",#N/A,TRUE,"GENERAL";"TAB2",#N/A,TRUE,"GENERAL";"TAB3",#N/A,TRUE,"GENERAL";"TAB4",#N/A,TRUE,"GENERAL";"TAB5",#N/A,TRUE,"GENERAL"}</definedName>
    <definedName name="UIUYI" localSheetId="16"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IF(LEN(#REF!)=2,"",IF(#REF!="","",IF(ISERROR(SEARCH("-",#REF!,3)),VLOOKUP(#REF!,#REF!,3,0),VLOOKUP(#REF!,#REF!,3,FALSE))))</definedName>
    <definedName name="UN_AUX">IF(#REF!="","",VLOOKUP(#REF!,#REF!,3,FALSE))</definedName>
    <definedName name="UNIDAD">#REF!</definedName>
    <definedName name="UNIDAD1">#REF!</definedName>
    <definedName name="UNIDAD521">#REF!</definedName>
    <definedName name="Unidades">#REF!</definedName>
    <definedName name="Uñ">#REF!</definedName>
    <definedName name="Uo">#REF!</definedName>
    <definedName name="UOUIV" localSheetId="16"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yur" localSheetId="16"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t">#REF!</definedName>
    <definedName name="UTIL">#REF!</definedName>
    <definedName name="utilidad">#REF!</definedName>
    <definedName name="UtilidadObra">#REF!</definedName>
    <definedName name="uu" localSheetId="16" hidden="1">{"TAB1",#N/A,TRUE,"GENERAL";"TAB2",#N/A,TRUE,"GENERAL";"TAB3",#N/A,TRUE,"GENERAL";"TAB4",#N/A,TRUE,"GENERAL";"TAB5",#N/A,TRUE,"GENERAL"}</definedName>
    <definedName name="uu" hidden="1">{"TAB1",#N/A,TRUE,"GENERAL";"TAB2",#N/A,TRUE,"GENERAL";"TAB3",#N/A,TRUE,"GENERAL";"TAB4",#N/A,TRUE,"GENERAL";"TAB5",#N/A,TRUE,"GENERAL"}</definedName>
    <definedName name="uuu" localSheetId="16" hidden="1">{"TAB1",#N/A,TRUE,"GENERAL";"TAB2",#N/A,TRUE,"GENERAL";"TAB3",#N/A,TRUE,"GENERAL";"TAB4",#N/A,TRUE,"GENERAL";"TAB5",#N/A,TRUE,"GENERAL"}</definedName>
    <definedName name="uuu" hidden="1">{"TAB1",#N/A,TRUE,"GENERAL";"TAB2",#N/A,TRUE,"GENERAL";"TAB3",#N/A,TRUE,"GENERAL";"TAB4",#N/A,TRUE,"GENERAL";"TAB5",#N/A,TRUE,"GENERAL"}</definedName>
    <definedName name="uuuuo" localSheetId="16" hidden="1">{"TAB1",#N/A,TRUE,"GENERAL";"TAB2",#N/A,TRUE,"GENERAL";"TAB3",#N/A,TRUE,"GENERAL";"TAB4",#N/A,TRUE,"GENERAL";"TAB5",#N/A,TRUE,"GENERAL"}</definedName>
    <definedName name="uuuuo" hidden="1">{"TAB1",#N/A,TRUE,"GENERAL";"TAB2",#N/A,TRUE,"GENERAL";"TAB3",#N/A,TRUE,"GENERAL";"TAB4",#N/A,TRUE,"GENERAL";"TAB5",#N/A,TRUE,"GENERAL"}</definedName>
    <definedName name="uuuuuj" localSheetId="16" hidden="1">{"via1",#N/A,TRUE,"general";"via2",#N/A,TRUE,"general";"via3",#N/A,TRUE,"general"}</definedName>
    <definedName name="uuuuuj" hidden="1">{"via1",#N/A,TRUE,"general";"via2",#N/A,TRUE,"general";"via3",#N/A,TRUE,"general"}</definedName>
    <definedName name="Uv">#REF!</definedName>
    <definedName name="Uw">#REF!</definedName>
    <definedName name="uwkap" localSheetId="16"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6" hidden="1">{"TAB1",#N/A,TRUE,"GENERAL";"TAB2",#N/A,TRUE,"GENERAL";"TAB3",#N/A,TRUE,"GENERAL";"TAB4",#N/A,TRUE,"GENERAL";"TAB5",#N/A,TRUE,"GENERAL"}</definedName>
    <definedName name="uyiyiy" hidden="1">{"TAB1",#N/A,TRUE,"GENERAL";"TAB2",#N/A,TRUE,"GENERAL";"TAB3",#N/A,TRUE,"GENERAL";"TAB4",#N/A,TRUE,"GENERAL";"TAB5",#N/A,TRUE,"GENERAL"}</definedName>
    <definedName name="uytu" localSheetId="16" hidden="1">{"TAB1",#N/A,TRUE,"GENERAL";"TAB2",#N/A,TRUE,"GENERAL";"TAB3",#N/A,TRUE,"GENERAL";"TAB4",#N/A,TRUE,"GENERAL";"TAB5",#N/A,TRUE,"GENERAL"}</definedName>
    <definedName name="uytu" hidden="1">{"TAB1",#N/A,TRUE,"GENERAL";"TAB2",#N/A,TRUE,"GENERAL";"TAB3",#N/A,TRUE,"GENERAL";"TAB4",#N/A,TRUE,"GENERAL";"TAB5",#N/A,TRUE,"GENERAL"}</definedName>
    <definedName name="uyur" localSheetId="16" hidden="1">{"via1",#N/A,TRUE,"general";"via2",#N/A,TRUE,"general";"via3",#N/A,TRUE,"general"}</definedName>
    <definedName name="uyur" hidden="1">{"via1",#N/A,TRUE,"general";"via2",#N/A,TRUE,"general";"via3",#N/A,TRUE,"general"}</definedName>
    <definedName name="Uz">#REF!</definedName>
    <definedName name="v" localSheetId="16" hidden="1">{"TAB1",#N/A,TRUE,"GENERAL";"TAB2",#N/A,TRUE,"GENERAL";"TAB3",#N/A,TRUE,"GENERAL";"TAB4",#N/A,TRUE,"GENERAL";"TAB5",#N/A,TRUE,"GENERAL"}</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1">#REF!</definedName>
    <definedName name="valor2">#REF!</definedName>
    <definedName name="VALOR3">#REF!</definedName>
    <definedName name="Valoracion">#REF!</definedName>
    <definedName name="VALORACIÓN">#REF!</definedName>
    <definedName name="ValorTotConsultoria">#REF!</definedName>
    <definedName name="Values_Entered">IF(Loan_Amount*Interest_Rate*Loan_Years*Loan_Start&gt;0,1,0)</definedName>
    <definedName name="vaquita" localSheetId="16" hidden="1">{"PRES REHAB ARM-PER POR ITEMS  KM A KM",#N/A,TRUE,"Rehabilitacion Arm-Per"}</definedName>
    <definedName name="vaquita" hidden="1">{"PRES REHAB ARM-PER POR ITEMS  KM A KM",#N/A,TRUE,"Rehabilitacion Arm-Per"}</definedName>
    <definedName name="variacion">#REF!</definedName>
    <definedName name="Varios">#REF!</definedName>
    <definedName name="Varios2">#REF!</definedName>
    <definedName name="Vb">#REF!</definedName>
    <definedName name="vbvbvbvb" localSheetId="16"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6" hidden="1">{"via1",#N/A,TRUE,"general";"via2",#N/A,TRUE,"general";"via3",#N/A,TRUE,"general"}</definedName>
    <definedName name="vdfvuio" hidden="1">{"via1",#N/A,TRUE,"general";"via2",#N/A,TRUE,"general";"via3",#N/A,TRUE,"general"}</definedName>
    <definedName name="vdsvnj" localSheetId="16" hidden="1">{"via1",#N/A,TRUE,"general";"via2",#N/A,TRUE,"general";"via3",#N/A,TRUE,"general"}</definedName>
    <definedName name="vdsvnj" hidden="1">{"via1",#N/A,TRUE,"general";"via2",#N/A,TRUE,"general";"via3",#N/A,TRUE,"general"}</definedName>
    <definedName name="Ve">#REF!</definedName>
    <definedName name="velosidadhorizontal">#REF!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f">#REF!</definedName>
    <definedName name="vfbgnhyt" localSheetId="16" hidden="1">{"via1",#N/A,TRUE,"general";"via2",#N/A,TRUE,"general";"via3",#N/A,TRUE,"general"}</definedName>
    <definedName name="vfbgnhyt" hidden="1">{"via1",#N/A,TRUE,"general";"via2",#N/A,TRUE,"general";"via3",#N/A,TRUE,"general"}</definedName>
    <definedName name="vfn">#REF!</definedName>
    <definedName name="vfvdv" localSheetId="16" hidden="1">{"TAB1",#N/A,TRUE,"GENERAL";"TAB2",#N/A,TRUE,"GENERAL";"TAB3",#N/A,TRUE,"GENERAL";"TAB4",#N/A,TRUE,"GENERAL";"TAB5",#N/A,TRUE,"GENERAL"}</definedName>
    <definedName name="vfvdv" hidden="1">{"TAB1",#N/A,TRUE,"GENERAL";"TAB2",#N/A,TRUE,"GENERAL";"TAB3",#N/A,TRUE,"GENERAL";"TAB4",#N/A,TRUE,"GENERAL";"TAB5",#N/A,TRUE,"GENERAL"}</definedName>
    <definedName name="vfvf" localSheetId="16"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JE">#REF!</definedName>
    <definedName name="Viajes">#REF!</definedName>
    <definedName name="vias">#REF!</definedName>
    <definedName name="VIBRA">#REF!</definedName>
    <definedName name="VIBRADOR">#REF!</definedName>
    <definedName name="Vibrador_electrico">#REF!</definedName>
    <definedName name="VIBRO">#REF!</definedName>
    <definedName name="victo">#REF!</definedName>
    <definedName name="VIDRIO4">#REF!</definedName>
    <definedName name="VINILO">#REF!</definedName>
    <definedName name="VJ">#REF!,#REF!,#REF!,#REF!,#REF!,#REF!,#REF!</definedName>
    <definedName name="vk" localSheetId="16" hidden="1">{"via1",#N/A,TRUE,"general";"via2",#N/A,TRUE,"general";"via3",#N/A,TRUE,"general"}</definedName>
    <definedName name="vk" hidden="1">{"via1",#N/A,TRUE,"general";"via2",#N/A,TRUE,"general";"via3",#N/A,TRUE,"general"}</definedName>
    <definedName name="vm">#REF!</definedName>
    <definedName name="vnbvxb" localSheetId="16" hidden="1">{"via1",#N/A,TRUE,"general";"via2",#N/A,TRUE,"general";"via3",#N/A,TRUE,"general"}</definedName>
    <definedName name="vnbvxb" hidden="1">{"via1",#N/A,TRUE,"general";"via2",#N/A,TRUE,"general";"via3",#N/A,TRUE,"general"}</definedName>
    <definedName name="VNVBN" localSheetId="16" hidden="1">{"TAB1",#N/A,TRUE,"GENERAL";"TAB2",#N/A,TRUE,"GENERAL";"TAB3",#N/A,TRUE,"GENERAL";"TAB4",#N/A,TRUE,"GENERAL";"TAB5",#N/A,TRUE,"GENERAL"}</definedName>
    <definedName name="VNVBN" hidden="1">{"TAB1",#N/A,TRUE,"GENERAL";"TAB2",#N/A,TRUE,"GENERAL";"TAB3",#N/A,TRUE,"GENERAL";"TAB4",#N/A,TRUE,"GENERAL";"TAB5",#N/A,TRUE,"GENERAL"}</definedName>
    <definedName name="Vo">#REF!</definedName>
    <definedName name="VOL">#REF!</definedName>
    <definedName name="VOLQUETA">#REF!</definedName>
    <definedName name="volumenarena">#REF!</definedName>
    <definedName name="VOLUMENDIARIO">#REF!</definedName>
    <definedName name="VPD">#REF!</definedName>
    <definedName name="VPDACUE">#REF!</definedName>
    <definedName name="VPI">#REF!</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A">#REF!</definedName>
    <definedName name="Vs">#REF!</definedName>
    <definedName name="vsdfj" localSheetId="16" hidden="1">{"via1",#N/A,TRUE,"general";"via2",#N/A,TRUE,"general";"via3",#N/A,TRUE,"general"}</definedName>
    <definedName name="vsdfj" hidden="1">{"via1",#N/A,TRUE,"general";"via2",#N/A,TRUE,"general";"via3",#N/A,TRUE,"general"}</definedName>
    <definedName name="vt" localSheetId="16" hidden="1">{"via1",#N/A,TRUE,"general";"via2",#N/A,TRUE,"general";"via3",#N/A,TRUE,"general"}</definedName>
    <definedName name="vt" hidden="1">{"via1",#N/A,TRUE,"general";"via2",#N/A,TRUE,"general";"via3",#N/A,TRUE,"general"}</definedName>
    <definedName name="vv">#REF!</definedName>
    <definedName name="vvcxv" localSheetId="16"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6" hidden="1">{"via1",#N/A,TRUE,"general";"via2",#N/A,TRUE,"general";"via3",#N/A,TRUE,"general"}</definedName>
    <definedName name="vvvvt" hidden="1">{"via1",#N/A,TRUE,"general";"via2",#N/A,TRUE,"general";"via3",#N/A,TRUE,"general"}</definedName>
    <definedName name="vvvvvvf" localSheetId="16" hidden="1">{"via1",#N/A,TRUE,"general";"via2",#N/A,TRUE,"general";"via3",#N/A,TRUE,"general"}</definedName>
    <definedName name="vvvvvvf" hidden="1">{"via1",#N/A,TRUE,"general";"via2",#N/A,TRUE,"general";"via3",#N/A,TRUE,"general"}</definedName>
    <definedName name="vy" localSheetId="16"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16" hidden="1">{"via1",#N/A,TRUE,"general";"via2",#N/A,TRUE,"general";"via3",#N/A,TRUE,"general"}</definedName>
    <definedName name="w2w2w" hidden="1">{"via1",#N/A,TRUE,"general";"via2",#N/A,TRUE,"general";"via3",#N/A,TRUE,"general"}</definedName>
    <definedName name="we">#REF!</definedName>
    <definedName name="WER">#REF!</definedName>
    <definedName name="werew" localSheetId="16" hidden="1">{"TAB1",#N/A,TRUE,"GENERAL";"TAB2",#N/A,TRUE,"GENERAL";"TAB3",#N/A,TRUE,"GENERAL";"TAB4",#N/A,TRUE,"GENERAL";"TAB5",#N/A,TRUE,"GENERAL"}</definedName>
    <definedName name="werew" hidden="1">{"TAB1",#N/A,TRUE,"GENERAL";"TAB2",#N/A,TRUE,"GENERAL";"TAB3",#N/A,TRUE,"GENERAL";"TAB4",#N/A,TRUE,"GENERAL";"TAB5",#N/A,TRUE,"GENERAL"}</definedName>
    <definedName name="WEREWR" localSheetId="16" hidden="1">{"via1",#N/A,TRUE,"general";"via2",#N/A,TRUE,"general";"via3",#N/A,TRUE,"general"}</definedName>
    <definedName name="WEREWR" hidden="1">{"via1",#N/A,TRUE,"general";"via2",#N/A,TRUE,"general";"via3",#N/A,TRUE,"general"}</definedName>
    <definedName name="werfdsf" localSheetId="16" hidden="1">{"TAB1",#N/A,TRUE,"GENERAL";"TAB2",#N/A,TRUE,"GENERAL";"TAB3",#N/A,TRUE,"GENERAL";"TAB4",#N/A,TRUE,"GENERAL";"TAB5",#N/A,TRUE,"GENERAL"}</definedName>
    <definedName name="werfdsf" hidden="1">{"TAB1",#N/A,TRUE,"GENERAL";"TAB2",#N/A,TRUE,"GENERAL";"TAB3",#N/A,TRUE,"GENERAL";"TAB4",#N/A,TRUE,"GENERAL";"TAB5",#N/A,TRUE,"GENERAL"}</definedName>
    <definedName name="werh" localSheetId="16" hidden="1">{"via1",#N/A,TRUE,"general";"via2",#N/A,TRUE,"general";"via3",#N/A,TRUE,"general"}</definedName>
    <definedName name="werh" hidden="1">{"via1",#N/A,TRUE,"general";"via2",#N/A,TRUE,"general";"via3",#N/A,TRUE,"general"}</definedName>
    <definedName name="wersfdfrguyo" localSheetId="16" hidden="1">{"via1",#N/A,TRUE,"general";"via2",#N/A,TRUE,"general";"via3",#N/A,TRUE,"general"}</definedName>
    <definedName name="wersfdfrguyo" hidden="1">{"via1",#N/A,TRUE,"general";"via2",#N/A,TRUE,"general";"via3",#N/A,TRUE,"general"}</definedName>
    <definedName name="werwr" localSheetId="16" hidden="1">{"via1",#N/A,TRUE,"general";"via2",#N/A,TRUE,"general";"via3",#N/A,TRUE,"general"}</definedName>
    <definedName name="werwr" hidden="1">{"via1",#N/A,TRUE,"general";"via2",#N/A,TRUE,"general";"via3",#N/A,TRUE,"general"}</definedName>
    <definedName name="WERWVN" localSheetId="16" hidden="1">{"TAB1",#N/A,TRUE,"GENERAL";"TAB2",#N/A,TRUE,"GENERAL";"TAB3",#N/A,TRUE,"GENERAL";"TAB4",#N/A,TRUE,"GENERAL";"TAB5",#N/A,TRUE,"GENERAL"}</definedName>
    <definedName name="WERWVN" hidden="1">{"TAB1",#N/A,TRUE,"GENERAL";"TAB2",#N/A,TRUE,"GENERAL";"TAB3",#N/A,TRUE,"GENERAL";"TAB4",#N/A,TRUE,"GENERAL";"TAB5",#N/A,TRUE,"GENERAL"}</definedName>
    <definedName name="wetrew" localSheetId="16" hidden="1">{"via1",#N/A,TRUE,"general";"via2",#N/A,TRUE,"general";"via3",#N/A,TRUE,"general"}</definedName>
    <definedName name="wetrew" hidden="1">{"via1",#N/A,TRUE,"general";"via2",#N/A,TRUE,"general";"via3",#N/A,TRUE,"general"}</definedName>
    <definedName name="wettt" localSheetId="16" hidden="1">{"via1",#N/A,TRUE,"general";"via2",#N/A,TRUE,"general";"via3",#N/A,TRUE,"general"}</definedName>
    <definedName name="wettt" hidden="1">{"via1",#N/A,TRUE,"general";"via2",#N/A,TRUE,"general";"via3",#N/A,TRUE,"general"}</definedName>
    <definedName name="wetwretd" localSheetId="16" hidden="1">{"via1",#N/A,TRUE,"general";"via2",#N/A,TRUE,"general";"via3",#N/A,TRUE,"general"}</definedName>
    <definedName name="wetwretd" hidden="1">{"via1",#N/A,TRUE,"general";"via2",#N/A,TRUE,"general";"via3",#N/A,TRUE,"general"}</definedName>
    <definedName name="wew" localSheetId="16" hidden="1">{"via1",#N/A,TRUE,"general";"via2",#N/A,TRUE,"general";"via3",#N/A,TRUE,"general"}</definedName>
    <definedName name="wew" hidden="1">{"via1",#N/A,TRUE,"general";"via2",#N/A,TRUE,"general";"via3",#N/A,TRUE,"general"}</definedName>
    <definedName name="wffag" localSheetId="16"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localSheetId="16" hidden="1">{"TAB1",#N/A,TRUE,"GENERAL";"TAB2",#N/A,TRUE,"GENERAL";"TAB3",#N/A,TRUE,"GENERAL";"TAB4",#N/A,TRUE,"GENERAL";"TAB5",#N/A,TRUE,"GENERAL"}</definedName>
    <definedName name="WQEEWQ" hidden="1">{"TAB1",#N/A,TRUE,"GENERAL";"TAB2",#N/A,TRUE,"GENERAL";"TAB3",#N/A,TRUE,"GENERAL";"TAB4",#N/A,TRUE,"GENERAL";"TAB5",#N/A,TRUE,"GENERAL"}</definedName>
    <definedName name="wrn.Acueducto." localSheetId="16" hidden="1">{"Acueducto",#N/A,FALSE,"Base"}</definedName>
    <definedName name="wrn.Acueducto." hidden="1">{"Acueducto",#N/A,FALSE,"Base"}</definedName>
    <definedName name="wrn.Aging._.and._.Trend._.Analysis." localSheetId="16"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r." localSheetId="16" hidden="1">{#N/A,#N/A,TRUE,"CODIGO DEPENDENCIA"}</definedName>
    <definedName name="wrn.ar." hidden="1">{#N/A,#N/A,TRUE,"CODIGO DEPENDENCIA"}</definedName>
    <definedName name="wrn.civil._.works." localSheetId="16" hidden="1">{#N/A,#N/A,TRUE,"1842CWN0"}</definedName>
    <definedName name="wrn.civil._.works." hidden="1">{#N/A,#N/A,TRUE,"1842CWN0"}</definedName>
    <definedName name="wrn.civil._.works._1" localSheetId="16" hidden="1">{#N/A,#N/A,TRUE,"1842CWN0"}</definedName>
    <definedName name="wrn.civil._.works._1" hidden="1">{#N/A,#N/A,TRUE,"1842CWN0"}</definedName>
    <definedName name="wrn.civil._.works._2" localSheetId="16" hidden="1">{#N/A,#N/A,TRUE,"1842CWN0"}</definedName>
    <definedName name="wrn.civil._.works._2" hidden="1">{#N/A,#N/A,TRUE,"1842CWN0"}</definedName>
    <definedName name="wrn.ESTADO._.REHABILITACION." localSheetId="16" hidden="1">{"PRES REHAB ARM-PER POR ITEMS  KM A KM",#N/A,TRUE,"Rehabilitacion Arm-Per"}</definedName>
    <definedName name="wrn.ESTADO._.REHABILITACION." hidden="1">{"PRES REHAB ARM-PER POR ITEMS  KM A KM",#N/A,TRUE,"Rehabilitacion Arm-Per"}</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6" hidden="1">{"VIA1",#N/A,TRUE,"formul";"VIA2",#N/A,TRUE,"formul";"VIA3",#N/A,TRUE,"formul"}</definedName>
    <definedName name="wrn.formu." hidden="1">{"VIA1",#N/A,TRUE,"formul";"VIA2",#N/A,TRUE,"formul";"VIA3",#N/A,TRUE,"formul"}</definedName>
    <definedName name="wrn.GENERAL." localSheetId="16" hidden="1">{"TAB1",#N/A,TRUE,"GENERAL";"TAB2",#N/A,TRUE,"GENERAL";"TAB3",#N/A,TRUE,"GENERAL";"TAB4",#N/A,TRUE,"GENERAL";"TAB5",#N/A,TRUE,"GENERAL"}</definedName>
    <definedName name="wrn.GENERAL." hidden="1">{"TAB1",#N/A,TRUE,"GENERAL";"TAB2",#N/A,TRUE,"GENERAL";"TAB3",#N/A,TRUE,"GENERAL";"TAB4",#N/A,TRUE,"GENERAL";"TAB5",#N/A,TRUE,"GENERAL"}</definedName>
    <definedName name="wrn.GERENCIA." localSheetId="16" hidden="1">{#N/A,#N/A,TRUE,"INGENIERIA";#N/A,#N/A,TRUE,"COMPRAS";#N/A,#N/A,TRUE,"DIRECCION";#N/A,#N/A,TRUE,"RESUMEN"}</definedName>
    <definedName name="wrn.GERENCIA." hidden="1">{#N/A,#N/A,TRUE,"INGENIERIA";#N/A,#N/A,TRUE,"COMPRAS";#N/A,#N/A,TRUE,"DIRECCION";#N/A,#N/A,TRUE,"RESUMEN"}</definedName>
    <definedName name="wrn.GERENCIA._1" localSheetId="16" hidden="1">{#N/A,#N/A,TRUE,"INGENIERIA";#N/A,#N/A,TRUE,"COMPRAS";#N/A,#N/A,TRUE,"DIRECCION";#N/A,#N/A,TRUE,"RESUMEN"}</definedName>
    <definedName name="wrn.GERENCIA._1" hidden="1">{#N/A,#N/A,TRUE,"INGENIERIA";#N/A,#N/A,TRUE,"COMPRAS";#N/A,#N/A,TRUE,"DIRECCION";#N/A,#N/A,TRUE,"RESUMEN"}</definedName>
    <definedName name="wrn.GERENCIA._2" localSheetId="16" hidden="1">{#N/A,#N/A,TRUE,"INGENIERIA";#N/A,#N/A,TRUE,"COMPRAS";#N/A,#N/A,TRUE,"DIRECCION";#N/A,#N/A,TRUE,"RESUMEN"}</definedName>
    <definedName name="wrn.GERENCIA._2" hidden="1">{#N/A,#N/A,TRUE,"INGENIERIA";#N/A,#N/A,TRUE,"COMPRAS";#N/A,#N/A,TRUE,"DIRECCION";#N/A,#N/A,TRUE,"RESUMEN"}</definedName>
    <definedName name="wrn.items." localSheetId="16" hidden="1">{#N/A,#N/A,FALSE,"Items"}</definedName>
    <definedName name="wrn.items." hidden="1">{#N/A,#N/A,FALSE,"Items"}</definedName>
    <definedName name="wrn.PROYEC." localSheetId="16"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SENCILLO." localSheetId="16"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6"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16" hidden="1">{"via1",#N/A,TRUE,"general";"via2",#N/A,TRUE,"general";"via3",#N/A,TRUE,"general"}</definedName>
    <definedName name="wrn.via" hidden="1">{"via1",#N/A,TRUE,"general";"via2",#N/A,TRUE,"general";"via3",#N/A,TRUE,"general"}</definedName>
    <definedName name="wrn.via." localSheetId="16" hidden="1">{"via1",#N/A,TRUE,"general";"via2",#N/A,TRUE,"general";"via3",#N/A,TRUE,"general"}</definedName>
    <definedName name="wrn.via." hidden="1">{"via1",#N/A,TRUE,"general";"via2",#N/A,TRUE,"general";"via3",#N/A,TRUE,"general"}</definedName>
    <definedName name="wrn1.items" localSheetId="16" hidden="1">{#N/A,#N/A,FALSE,"Items"}</definedName>
    <definedName name="wrn1.items" hidden="1">{#N/A,#N/A,FALSE,"Items"}</definedName>
    <definedName name="ws">#REF!</definedName>
    <definedName name="WSERWEER">#REF!</definedName>
    <definedName name="wsnhed" localSheetId="16" hidden="1">{"via1",#N/A,TRUE,"general";"via2",#N/A,TRUE,"general";"via3",#N/A,TRUE,"general"}</definedName>
    <definedName name="wsnhed" hidden="1">{"via1",#N/A,TRUE,"general";"via2",#N/A,TRUE,"general";"via3",#N/A,TRUE,"general"}</definedName>
    <definedName name="wswswsqa" localSheetId="16" hidden="1">{"via1",#N/A,TRUE,"general";"via2",#N/A,TRUE,"general";"via3",#N/A,TRUE,"general"}</definedName>
    <definedName name="wswswsqa" hidden="1">{"via1",#N/A,TRUE,"general";"via2",#N/A,TRUE,"general";"via3",#N/A,TRUE,"general"}</definedName>
    <definedName name="wtt" localSheetId="16" hidden="1">{"TAB1",#N/A,TRUE,"GENERAL";"TAB2",#N/A,TRUE,"GENERAL";"TAB3",#N/A,TRUE,"GENERAL";"TAB4",#N/A,TRUE,"GENERAL";"TAB5",#N/A,TRUE,"GENERAL"}</definedName>
    <definedName name="wtt" hidden="1">{"TAB1",#N/A,TRUE,"GENERAL";"TAB2",#N/A,TRUE,"GENERAL";"TAB3",#N/A,TRUE,"GENERAL";"TAB4",#N/A,TRUE,"GENERAL";"TAB5",#N/A,TRUE,"GENERAL"}</definedName>
    <definedName name="wvu.TAB1." localSheetId="1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6"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1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16" hidden="1">{"via1",#N/A,TRUE,"general";"via2",#N/A,TRUE,"general";"via3",#N/A,TRUE,"general"}</definedName>
    <definedName name="wwded3" hidden="1">{"via1",#N/A,TRUE,"general";"via2",#N/A,TRUE,"general";"via3",#N/A,TRUE,"general"}</definedName>
    <definedName name="WWW">#REF!</definedName>
    <definedName name="wwww">#REF!</definedName>
    <definedName name="wwwwe" localSheetId="16" hidden="1">{"TAB1",#N/A,TRUE,"GENERAL";"TAB2",#N/A,TRUE,"GENERAL";"TAB3",#N/A,TRUE,"GENERAL";"TAB4",#N/A,TRUE,"GENERAL";"TAB5",#N/A,TRUE,"GENERAL"}</definedName>
    <definedName name="wwwwe" hidden="1">{"TAB1",#N/A,TRUE,"GENERAL";"TAB2",#N/A,TRUE,"GENERAL";"TAB3",#N/A,TRUE,"GENERAL";"TAB4",#N/A,TRUE,"GENERAL";"TAB5",#N/A,TRUE,"GENERAL"}</definedName>
    <definedName name="wyty" localSheetId="16" hidden="1">{"via1",#N/A,TRUE,"general";"via2",#N/A,TRUE,"general";"via3",#N/A,TRUE,"general"}</definedName>
    <definedName name="wyty" hidden="1">{"via1",#N/A,TRUE,"general";"via2",#N/A,TRUE,"general";"via3",#N/A,TRUE,"general"}</definedName>
    <definedName name="x">#REF!</definedName>
    <definedName name="xb">#REF!</definedName>
    <definedName name="xcbvbs" localSheetId="16" hidden="1">{"TAB1",#N/A,TRUE,"GENERAL";"TAB2",#N/A,TRUE,"GENERAL";"TAB3",#N/A,TRUE,"GENERAL";"TAB4",#N/A,TRUE,"GENERAL";"TAB5",#N/A,TRUE,"GENERAL"}</definedName>
    <definedName name="xcbvbs" hidden="1">{"TAB1",#N/A,TRUE,"GENERAL";"TAB2",#N/A,TRUE,"GENERAL";"TAB3",#N/A,TRUE,"GENERAL";"TAB4",#N/A,TRUE,"GENERAL";"TAB5",#N/A,TRUE,"GENERAL"}</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 localSheetId="16" hidden="1">{#N/A,#N/A,TRUE,"1842CWN0"}</definedName>
    <definedName name="XSW" hidden="1">{#N/A,#N/A,TRUE,"1842CWN0"}</definedName>
    <definedName name="XSW_1" localSheetId="16" hidden="1">{#N/A,#N/A,TRUE,"1842CWN0"}</definedName>
    <definedName name="XSW_1" hidden="1">{#N/A,#N/A,TRUE,"1842CWN0"}</definedName>
    <definedName name="XSW_2" localSheetId="16" hidden="1">{#N/A,#N/A,TRUE,"1842CWN0"}</definedName>
    <definedName name="XSW_2" hidden="1">{#N/A,#N/A,TRUE,"1842CWN0"}</definedName>
    <definedName name="xsxs" localSheetId="16"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6" hidden="1">{"via1",#N/A,TRUE,"general";"via2",#N/A,TRUE,"general";"via3",#N/A,TRUE,"general"}</definedName>
    <definedName name="xxfg" hidden="1">{"via1",#N/A,TRUE,"general";"via2",#N/A,TRUE,"general";"via3",#N/A,TRUE,"general"}</definedName>
    <definedName name="XXX">#REF!</definedName>
    <definedName name="XXXX" hidden="1">#REF!</definedName>
    <definedName name="xxxxxds" localSheetId="16" hidden="1">{"via1",#N/A,TRUE,"general";"via2",#N/A,TRUE,"general";"via3",#N/A,TRUE,"general"}</definedName>
    <definedName name="xxxxxds" hidden="1">{"via1",#N/A,TRUE,"general";"via2",#N/A,TRUE,"general";"via3",#N/A,TRUE,"general"}</definedName>
    <definedName name="xxxxxxcxxxx" hidden="1">"C:\C-314\VOLUMENES\volfin4.mdb"</definedName>
    <definedName name="XXXXXXXXXX">#REF!</definedName>
    <definedName name="xxxxxxxxxx29" localSheetId="16"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16" hidden="1">{"via1",#N/A,TRUE,"general";"via2",#N/A,TRUE,"general";"via3",#N/A,TRUE,"general"}</definedName>
    <definedName name="XZXZV" hidden="1">{"via1",#N/A,TRUE,"general";"via2",#N/A,TRUE,"general";"via3",#N/A,TRUE,"general"}</definedName>
    <definedName name="y">#REF!</definedName>
    <definedName name="y6y6" localSheetId="16" hidden="1">{"via1",#N/A,TRUE,"general";"via2",#N/A,TRUE,"general";"via3",#N/A,TRUE,"general"}</definedName>
    <definedName name="y6y6" hidden="1">{"via1",#N/A,TRUE,"general";"via2",#N/A,TRUE,"general";"via3",#N/A,TRUE,"general"}</definedName>
    <definedName name="yery" localSheetId="16" hidden="1">{"via1",#N/A,TRUE,"general";"via2",#N/A,TRUE,"general";"via3",#N/A,TRUE,"general"}</definedName>
    <definedName name="yery" hidden="1">{"via1",#N/A,TRUE,"general";"via2",#N/A,TRUE,"general";"via3",#N/A,TRUE,"general"}</definedName>
    <definedName name="YESO">#REF!</definedName>
    <definedName name="yhy" localSheetId="16" hidden="1">{"TAB1",#N/A,TRUE,"GENERAL";"TAB2",#N/A,TRUE,"GENERAL";"TAB3",#N/A,TRUE,"GENERAL";"TAB4",#N/A,TRUE,"GENERAL";"TAB5",#N/A,TRUE,"GENERAL"}</definedName>
    <definedName name="yhy" hidden="1">{"TAB1",#N/A,TRUE,"GENERAL";"TAB2",#N/A,TRUE,"GENERAL";"TAB3",#N/A,TRUE,"GENERAL";"TAB4",#N/A,TRUE,"GENERAL";"TAB5",#N/A,TRUE,"GENERAL"}</definedName>
    <definedName name="yjyj" localSheetId="16"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localSheetId="16"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L">#REF!</definedName>
    <definedName name="yrey" localSheetId="16" hidden="1">{"via1",#N/A,TRUE,"general";"via2",#N/A,TRUE,"general";"via3",#N/A,TRUE,"general"}</definedName>
    <definedName name="yrey" hidden="1">{"via1",#N/A,TRUE,"general";"via2",#N/A,TRUE,"general";"via3",#N/A,TRUE,"general"}</definedName>
    <definedName name="yry" localSheetId="16" hidden="1">{"via1",#N/A,TRUE,"general";"via2",#N/A,TRUE,"general";"via3",#N/A,TRUE,"general"}</definedName>
    <definedName name="yry" hidden="1">{"via1",#N/A,TRUE,"general";"via2",#N/A,TRUE,"general";"via3",#N/A,TRUE,"general"}</definedName>
    <definedName name="ytj" localSheetId="16" hidden="1">{"TAB1",#N/A,TRUE,"GENERAL";"TAB2",#N/A,TRUE,"GENERAL";"TAB3",#N/A,TRUE,"GENERAL";"TAB4",#N/A,TRUE,"GENERAL";"TAB5",#N/A,TRUE,"GENERAL"}</definedName>
    <definedName name="ytj" hidden="1">{"TAB1",#N/A,TRUE,"GENERAL";"TAB2",#N/A,TRUE,"GENERAL";"TAB3",#N/A,TRUE,"GENERAL";"TAB4",#N/A,TRUE,"GENERAL";"TAB5",#N/A,TRUE,"GENERAL"}</definedName>
    <definedName name="ytjt6" localSheetId="16" hidden="1">{"via1",#N/A,TRUE,"general";"via2",#N/A,TRUE,"general";"via3",#N/A,TRUE,"general"}</definedName>
    <definedName name="ytjt6" hidden="1">{"via1",#N/A,TRUE,"general";"via2",#N/A,TRUE,"general";"via3",#N/A,TRUE,"general"}</definedName>
    <definedName name="ytrwyr" localSheetId="16" hidden="1">{"TAB1",#N/A,TRUE,"GENERAL";"TAB2",#N/A,TRUE,"GENERAL";"TAB3",#N/A,TRUE,"GENERAL";"TAB4",#N/A,TRUE,"GENERAL";"TAB5",#N/A,TRUE,"GENERAL"}</definedName>
    <definedName name="ytrwyr" hidden="1">{"TAB1",#N/A,TRUE,"GENERAL";"TAB2",#N/A,TRUE,"GENERAL";"TAB3",#N/A,TRUE,"GENERAL";"TAB4",#N/A,TRUE,"GENERAL";"TAB5",#N/A,TRUE,"GENERAL"}</definedName>
    <definedName name="ytry" localSheetId="16" hidden="1">{"via1",#N/A,TRUE,"general";"via2",#N/A,TRUE,"general";"via3",#N/A,TRUE,"general"}</definedName>
    <definedName name="ytry" hidden="1">{"via1",#N/A,TRUE,"general";"via2",#N/A,TRUE,"general";"via3",#N/A,TRUE,"general"}</definedName>
    <definedName name="ytryrty" localSheetId="16" hidden="1">{"via1",#N/A,TRUE,"general";"via2",#N/A,TRUE,"general";"via3",#N/A,TRUE,"general"}</definedName>
    <definedName name="ytryrty" hidden="1">{"via1",#N/A,TRUE,"general";"via2",#N/A,TRUE,"general";"via3",#N/A,TRUE,"general"}</definedName>
    <definedName name="YTRYUYT" localSheetId="16" hidden="1">{"TAB1",#N/A,TRUE,"GENERAL";"TAB2",#N/A,TRUE,"GENERAL";"TAB3",#N/A,TRUE,"GENERAL";"TAB4",#N/A,TRUE,"GENERAL";"TAB5",#N/A,TRUE,"GENERAL"}</definedName>
    <definedName name="YTRYUYT" hidden="1">{"TAB1",#N/A,TRUE,"GENERAL";"TAB2",#N/A,TRUE,"GENERAL";"TAB3",#N/A,TRUE,"GENERAL";"TAB4",#N/A,TRUE,"GENERAL";"TAB5",#N/A,TRUE,"GENERAL"}</definedName>
    <definedName name="ytudfgd" localSheetId="16" hidden="1">{"TAB1",#N/A,TRUE,"GENERAL";"TAB2",#N/A,TRUE,"GENERAL";"TAB3",#N/A,TRUE,"GENERAL";"TAB4",#N/A,TRUE,"GENERAL";"TAB5",#N/A,TRUE,"GENERAL"}</definedName>
    <definedName name="ytudfgd" hidden="1">{"TAB1",#N/A,TRUE,"GENERAL";"TAB2",#N/A,TRUE,"GENERAL";"TAB3",#N/A,TRUE,"GENERAL";"TAB4",#N/A,TRUE,"GENERAL";"TAB5",#N/A,TRUE,"GENERAL"}</definedName>
    <definedName name="yturtu7" localSheetId="16" hidden="1">{"TAB1",#N/A,TRUE,"GENERAL";"TAB2",#N/A,TRUE,"GENERAL";"TAB3",#N/A,TRUE,"GENERAL";"TAB4",#N/A,TRUE,"GENERAL";"TAB5",#N/A,TRUE,"GENERAL"}</definedName>
    <definedName name="yturtu7" hidden="1">{"TAB1",#N/A,TRUE,"GENERAL";"TAB2",#N/A,TRUE,"GENERAL";"TAB3",#N/A,TRUE,"GENERAL";"TAB4",#N/A,TRUE,"GENERAL";"TAB5",#N/A,TRUE,"GENERAL"}</definedName>
    <definedName name="yturu" localSheetId="16" hidden="1">{"TAB1",#N/A,TRUE,"GENERAL";"TAB2",#N/A,TRUE,"GENERAL";"TAB3",#N/A,TRUE,"GENERAL";"TAB4",#N/A,TRUE,"GENERAL";"TAB5",#N/A,TRUE,"GENERAL"}</definedName>
    <definedName name="yturu" hidden="1">{"TAB1",#N/A,TRUE,"GENERAL";"TAB2",#N/A,TRUE,"GENERAL";"TAB3",#N/A,TRUE,"GENERAL";"TAB4",#N/A,TRUE,"GENERAL";"TAB5",#N/A,TRUE,"GENERAL"}</definedName>
    <definedName name="ytuytfgh" localSheetId="16" hidden="1">{"via1",#N/A,TRUE,"general";"via2",#N/A,TRUE,"general";"via3",#N/A,TRUE,"general"}</definedName>
    <definedName name="ytuytfgh" hidden="1">{"via1",#N/A,TRUE,"general";"via2",#N/A,TRUE,"general";"via3",#N/A,TRUE,"general"}</definedName>
    <definedName name="yty" localSheetId="16" hidden="1">{"TAB1",#N/A,TRUE,"GENERAL";"TAB2",#N/A,TRUE,"GENERAL";"TAB3",#N/A,TRUE,"GENERAL";"TAB4",#N/A,TRUE,"GENERAL";"TAB5",#N/A,TRUE,"GENERAL"}</definedName>
    <definedName name="yty" hidden="1">{"TAB1",#N/A,TRUE,"GENERAL";"TAB2",#N/A,TRUE,"GENERAL";"TAB3",#N/A,TRUE,"GENERAL";"TAB4",#N/A,TRUE,"GENERAL";"TAB5",#N/A,TRUE,"GENERAL"}</definedName>
    <definedName name="ytyyh" localSheetId="16" hidden="1">{"via1",#N/A,TRUE,"general";"via2",#N/A,TRUE,"general";"via3",#N/A,TRUE,"general"}</definedName>
    <definedName name="ytyyh" hidden="1">{"via1",#N/A,TRUE,"general";"via2",#N/A,TRUE,"general";"via3",#N/A,TRUE,"general"}</definedName>
    <definedName name="ytzacdfg" localSheetId="16" hidden="1">{"TAB1",#N/A,TRUE,"GENERAL";"TAB2",#N/A,TRUE,"GENERAL";"TAB3",#N/A,TRUE,"GENERAL";"TAB4",#N/A,TRUE,"GENERAL";"TAB5",#N/A,TRUE,"GENERAL"}</definedName>
    <definedName name="ytzacdfg" hidden="1">{"TAB1",#N/A,TRUE,"GENERAL";"TAB2",#N/A,TRUE,"GENERAL";"TAB3",#N/A,TRUE,"GENERAL";"TAB4",#N/A,TRUE,"GENERAL";"TAB5",#N/A,TRUE,"GENERAL"}</definedName>
    <definedName name="yu" localSheetId="16" hidden="1">{"TAB1",#N/A,TRUE,"GENERAL";"TAB2",#N/A,TRUE,"GENERAL";"TAB3",#N/A,TRUE,"GENERAL";"TAB4",#N/A,TRUE,"GENERAL";"TAB5",#N/A,TRUE,"GENERAL"}</definedName>
    <definedName name="yu" hidden="1">{"TAB1",#N/A,TRUE,"GENERAL";"TAB2",#N/A,TRUE,"GENERAL";"TAB3",#N/A,TRUE,"GENERAL";"TAB4",#N/A,TRUE,"GENERAL";"TAB5",#N/A,TRUE,"GENERAL"}</definedName>
    <definedName name="yudre54" localSheetId="16" hidden="1">{"TAB1",#N/A,TRUE,"GENERAL";"TAB2",#N/A,TRUE,"GENERAL";"TAB3",#N/A,TRUE,"GENERAL";"TAB4",#N/A,TRUE,"GENERAL";"TAB5",#N/A,TRUE,"GENERAL"}</definedName>
    <definedName name="yudre54" hidden="1">{"TAB1",#N/A,TRUE,"GENERAL";"TAB2",#N/A,TRUE,"GENERAL";"TAB3",#N/A,TRUE,"GENERAL";"TAB4",#N/A,TRUE,"GENERAL";"TAB5",#N/A,TRUE,"GENERAL"}</definedName>
    <definedName name="yuf" localSheetId="16" hidden="1">{"TAB1",#N/A,TRUE,"GENERAL";"TAB2",#N/A,TRUE,"GENERAL";"TAB3",#N/A,TRUE,"GENERAL";"TAB4",#N/A,TRUE,"GENERAL";"TAB5",#N/A,TRUE,"GENERAL"}</definedName>
    <definedName name="yuf" hidden="1">{"TAB1",#N/A,TRUE,"GENERAL";"TAB2",#N/A,TRUE,"GENERAL";"TAB3",#N/A,TRUE,"GENERAL";"TAB4",#N/A,TRUE,"GENERAL";"TAB5",#N/A,TRUE,"GENERAL"}</definedName>
    <definedName name="yuhgh" localSheetId="16"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6" hidden="1">{"via1",#N/A,TRUE,"general";"via2",#N/A,TRUE,"general";"via3",#N/A,TRUE,"general"}</definedName>
    <definedName name="yutu" hidden="1">{"via1",#N/A,TRUE,"general";"via2",#N/A,TRUE,"general";"via3",#N/A,TRUE,"general"}</definedName>
    <definedName name="yuuiiy" localSheetId="16" hidden="1">{"via1",#N/A,TRUE,"general";"via2",#N/A,TRUE,"general";"via3",#N/A,TRUE,"general"}</definedName>
    <definedName name="yuuiiy" hidden="1">{"via1",#N/A,TRUE,"general";"via2",#N/A,TRUE,"general";"via3",#N/A,TRUE,"general"}</definedName>
    <definedName name="yuuuuuu" localSheetId="16" hidden="1">{"via1",#N/A,TRUE,"general";"via2",#N/A,TRUE,"general";"via3",#N/A,TRUE,"general"}</definedName>
    <definedName name="yuuuuuu" hidden="1">{"via1",#N/A,TRUE,"general";"via2",#N/A,TRUE,"general";"via3",#N/A,TRUE,"general"}</definedName>
    <definedName name="yy" localSheetId="16" hidden="1">{"via1",#N/A,TRUE,"general";"via2",#N/A,TRUE,"general";"via3",#N/A,TRUE,"general"}</definedName>
    <definedName name="yy" hidden="1">{"via1",#N/A,TRUE,"general";"via2",#N/A,TRUE,"general";"via3",#N/A,TRUE,"general"}</definedName>
    <definedName name="YYY">#REF!</definedName>
    <definedName name="yyyuh" localSheetId="16" hidden="1">{"TAB1",#N/A,TRUE,"GENERAL";"TAB2",#N/A,TRUE,"GENERAL";"TAB3",#N/A,TRUE,"GENERAL";"TAB4",#N/A,TRUE,"GENERAL";"TAB5",#N/A,TRUE,"GENERAL"}</definedName>
    <definedName name="yyyuh" hidden="1">{"TAB1",#N/A,TRUE,"GENERAL";"TAB2",#N/A,TRUE,"GENERAL";"TAB3",#N/A,TRUE,"GENERAL";"TAB4",#N/A,TRUE,"GENERAL";"TAB5",#N/A,TRUE,"GENERAL"}</definedName>
    <definedName name="yyyyhhh" localSheetId="16" hidden="1">{"TAB1",#N/A,TRUE,"GENERAL";"TAB2",#N/A,TRUE,"GENERAL";"TAB3",#N/A,TRUE,"GENERAL";"TAB4",#N/A,TRUE,"GENERAL";"TAB5",#N/A,TRUE,"GENERAL"}</definedName>
    <definedName name="yyyyhhh" hidden="1">{"TAB1",#N/A,TRUE,"GENERAL";"TAB2",#N/A,TRUE,"GENERAL";"TAB3",#N/A,TRUE,"GENERAL";"TAB4",#N/A,TRUE,"GENERAL";"TAB5",#N/A,TRUE,"GENERAL"}</definedName>
    <definedName name="yyyyyf" localSheetId="16" hidden="1">{"via1",#N/A,TRUE,"general";"via2",#N/A,TRUE,"general";"via3",#N/A,TRUE,"general"}</definedName>
    <definedName name="yyyyyf" hidden="1">{"via1",#N/A,TRUE,"general";"via2",#N/A,TRUE,"general";"via3",#N/A,TRUE,"general"}</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_MONOLITO">#REF!</definedName>
    <definedName name="ZAQ" localSheetId="16" hidden="1">{#N/A,#N/A,TRUE,"INGENIERIA";#N/A,#N/A,TRUE,"COMPRAS";#N/A,#N/A,TRUE,"DIRECCION";#N/A,#N/A,TRUE,"RESUMEN"}</definedName>
    <definedName name="ZAQ" hidden="1">{#N/A,#N/A,TRUE,"INGENIERIA";#N/A,#N/A,TRUE,"COMPRAS";#N/A,#N/A,TRUE,"DIRECCION";#N/A,#N/A,TRUE,"RESUMEN"}</definedName>
    <definedName name="ZAQ_1" localSheetId="16" hidden="1">{#N/A,#N/A,TRUE,"INGENIERIA";#N/A,#N/A,TRUE,"COMPRAS";#N/A,#N/A,TRUE,"DIRECCION";#N/A,#N/A,TRUE,"RESUMEN"}</definedName>
    <definedName name="ZAQ_1" hidden="1">{#N/A,#N/A,TRUE,"INGENIERIA";#N/A,#N/A,TRUE,"COMPRAS";#N/A,#N/A,TRUE,"DIRECCION";#N/A,#N/A,TRUE,"RESUMEN"}</definedName>
    <definedName name="ZAQ_2" localSheetId="16"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localSheetId="16" hidden="1">{"via1",#N/A,TRUE,"general";"via2",#N/A,TRUE,"general";"via3",#N/A,TRUE,"general"}</definedName>
    <definedName name="zdervr" hidden="1">{"via1",#N/A,TRUE,"general";"via2",#N/A,TRUE,"general";"via3",#N/A,TRUE,"general"}</definedName>
    <definedName name="zdr">#REF!</definedName>
    <definedName name="zv">#REF!</definedName>
    <definedName name="zx">#REF!</definedName>
    <definedName name="zxczds" localSheetId="16" hidden="1">{"TAB1",#N/A,TRUE,"GENERAL";"TAB2",#N/A,TRUE,"GENERAL";"TAB3",#N/A,TRUE,"GENERAL";"TAB4",#N/A,TRUE,"GENERAL";"TAB5",#N/A,TRUE,"GENERAL"}</definedName>
    <definedName name="zxczds" hidden="1">{"TAB1",#N/A,TRUE,"GENERAL";"TAB2",#N/A,TRUE,"GENERAL";"TAB3",#N/A,TRUE,"GENERAL";"TAB4",#N/A,TRUE,"GENERAL";"TAB5",#N/A,TRUE,"GENERAL"}</definedName>
    <definedName name="zxsdftyu" localSheetId="16" hidden="1">{"via1",#N/A,TRUE,"general";"via2",#N/A,TRUE,"general";"via3",#N/A,TRUE,"general"}</definedName>
    <definedName name="zxsdftyu" hidden="1">{"via1",#N/A,TRUE,"general";"via2",#N/A,TRUE,"general";"via3",#N/A,TRUE,"general"}</definedName>
    <definedName name="zxvxczv" localSheetId="16" hidden="1">{"via1",#N/A,TRUE,"general";"via2",#N/A,TRUE,"general";"via3",#N/A,TRUE,"general"}</definedName>
    <definedName name="zxvxczv" hidden="1">{"via1",#N/A,TRUE,"general";"via2",#N/A,TRUE,"general";"via3",#N/A,TRUE,"general"}</definedName>
    <definedName name="zz">#REF!</definedName>
    <definedName name="ZZZZZZZZZZZ">#REF!</definedName>
  </definedNames>
  <calcPr calcId="191028" iterate="1" iterateCount="1000" calcCompleted="0"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8" i="2" l="1"/>
  <c r="F5" i="18"/>
  <c r="D5" i="18"/>
  <c r="F45" i="18"/>
  <c r="F46" i="18"/>
  <c r="F47" i="18"/>
  <c r="F48" i="18"/>
  <c r="F49" i="18"/>
  <c r="F50" i="18"/>
  <c r="F44" i="18"/>
  <c r="D14" i="18"/>
  <c r="E14" i="18"/>
  <c r="F14" i="18"/>
  <c r="D15" i="18"/>
  <c r="E15" i="18"/>
  <c r="F15" i="18"/>
  <c r="D16" i="18"/>
  <c r="E16" i="18"/>
  <c r="F16" i="18"/>
  <c r="D17" i="18"/>
  <c r="E17" i="18"/>
  <c r="F17" i="18"/>
  <c r="D18" i="18"/>
  <c r="E18" i="18"/>
  <c r="F18" i="18"/>
  <c r="D19" i="18"/>
  <c r="E19" i="18"/>
  <c r="F19" i="18"/>
  <c r="D20" i="18"/>
  <c r="E20" i="18"/>
  <c r="F20" i="18"/>
  <c r="D22" i="18"/>
  <c r="E22" i="18"/>
  <c r="F22" i="18"/>
  <c r="D23" i="18"/>
  <c r="E23" i="18"/>
  <c r="F23" i="18"/>
  <c r="D24" i="18"/>
  <c r="E24" i="18"/>
  <c r="F24" i="18"/>
  <c r="D25" i="18"/>
  <c r="E25" i="18"/>
  <c r="F25" i="18"/>
  <c r="D26" i="18"/>
  <c r="E26" i="18"/>
  <c r="F26" i="18"/>
  <c r="F13" i="18"/>
  <c r="D59" i="18" a="1"/>
  <c r="D59" i="18" s="1"/>
  <c r="G35" i="18"/>
  <c r="G34" i="18"/>
  <c r="G33" i="18"/>
  <c r="G32" i="18"/>
  <c r="G31" i="18"/>
  <c r="D12" i="18"/>
  <c r="E12" i="18" s="1"/>
  <c r="F12" i="18" s="1"/>
  <c r="C36" i="19" l="1"/>
  <c r="F44" i="19" s="1"/>
  <c r="C47" i="19"/>
  <c r="G45" i="19"/>
  <c r="H45" i="19" s="1"/>
  <c r="D39" i="16"/>
  <c r="E37" i="16"/>
  <c r="F37" i="16" s="1"/>
  <c r="E36" i="16"/>
  <c r="F36" i="16" s="1"/>
  <c r="E35" i="16"/>
  <c r="F35" i="16" s="1"/>
  <c r="E34" i="16"/>
  <c r="F34" i="16" s="1"/>
  <c r="E33" i="16"/>
  <c r="F33" i="16" s="1"/>
  <c r="E39" i="15"/>
  <c r="B39" i="15"/>
  <c r="A37" i="15"/>
  <c r="E37" i="15" s="1"/>
  <c r="E36" i="15"/>
  <c r="E35" i="15"/>
  <c r="E34" i="15"/>
  <c r="E33" i="15"/>
  <c r="E32" i="15"/>
  <c r="C26" i="15"/>
  <c r="J50" i="11"/>
  <c r="F32" i="22"/>
  <c r="E32" i="22"/>
  <c r="F31" i="22"/>
  <c r="E31" i="22"/>
  <c r="F30" i="22"/>
  <c r="E30" i="22"/>
  <c r="F29" i="22"/>
  <c r="E29" i="22"/>
  <c r="F28" i="22"/>
  <c r="E28" i="22"/>
  <c r="F27" i="22"/>
  <c r="E27" i="22"/>
  <c r="F26" i="22"/>
  <c r="E26" i="22"/>
  <c r="F25" i="22"/>
  <c r="E25" i="22"/>
  <c r="F24" i="22"/>
  <c r="E24" i="22"/>
  <c r="F23" i="22"/>
  <c r="E23" i="22"/>
  <c r="F21" i="22"/>
  <c r="E21" i="22"/>
  <c r="F20" i="22"/>
  <c r="E20" i="22"/>
  <c r="F19" i="22"/>
  <c r="E19" i="22"/>
  <c r="F18" i="22"/>
  <c r="E18" i="22"/>
  <c r="F17" i="22"/>
  <c r="E17" i="22"/>
  <c r="F16" i="22"/>
  <c r="E16" i="22"/>
  <c r="F15" i="22"/>
  <c r="E15" i="22"/>
  <c r="F14" i="22"/>
  <c r="E14" i="22"/>
  <c r="F13" i="22"/>
  <c r="E13" i="22"/>
  <c r="F12" i="22"/>
  <c r="E12" i="22"/>
  <c r="F11" i="22"/>
  <c r="E11" i="22"/>
  <c r="F10" i="22"/>
  <c r="E10" i="22"/>
  <c r="H8" i="22"/>
  <c r="I5" i="22"/>
  <c r="I6" i="22" s="1"/>
  <c r="F1561" i="5"/>
  <c r="F1560" i="5"/>
  <c r="F1029" i="5"/>
  <c r="F1009" i="5"/>
  <c r="F990" i="5"/>
  <c r="F591" i="5"/>
  <c r="F590" i="5"/>
  <c r="F383" i="5"/>
  <c r="F363" i="5"/>
  <c r="F303" i="5"/>
  <c r="F283" i="5"/>
  <c r="F225" i="5"/>
  <c r="F205" i="5"/>
  <c r="F185" i="5"/>
  <c r="F165" i="5"/>
  <c r="F145" i="5"/>
  <c r="F125" i="5"/>
  <c r="F105" i="5"/>
  <c r="F85" i="5"/>
  <c r="E791" i="4"/>
  <c r="C791" i="4"/>
  <c r="E227" i="4"/>
  <c r="F226" i="4"/>
  <c r="F227" i="4" s="1"/>
  <c r="C226" i="4"/>
  <c r="D196" i="4"/>
  <c r="E151" i="4"/>
  <c r="E142" i="4"/>
  <c r="E27" i="4"/>
  <c r="D27" i="4"/>
  <c r="E26" i="4"/>
  <c r="D26" i="4"/>
  <c r="F25" i="4"/>
  <c r="D25" i="4"/>
  <c r="C25" i="4"/>
  <c r="F47" i="19" l="1"/>
  <c r="H15" i="22"/>
  <c r="H11" i="22"/>
  <c r="F37" i="15"/>
  <c r="H13" i="22"/>
  <c r="H28" i="22"/>
  <c r="H32" i="22"/>
  <c r="H17" i="22"/>
  <c r="H12" i="22"/>
  <c r="H14" i="22"/>
  <c r="H16" i="22"/>
  <c r="H23" i="22"/>
  <c r="H25" i="22"/>
  <c r="H29" i="22"/>
  <c r="H31" i="22"/>
  <c r="H19" i="22"/>
  <c r="H10" i="22"/>
  <c r="H18" i="22"/>
  <c r="H20" i="22"/>
  <c r="H30" i="22"/>
  <c r="H27" i="22"/>
  <c r="H24" i="22"/>
  <c r="H26" i="22"/>
  <c r="H33" i="22"/>
  <c r="H21" i="22"/>
  <c r="E22" i="22"/>
  <c r="F22" i="22"/>
  <c r="E9" i="22"/>
  <c r="F9" i="22"/>
  <c r="J5" i="22"/>
  <c r="I4" i="22"/>
  <c r="H9" i="22" l="1"/>
  <c r="H22" i="22"/>
  <c r="J6" i="22"/>
  <c r="K5" i="22"/>
  <c r="L5" i="22" l="1"/>
  <c r="K6" i="22"/>
  <c r="M5" i="22" l="1"/>
  <c r="L6" i="22"/>
  <c r="N5" i="22" l="1"/>
  <c r="M6" i="22"/>
  <c r="O5" i="22" l="1"/>
  <c r="N6" i="22"/>
  <c r="P5" i="22" l="1"/>
  <c r="O6" i="22"/>
  <c r="Q5" i="22" l="1"/>
  <c r="P6" i="22"/>
  <c r="P4" i="22"/>
  <c r="R5" i="22" l="1"/>
  <c r="Q6" i="22"/>
  <c r="S5" i="22" l="1"/>
  <c r="R6" i="22"/>
  <c r="S6" i="22" l="1"/>
  <c r="T5" i="22"/>
  <c r="T6" i="22" l="1"/>
  <c r="U5" i="22"/>
  <c r="U6" i="22" l="1"/>
  <c r="V5" i="22"/>
  <c r="V6" i="22" l="1"/>
  <c r="W5" i="22"/>
  <c r="W4" i="22" l="1"/>
  <c r="X5" i="22"/>
  <c r="W6" i="22"/>
  <c r="Y5" i="22" l="1"/>
  <c r="X6" i="22"/>
  <c r="Z5" i="22" l="1"/>
  <c r="Y6" i="22"/>
  <c r="AA5" i="22" l="1"/>
  <c r="Z6" i="22"/>
  <c r="AB5" i="22" l="1"/>
  <c r="AA6" i="22"/>
  <c r="AC5" i="22" l="1"/>
  <c r="AB6" i="22"/>
  <c r="AD5" i="22" l="1"/>
  <c r="AC6" i="22"/>
  <c r="AD4" i="22" l="1"/>
  <c r="AD6" i="22"/>
  <c r="AE5" i="22"/>
  <c r="AE6" i="22" l="1"/>
  <c r="AF5" i="22"/>
  <c r="AF6" i="22" l="1"/>
  <c r="AG5" i="22"/>
  <c r="AG6" i="22" l="1"/>
  <c r="AH5" i="22"/>
  <c r="AH6" i="22" l="1"/>
  <c r="AI5" i="22"/>
  <c r="AJ5" i="22" l="1"/>
  <c r="AI6" i="22"/>
  <c r="AK5" i="22" l="1"/>
  <c r="AJ6" i="22"/>
  <c r="AK4" i="22" l="1"/>
  <c r="AL5" i="22"/>
  <c r="AK6" i="22"/>
  <c r="AM5" i="22" l="1"/>
  <c r="AL6" i="22"/>
  <c r="AN5" i="22" l="1"/>
  <c r="AM6" i="22"/>
  <c r="AN6" i="22" l="1"/>
  <c r="AO5" i="22"/>
  <c r="AP5" i="22" l="1"/>
  <c r="AO6" i="22"/>
  <c r="AP6" i="22" l="1"/>
  <c r="AQ5" i="22"/>
  <c r="AQ6" i="22" l="1"/>
  <c r="AR5" i="22"/>
  <c r="AR4" i="22" l="1"/>
  <c r="AR6" i="22"/>
  <c r="AS5" i="22"/>
  <c r="AS6" i="22" l="1"/>
  <c r="AT5" i="22"/>
  <c r="AT6" i="22" l="1"/>
  <c r="AU5" i="22"/>
  <c r="AV5" i="22" l="1"/>
  <c r="AU6" i="22"/>
  <c r="AW5" i="22" l="1"/>
  <c r="AV6" i="22"/>
  <c r="AX5" i="22" l="1"/>
  <c r="AW6" i="22"/>
  <c r="AY5" i="22" l="1"/>
  <c r="AX6" i="22"/>
  <c r="AZ5" i="22" l="1"/>
  <c r="AY4" i="22"/>
  <c r="AY6" i="22"/>
  <c r="BA5" i="22" l="1"/>
  <c r="AZ6" i="22"/>
  <c r="BB5" i="22" l="1"/>
  <c r="BA6" i="22"/>
  <c r="BB6" i="22" l="1"/>
  <c r="BC5" i="22"/>
  <c r="BC6" i="22" l="1"/>
  <c r="BD5" i="22"/>
  <c r="BD6" i="22" l="1"/>
  <c r="BE5" i="22"/>
  <c r="BE6" i="22" l="1"/>
  <c r="BF5" i="22"/>
  <c r="BF6" i="22" l="1"/>
  <c r="BG5" i="22"/>
  <c r="BF4" i="22"/>
  <c r="BH5" i="22" l="1"/>
  <c r="BG6" i="22"/>
  <c r="BI5" i="22" l="1"/>
  <c r="BH6" i="22"/>
  <c r="BJ5" i="22" l="1"/>
  <c r="BI6" i="22"/>
  <c r="BK5" i="22" l="1"/>
  <c r="BJ6" i="22"/>
  <c r="BL5" i="22" l="1"/>
  <c r="BL6" i="22" s="1"/>
  <c r="BK6" i="22"/>
  <c r="D24" i="19" l="1"/>
  <c r="E18" i="13"/>
  <c r="G39" i="18"/>
  <c r="E47" i="2"/>
  <c r="G38" i="18" s="1"/>
  <c r="H27" i="19"/>
  <c r="H26" i="19"/>
  <c r="H25" i="19"/>
  <c r="H24" i="19"/>
  <c r="H16" i="19"/>
  <c r="E16" i="19"/>
  <c r="F15" i="19"/>
  <c r="H26" i="17"/>
  <c r="F26" i="17"/>
  <c r="F20" i="17"/>
  <c r="F19" i="17"/>
  <c r="F18" i="17"/>
  <c r="E14" i="17"/>
  <c r="E13" i="17"/>
  <c r="E12" i="17"/>
  <c r="E11" i="17"/>
  <c r="E9" i="17"/>
  <c r="D15" i="16"/>
  <c r="F33" i="13"/>
  <c r="F32" i="13"/>
  <c r="F29" i="13"/>
  <c r="F28" i="13"/>
  <c r="F27" i="13"/>
  <c r="F26" i="13"/>
  <c r="F25" i="13"/>
  <c r="F24" i="13"/>
  <c r="F21" i="13"/>
  <c r="F22" i="13" s="1"/>
  <c r="F17" i="13"/>
  <c r="F16" i="13"/>
  <c r="F15" i="13"/>
  <c r="F14" i="13"/>
  <c r="F13" i="13"/>
  <c r="F10" i="13"/>
  <c r="F9" i="13"/>
  <c r="F8" i="13"/>
  <c r="F7" i="13"/>
  <c r="J51" i="11"/>
  <c r="I47" i="11"/>
  <c r="I46" i="11"/>
  <c r="I45" i="11"/>
  <c r="I44" i="11"/>
  <c r="I43" i="11"/>
  <c r="I42" i="11"/>
  <c r="I39" i="11"/>
  <c r="I40" i="11" s="1"/>
  <c r="I36" i="11"/>
  <c r="I35" i="11"/>
  <c r="I32" i="11"/>
  <c r="I31" i="11"/>
  <c r="I30" i="11"/>
  <c r="I27" i="11"/>
  <c r="I26" i="11"/>
  <c r="L6" i="11"/>
  <c r="F43" i="9"/>
  <c r="E43" i="9"/>
  <c r="H43" i="9" s="1"/>
  <c r="F42" i="9"/>
  <c r="E42" i="9"/>
  <c r="H42" i="9" s="1"/>
  <c r="F41" i="9"/>
  <c r="E41" i="9"/>
  <c r="F40" i="9"/>
  <c r="E40" i="9"/>
  <c r="F39" i="9"/>
  <c r="E39" i="9"/>
  <c r="F38" i="9"/>
  <c r="E38" i="9"/>
  <c r="F37" i="9"/>
  <c r="E37" i="9"/>
  <c r="H37" i="9" s="1"/>
  <c r="F36" i="9"/>
  <c r="E36" i="9"/>
  <c r="F35" i="9"/>
  <c r="F19" i="11" s="1"/>
  <c r="E35" i="9"/>
  <c r="F34" i="9"/>
  <c r="F18" i="11" s="1"/>
  <c r="E34" i="9"/>
  <c r="E18" i="11" s="1"/>
  <c r="F33" i="9"/>
  <c r="F17" i="11" s="1"/>
  <c r="E33" i="9"/>
  <c r="F32" i="9"/>
  <c r="F14" i="11" s="1"/>
  <c r="E32" i="9"/>
  <c r="F31" i="9"/>
  <c r="F13" i="11" s="1"/>
  <c r="E31" i="9"/>
  <c r="F30" i="9"/>
  <c r="F12" i="11" s="1"/>
  <c r="E30" i="9"/>
  <c r="F29" i="9"/>
  <c r="F11" i="11" s="1"/>
  <c r="E29" i="9"/>
  <c r="O26" i="9"/>
  <c r="N11" i="9"/>
  <c r="E13" i="18" s="1"/>
  <c r="M11" i="9"/>
  <c r="D13" i="18" s="1"/>
  <c r="E182" i="6"/>
  <c r="G182" i="6" s="1"/>
  <c r="E181" i="6"/>
  <c r="G181" i="6" s="1"/>
  <c r="E178" i="6"/>
  <c r="G178" i="6" s="1"/>
  <c r="E177" i="6"/>
  <c r="G177" i="6" s="1"/>
  <c r="E173" i="6"/>
  <c r="G173" i="6" s="1"/>
  <c r="E172" i="6"/>
  <c r="G172" i="6" s="1"/>
  <c r="E171" i="6"/>
  <c r="G171" i="6" s="1"/>
  <c r="E170" i="6"/>
  <c r="G170" i="6" s="1"/>
  <c r="E166" i="6"/>
  <c r="G166" i="6" s="1"/>
  <c r="E159" i="6"/>
  <c r="G159" i="6" s="1"/>
  <c r="E158" i="6"/>
  <c r="G158" i="6" s="1"/>
  <c r="E155" i="6"/>
  <c r="G155" i="6" s="1"/>
  <c r="E154" i="6"/>
  <c r="G154" i="6" s="1"/>
  <c r="E150" i="6"/>
  <c r="G150" i="6" s="1"/>
  <c r="E149" i="6"/>
  <c r="G149" i="6" s="1"/>
  <c r="E148" i="6"/>
  <c r="G148" i="6" s="1"/>
  <c r="E147" i="6"/>
  <c r="G147" i="6" s="1"/>
  <c r="E146" i="6"/>
  <c r="G146" i="6" s="1"/>
  <c r="E142" i="6"/>
  <c r="G142" i="6" s="1"/>
  <c r="E135" i="6"/>
  <c r="G135" i="6" s="1"/>
  <c r="E134" i="6"/>
  <c r="G134" i="6" s="1"/>
  <c r="E131" i="6"/>
  <c r="G131" i="6" s="1"/>
  <c r="E130" i="6"/>
  <c r="G130" i="6" s="1"/>
  <c r="E126" i="6"/>
  <c r="G126" i="6" s="1"/>
  <c r="E125" i="6"/>
  <c r="G125" i="6" s="1"/>
  <c r="E124" i="6"/>
  <c r="G124" i="6" s="1"/>
  <c r="E123" i="6"/>
  <c r="G123" i="6" s="1"/>
  <c r="E119" i="6"/>
  <c r="G119" i="6" s="1"/>
  <c r="E112" i="6"/>
  <c r="G112" i="6" s="1"/>
  <c r="E111" i="6"/>
  <c r="G111" i="6" s="1"/>
  <c r="E108" i="6"/>
  <c r="G108" i="6" s="1"/>
  <c r="E107" i="6"/>
  <c r="G107" i="6" s="1"/>
  <c r="E103" i="6"/>
  <c r="G103" i="6" s="1"/>
  <c r="E102" i="6"/>
  <c r="G102" i="6" s="1"/>
  <c r="E101" i="6"/>
  <c r="G101" i="6" s="1"/>
  <c r="E100" i="6"/>
  <c r="G100" i="6" s="1"/>
  <c r="E96" i="6"/>
  <c r="G96" i="6" s="1"/>
  <c r="E89" i="6"/>
  <c r="G89" i="6" s="1"/>
  <c r="E88" i="6"/>
  <c r="G88" i="6" s="1"/>
  <c r="E85" i="6"/>
  <c r="G85" i="6" s="1"/>
  <c r="E84" i="6"/>
  <c r="G84" i="6" s="1"/>
  <c r="E80" i="6"/>
  <c r="G80" i="6" s="1"/>
  <c r="E79" i="6"/>
  <c r="G79" i="6" s="1"/>
  <c r="E78" i="6"/>
  <c r="G78" i="6" s="1"/>
  <c r="E77" i="6"/>
  <c r="G77" i="6" s="1"/>
  <c r="E73" i="6"/>
  <c r="G73" i="6" s="1"/>
  <c r="E66" i="6"/>
  <c r="G66" i="6" s="1"/>
  <c r="G67" i="6" s="1"/>
  <c r="E63" i="6"/>
  <c r="G63" i="6" s="1"/>
  <c r="E62" i="6"/>
  <c r="G62" i="6" s="1"/>
  <c r="E58" i="6"/>
  <c r="G58" i="6" s="1"/>
  <c r="E57" i="6"/>
  <c r="G57" i="6" s="1"/>
  <c r="E56" i="6"/>
  <c r="G56" i="6" s="1"/>
  <c r="E52" i="6"/>
  <c r="G52" i="6" s="1"/>
  <c r="E45" i="6"/>
  <c r="G45" i="6" s="1"/>
  <c r="G46" i="6" s="1"/>
  <c r="E42" i="6"/>
  <c r="G42" i="6" s="1"/>
  <c r="E41" i="6"/>
  <c r="G41" i="6" s="1"/>
  <c r="E37" i="6"/>
  <c r="G37" i="6" s="1"/>
  <c r="E36" i="6"/>
  <c r="G36" i="6" s="1"/>
  <c r="E35" i="6"/>
  <c r="G35" i="6" s="1"/>
  <c r="E34" i="6"/>
  <c r="G34" i="6" s="1"/>
  <c r="E30" i="6"/>
  <c r="G30" i="6" s="1"/>
  <c r="E23" i="6"/>
  <c r="G23" i="6" s="1"/>
  <c r="G24" i="6" s="1"/>
  <c r="E20" i="6"/>
  <c r="G20" i="6" s="1"/>
  <c r="E19" i="6"/>
  <c r="G19" i="6" s="1"/>
  <c r="E15" i="6"/>
  <c r="G15" i="6" s="1"/>
  <c r="E14" i="6"/>
  <c r="G14" i="6" s="1"/>
  <c r="E13" i="6"/>
  <c r="G13" i="6" s="1"/>
  <c r="E12" i="6"/>
  <c r="G12" i="6" s="1"/>
  <c r="E8" i="6"/>
  <c r="G8" i="6" s="1"/>
  <c r="G1615" i="5"/>
  <c r="E1612" i="5"/>
  <c r="G1612" i="5" s="1"/>
  <c r="E1611" i="5"/>
  <c r="G1611" i="5" s="1"/>
  <c r="G1609" i="5"/>
  <c r="E1599" i="5"/>
  <c r="G1599" i="5" s="1"/>
  <c r="E1598" i="5"/>
  <c r="G1598" i="5" s="1"/>
  <c r="E1595" i="5"/>
  <c r="G1595" i="5" s="1"/>
  <c r="E1594" i="5"/>
  <c r="G1594" i="5" s="1"/>
  <c r="E1593" i="5"/>
  <c r="G1593" i="5" s="1"/>
  <c r="E1592" i="5"/>
  <c r="G1592" i="5" s="1"/>
  <c r="E1591" i="5"/>
  <c r="G1591" i="5" s="1"/>
  <c r="E1587" i="5"/>
  <c r="G1587" i="5" s="1"/>
  <c r="E1580" i="5"/>
  <c r="G1580" i="5" s="1"/>
  <c r="E1579" i="5"/>
  <c r="G1579" i="5" s="1"/>
  <c r="E1576" i="5"/>
  <c r="G1576" i="5" s="1"/>
  <c r="E1575" i="5"/>
  <c r="G1575" i="5" s="1"/>
  <c r="E1574" i="5"/>
  <c r="G1574" i="5" s="1"/>
  <c r="E1573" i="5"/>
  <c r="G1573" i="5" s="1"/>
  <c r="E1572" i="5"/>
  <c r="G1572" i="5" s="1"/>
  <c r="E1568" i="5"/>
  <c r="G1568" i="5" s="1"/>
  <c r="E1561" i="5"/>
  <c r="G1561" i="5" s="1"/>
  <c r="E1560" i="5"/>
  <c r="G1560" i="5" s="1"/>
  <c r="E1557" i="5"/>
  <c r="G1557" i="5" s="1"/>
  <c r="G1558" i="5" s="1"/>
  <c r="E1553" i="5"/>
  <c r="G1553" i="5" s="1"/>
  <c r="E1552" i="5"/>
  <c r="G1552" i="5" s="1"/>
  <c r="E1545" i="5"/>
  <c r="G1545" i="5" s="1"/>
  <c r="E1544" i="5"/>
  <c r="G1544" i="5" s="1"/>
  <c r="E1541" i="5"/>
  <c r="G1541" i="5" s="1"/>
  <c r="G1542" i="5" s="1"/>
  <c r="E1537" i="5"/>
  <c r="G1537" i="5" s="1"/>
  <c r="E1536" i="5"/>
  <c r="G1536" i="5" s="1"/>
  <c r="E1529" i="5"/>
  <c r="G1529" i="5" s="1"/>
  <c r="E1528" i="5"/>
  <c r="G1528" i="5" s="1"/>
  <c r="E1525" i="5"/>
  <c r="G1525" i="5" s="1"/>
  <c r="G1526" i="5" s="1"/>
  <c r="E1521" i="5"/>
  <c r="G1521" i="5" s="1"/>
  <c r="E1520" i="5"/>
  <c r="G1520" i="5" s="1"/>
  <c r="E1513" i="5"/>
  <c r="G1513" i="5" s="1"/>
  <c r="E1512" i="5"/>
  <c r="G1512" i="5" s="1"/>
  <c r="E1509" i="5"/>
  <c r="G1509" i="5" s="1"/>
  <c r="G1510" i="5" s="1"/>
  <c r="E1505" i="5"/>
  <c r="G1505" i="5" s="1"/>
  <c r="E1498" i="5"/>
  <c r="G1498" i="5" s="1"/>
  <c r="E1497" i="5"/>
  <c r="G1497" i="5" s="1"/>
  <c r="E1494" i="5"/>
  <c r="G1494" i="5" s="1"/>
  <c r="E1493" i="5"/>
  <c r="G1493" i="5" s="1"/>
  <c r="E1492" i="5"/>
  <c r="G1492" i="5" s="1"/>
  <c r="E1491" i="5"/>
  <c r="G1491" i="5" s="1"/>
  <c r="E1490" i="5"/>
  <c r="G1490" i="5" s="1"/>
  <c r="E1489" i="5"/>
  <c r="G1489" i="5" s="1"/>
  <c r="E1485" i="5"/>
  <c r="G1485" i="5" s="1"/>
  <c r="E1478" i="5"/>
  <c r="G1478" i="5" s="1"/>
  <c r="E1477" i="5"/>
  <c r="G1477" i="5" s="1"/>
  <c r="E1474" i="5"/>
  <c r="G1474" i="5" s="1"/>
  <c r="E1473" i="5"/>
  <c r="G1473" i="5" s="1"/>
  <c r="E1472" i="5"/>
  <c r="G1472" i="5" s="1"/>
  <c r="E1471" i="5"/>
  <c r="G1471" i="5" s="1"/>
  <c r="E1470" i="5"/>
  <c r="G1470" i="5" s="1"/>
  <c r="E1469" i="5"/>
  <c r="G1469" i="5" s="1"/>
  <c r="E1459" i="5"/>
  <c r="G1459" i="5" s="1"/>
  <c r="E1458" i="5"/>
  <c r="G1458" i="5" s="1"/>
  <c r="E1455" i="5"/>
  <c r="G1455" i="5" s="1"/>
  <c r="E1450" i="5"/>
  <c r="G1450" i="5" s="1"/>
  <c r="E1443" i="5"/>
  <c r="G1443" i="5" s="1"/>
  <c r="E1442" i="5"/>
  <c r="G1442" i="5" s="1"/>
  <c r="E1439" i="5"/>
  <c r="G1439" i="5" s="1"/>
  <c r="G1440" i="5" s="1"/>
  <c r="E1435" i="5"/>
  <c r="G1435" i="5" s="1"/>
  <c r="E1428" i="5"/>
  <c r="G1428" i="5" s="1"/>
  <c r="E1427" i="5"/>
  <c r="G1427" i="5" s="1"/>
  <c r="E1424" i="5"/>
  <c r="G1424" i="5" s="1"/>
  <c r="G1425" i="5" s="1"/>
  <c r="E1420" i="5"/>
  <c r="G1420" i="5" s="1"/>
  <c r="E1413" i="5"/>
  <c r="G1413" i="5" s="1"/>
  <c r="E1412" i="5"/>
  <c r="G1412" i="5" s="1"/>
  <c r="E1409" i="5"/>
  <c r="G1409" i="5" s="1"/>
  <c r="G1410" i="5" s="1"/>
  <c r="E1405" i="5"/>
  <c r="G1405" i="5" s="1"/>
  <c r="E1398" i="5"/>
  <c r="G1398" i="5" s="1"/>
  <c r="E1397" i="5"/>
  <c r="G1397" i="5" s="1"/>
  <c r="E1394" i="5"/>
  <c r="G1394" i="5" s="1"/>
  <c r="G1395" i="5" s="1"/>
  <c r="E1384" i="5"/>
  <c r="G1384" i="5" s="1"/>
  <c r="E1383" i="5"/>
  <c r="G1383" i="5" s="1"/>
  <c r="E1380" i="5"/>
  <c r="G1380" i="5" s="1"/>
  <c r="E1379" i="5"/>
  <c r="G1379" i="5" s="1"/>
  <c r="E1375" i="5"/>
  <c r="G1375" i="5" s="1"/>
  <c r="E1368" i="5"/>
  <c r="G1368" i="5" s="1"/>
  <c r="E1367" i="5"/>
  <c r="G1367" i="5" s="1"/>
  <c r="E1364" i="5"/>
  <c r="G1364" i="5" s="1"/>
  <c r="G1365" i="5" s="1"/>
  <c r="E1360" i="5"/>
  <c r="G1360" i="5" s="1"/>
  <c r="E1353" i="5"/>
  <c r="G1353" i="5" s="1"/>
  <c r="E1352" i="5"/>
  <c r="G1352" i="5" s="1"/>
  <c r="E1349" i="5"/>
  <c r="G1349" i="5" s="1"/>
  <c r="E1348" i="5"/>
  <c r="G1348" i="5" s="1"/>
  <c r="E1347" i="5"/>
  <c r="G1347" i="5" s="1"/>
  <c r="E1343" i="5"/>
  <c r="G1343" i="5" s="1"/>
  <c r="E1336" i="5"/>
  <c r="G1336" i="5" s="1"/>
  <c r="E1335" i="5"/>
  <c r="G1335" i="5" s="1"/>
  <c r="E1332" i="5"/>
  <c r="G1332" i="5" s="1"/>
  <c r="E1331" i="5"/>
  <c r="G1331" i="5" s="1"/>
  <c r="E1330" i="5"/>
  <c r="G1330" i="5" s="1"/>
  <c r="E1326" i="5"/>
  <c r="G1326" i="5" s="1"/>
  <c r="E1319" i="5"/>
  <c r="G1319" i="5" s="1"/>
  <c r="E1318" i="5"/>
  <c r="G1318" i="5" s="1"/>
  <c r="E1315" i="5"/>
  <c r="G1315" i="5" s="1"/>
  <c r="E1314" i="5"/>
  <c r="G1314" i="5" s="1"/>
  <c r="E1313" i="5"/>
  <c r="G1313" i="5" s="1"/>
  <c r="E1312" i="5"/>
  <c r="G1312" i="5" s="1"/>
  <c r="E1311" i="5"/>
  <c r="G1311" i="5" s="1"/>
  <c r="E1310" i="5"/>
  <c r="G1310" i="5" s="1"/>
  <c r="E1299" i="5"/>
  <c r="G1299" i="5" s="1"/>
  <c r="E1298" i="5"/>
  <c r="G1298" i="5" s="1"/>
  <c r="E1295" i="5"/>
  <c r="G1295" i="5" s="1"/>
  <c r="G1296" i="5" s="1"/>
  <c r="E1285" i="5"/>
  <c r="G1285" i="5" s="1"/>
  <c r="E1284" i="5"/>
  <c r="G1284" i="5" s="1"/>
  <c r="E1281" i="5"/>
  <c r="G1281" i="5" s="1"/>
  <c r="E1280" i="5"/>
  <c r="G1280" i="5" s="1"/>
  <c r="E1279" i="5"/>
  <c r="G1279" i="5" s="1"/>
  <c r="E1278" i="5"/>
  <c r="G1278" i="5" s="1"/>
  <c r="E1277" i="5"/>
  <c r="G1277" i="5" s="1"/>
  <c r="E1276" i="5"/>
  <c r="G1276" i="5" s="1"/>
  <c r="E1266" i="5"/>
  <c r="G1266" i="5" s="1"/>
  <c r="E1265" i="5"/>
  <c r="G1265" i="5" s="1"/>
  <c r="E1262" i="5"/>
  <c r="G1262" i="5" s="1"/>
  <c r="E1261" i="5"/>
  <c r="G1261" i="5" s="1"/>
  <c r="E1260" i="5"/>
  <c r="G1260" i="5" s="1"/>
  <c r="E1259" i="5"/>
  <c r="G1259" i="5" s="1"/>
  <c r="E1258" i="5"/>
  <c r="G1258" i="5" s="1"/>
  <c r="E1257" i="5"/>
  <c r="G1257" i="5" s="1"/>
  <c r="E1247" i="5"/>
  <c r="G1247" i="5" s="1"/>
  <c r="E1246" i="5"/>
  <c r="G1246" i="5" s="1"/>
  <c r="E1243" i="5"/>
  <c r="G1243" i="5" s="1"/>
  <c r="E1242" i="5"/>
  <c r="G1242" i="5" s="1"/>
  <c r="E1241" i="5"/>
  <c r="G1241" i="5" s="1"/>
  <c r="E1240" i="5"/>
  <c r="G1240" i="5" s="1"/>
  <c r="E1239" i="5"/>
  <c r="G1239" i="5" s="1"/>
  <c r="E1238" i="5"/>
  <c r="G1238" i="5" s="1"/>
  <c r="E1228" i="5"/>
  <c r="G1228" i="5" s="1"/>
  <c r="E1227" i="5"/>
  <c r="G1227" i="5" s="1"/>
  <c r="E1224" i="5"/>
  <c r="G1224" i="5" s="1"/>
  <c r="E1223" i="5"/>
  <c r="G1223" i="5" s="1"/>
  <c r="E1222" i="5"/>
  <c r="G1222" i="5" s="1"/>
  <c r="E1221" i="5"/>
  <c r="G1221" i="5" s="1"/>
  <c r="E1220" i="5"/>
  <c r="G1220" i="5" s="1"/>
  <c r="E1219" i="5"/>
  <c r="G1219" i="5" s="1"/>
  <c r="E1218" i="5"/>
  <c r="G1218" i="5" s="1"/>
  <c r="E1208" i="5"/>
  <c r="G1208" i="5" s="1"/>
  <c r="E1207" i="5"/>
  <c r="G1207" i="5" s="1"/>
  <c r="E1204" i="5"/>
  <c r="G1204" i="5" s="1"/>
  <c r="E1203" i="5"/>
  <c r="G1203" i="5" s="1"/>
  <c r="E1202" i="5"/>
  <c r="G1202" i="5" s="1"/>
  <c r="E1201" i="5"/>
  <c r="G1201" i="5" s="1"/>
  <c r="E1191" i="5"/>
  <c r="G1191" i="5" s="1"/>
  <c r="G1192" i="5" s="1"/>
  <c r="E1188" i="5"/>
  <c r="G1188" i="5" s="1"/>
  <c r="E1187" i="5"/>
  <c r="G1187" i="5" s="1"/>
  <c r="E1184" i="5"/>
  <c r="G1184" i="5" s="1"/>
  <c r="E1183" i="5"/>
  <c r="G1183" i="5" s="1"/>
  <c r="E1179" i="5"/>
  <c r="G1179" i="5" s="1"/>
  <c r="E1178" i="5"/>
  <c r="G1178" i="5" s="1"/>
  <c r="E1171" i="5"/>
  <c r="G1171" i="5" s="1"/>
  <c r="G1172" i="5" s="1"/>
  <c r="E1168" i="5"/>
  <c r="G1168" i="5" s="1"/>
  <c r="E1167" i="5"/>
  <c r="G1167" i="5" s="1"/>
  <c r="E1164" i="5"/>
  <c r="G1164" i="5" s="1"/>
  <c r="E1163" i="5"/>
  <c r="G1163" i="5" s="1"/>
  <c r="E1162" i="5"/>
  <c r="G1162" i="5" s="1"/>
  <c r="E1161" i="5"/>
  <c r="G1161" i="5" s="1"/>
  <c r="E1160" i="5"/>
  <c r="G1160" i="5" s="1"/>
  <c r="E1159" i="5"/>
  <c r="G1159" i="5" s="1"/>
  <c r="E1158" i="5"/>
  <c r="G1158" i="5" s="1"/>
  <c r="E1157" i="5"/>
  <c r="G1157" i="5" s="1"/>
  <c r="E1156" i="5"/>
  <c r="G1156" i="5" s="1"/>
  <c r="E1152" i="5"/>
  <c r="G1152" i="5" s="1"/>
  <c r="E1151" i="5"/>
  <c r="G1151" i="5" s="1"/>
  <c r="E1150" i="5"/>
  <c r="G1150" i="5" s="1"/>
  <c r="E1143" i="5"/>
  <c r="G1143" i="5" s="1"/>
  <c r="E1142" i="5"/>
  <c r="G1142" i="5" s="1"/>
  <c r="E1129" i="5"/>
  <c r="G1129" i="5" s="1"/>
  <c r="E1128" i="5"/>
  <c r="G1128" i="5" s="1"/>
  <c r="E1125" i="5"/>
  <c r="G1125" i="5" s="1"/>
  <c r="E1114" i="5"/>
  <c r="G1114" i="5" s="1"/>
  <c r="E1113" i="5"/>
  <c r="G1113" i="5" s="1"/>
  <c r="E1110" i="5"/>
  <c r="G1110" i="5" s="1"/>
  <c r="E1099" i="5"/>
  <c r="G1099" i="5" s="1"/>
  <c r="E1098" i="5"/>
  <c r="G1098" i="5" s="1"/>
  <c r="E1095" i="5"/>
  <c r="G1095" i="5" s="1"/>
  <c r="E1094" i="5"/>
  <c r="G1094" i="5" s="1"/>
  <c r="E1093" i="5"/>
  <c r="G1093" i="5" s="1"/>
  <c r="E1092" i="5"/>
  <c r="G1092" i="5" s="1"/>
  <c r="E1087" i="5"/>
  <c r="G1087" i="5" s="1"/>
  <c r="E1080" i="5"/>
  <c r="G1080" i="5" s="1"/>
  <c r="E1079" i="5"/>
  <c r="G1079" i="5" s="1"/>
  <c r="E1076" i="5"/>
  <c r="G1076" i="5" s="1"/>
  <c r="E1075" i="5"/>
  <c r="G1075" i="5" s="1"/>
  <c r="E1074" i="5"/>
  <c r="G1074" i="5" s="1"/>
  <c r="E1073" i="5"/>
  <c r="G1073" i="5" s="1"/>
  <c r="E1072" i="5"/>
  <c r="G1072" i="5" s="1"/>
  <c r="E1067" i="5"/>
  <c r="G1067" i="5" s="1"/>
  <c r="E1066" i="5"/>
  <c r="G1066" i="5" s="1"/>
  <c r="E1059" i="5"/>
  <c r="G1059" i="5" s="1"/>
  <c r="E1058" i="5"/>
  <c r="G1058" i="5" s="1"/>
  <c r="E1055" i="5"/>
  <c r="G1055" i="5" s="1"/>
  <c r="E1054" i="5"/>
  <c r="G1054" i="5" s="1"/>
  <c r="E1053" i="5"/>
  <c r="G1053" i="5" s="1"/>
  <c r="E1052" i="5"/>
  <c r="G1052" i="5" s="1"/>
  <c r="E1051" i="5"/>
  <c r="G1051" i="5" s="1"/>
  <c r="E1046" i="5"/>
  <c r="G1046" i="5" s="1"/>
  <c r="E1045" i="5"/>
  <c r="G1045" i="5" s="1"/>
  <c r="E1038" i="5"/>
  <c r="G1038" i="5" s="1"/>
  <c r="E1037" i="5"/>
  <c r="G1037" i="5" s="1"/>
  <c r="E1034" i="5"/>
  <c r="G1034" i="5" s="1"/>
  <c r="E1033" i="5"/>
  <c r="G1033" i="5" s="1"/>
  <c r="E1032" i="5"/>
  <c r="G1032" i="5" s="1"/>
  <c r="E1031" i="5"/>
  <c r="G1031" i="5" s="1"/>
  <c r="E1030" i="5"/>
  <c r="G1030" i="5" s="1"/>
  <c r="E1025" i="5"/>
  <c r="G1025" i="5" s="1"/>
  <c r="E1018" i="5"/>
  <c r="G1018" i="5" s="1"/>
  <c r="E1017" i="5"/>
  <c r="G1017" i="5" s="1"/>
  <c r="E1014" i="5"/>
  <c r="G1014" i="5" s="1"/>
  <c r="E1013" i="5"/>
  <c r="G1013" i="5" s="1"/>
  <c r="E1012" i="5"/>
  <c r="G1012" i="5" s="1"/>
  <c r="E1011" i="5"/>
  <c r="G1011" i="5" s="1"/>
  <c r="E1010" i="5"/>
  <c r="G1010" i="5" s="1"/>
  <c r="E1005" i="5"/>
  <c r="G1005" i="5" s="1"/>
  <c r="E998" i="5"/>
  <c r="G998" i="5" s="1"/>
  <c r="E997" i="5"/>
  <c r="G997" i="5" s="1"/>
  <c r="E994" i="5"/>
  <c r="G994" i="5" s="1"/>
  <c r="E993" i="5"/>
  <c r="G993" i="5" s="1"/>
  <c r="E992" i="5"/>
  <c r="G992" i="5" s="1"/>
  <c r="E991" i="5"/>
  <c r="G991" i="5" s="1"/>
  <c r="E990" i="5"/>
  <c r="G990" i="5" s="1"/>
  <c r="E985" i="5"/>
  <c r="G985" i="5" s="1"/>
  <c r="E978" i="5"/>
  <c r="G978" i="5" s="1"/>
  <c r="G979" i="5" s="1"/>
  <c r="E975" i="5" s="1"/>
  <c r="G975" i="5" s="1"/>
  <c r="G976" i="5" s="1"/>
  <c r="G980" i="5" s="1"/>
  <c r="G90" i="3" s="1"/>
  <c r="E968" i="5"/>
  <c r="G968" i="5" s="1"/>
  <c r="E967" i="5"/>
  <c r="G967" i="5" s="1"/>
  <c r="E963" i="5"/>
  <c r="G963" i="5" s="1"/>
  <c r="E956" i="5"/>
  <c r="G956" i="5" s="1"/>
  <c r="E955" i="5"/>
  <c r="G955" i="5" s="1"/>
  <c r="E954" i="5"/>
  <c r="G954" i="5" s="1"/>
  <c r="E951" i="5"/>
  <c r="G951" i="5" s="1"/>
  <c r="E950" i="5"/>
  <c r="G950" i="5" s="1"/>
  <c r="E949" i="5"/>
  <c r="G949" i="5" s="1"/>
  <c r="E948" i="5"/>
  <c r="G948" i="5" s="1"/>
  <c r="E944" i="5"/>
  <c r="G944" i="5" s="1"/>
  <c r="E937" i="5"/>
  <c r="G937" i="5" s="1"/>
  <c r="E936" i="5"/>
  <c r="G936" i="5" s="1"/>
  <c r="E933" i="5"/>
  <c r="G933" i="5" s="1"/>
  <c r="G934" i="5" s="1"/>
  <c r="E929" i="5"/>
  <c r="G929" i="5" s="1"/>
  <c r="E928" i="5"/>
  <c r="G928" i="5" s="1"/>
  <c r="E921" i="5"/>
  <c r="G921" i="5" s="1"/>
  <c r="E920" i="5"/>
  <c r="G920" i="5" s="1"/>
  <c r="E917" i="5"/>
  <c r="G917" i="5" s="1"/>
  <c r="E916" i="5"/>
  <c r="G916" i="5" s="1"/>
  <c r="E915" i="5"/>
  <c r="G915" i="5" s="1"/>
  <c r="E914" i="5"/>
  <c r="G914" i="5" s="1"/>
  <c r="E913" i="5"/>
  <c r="G913" i="5" s="1"/>
  <c r="E912" i="5"/>
  <c r="G912" i="5" s="1"/>
  <c r="E908" i="5"/>
  <c r="G908" i="5" s="1"/>
  <c r="E901" i="5"/>
  <c r="G901" i="5" s="1"/>
  <c r="E900" i="5"/>
  <c r="G900" i="5" s="1"/>
  <c r="E897" i="5"/>
  <c r="G897" i="5" s="1"/>
  <c r="G898" i="5" s="1"/>
  <c r="E887" i="5"/>
  <c r="G887" i="5" s="1"/>
  <c r="G888" i="5" s="1"/>
  <c r="E884" i="5"/>
  <c r="G884" i="5" s="1"/>
  <c r="E883" i="5"/>
  <c r="G883" i="5" s="1"/>
  <c r="E880" i="5"/>
  <c r="G880" i="5" s="1"/>
  <c r="E879" i="5"/>
  <c r="G879" i="5" s="1"/>
  <c r="E875" i="5"/>
  <c r="G875" i="5" s="1"/>
  <c r="E874" i="5"/>
  <c r="G874" i="5" s="1"/>
  <c r="E867" i="5"/>
  <c r="G867" i="5" s="1"/>
  <c r="G868" i="5" s="1"/>
  <c r="E864" i="5"/>
  <c r="G864" i="5" s="1"/>
  <c r="E863" i="5"/>
  <c r="G863" i="5" s="1"/>
  <c r="E860" i="5"/>
  <c r="G860" i="5" s="1"/>
  <c r="E859" i="5"/>
  <c r="G859" i="5" s="1"/>
  <c r="E858" i="5"/>
  <c r="G858" i="5" s="1"/>
  <c r="E857" i="5"/>
  <c r="G857" i="5" s="1"/>
  <c r="E856" i="5"/>
  <c r="G856" i="5" s="1"/>
  <c r="E855" i="5"/>
  <c r="G855" i="5" s="1"/>
  <c r="E854" i="5"/>
  <c r="G854" i="5" s="1"/>
  <c r="E850" i="5"/>
  <c r="G850" i="5" s="1"/>
  <c r="E849" i="5"/>
  <c r="G849" i="5" s="1"/>
  <c r="E848" i="5"/>
  <c r="G848" i="5" s="1"/>
  <c r="E841" i="5"/>
  <c r="G841" i="5" s="1"/>
  <c r="E840" i="5"/>
  <c r="G840" i="5" s="1"/>
  <c r="E837" i="5"/>
  <c r="G837" i="5" s="1"/>
  <c r="G838" i="5" s="1"/>
  <c r="E827" i="5"/>
  <c r="G827" i="5" s="1"/>
  <c r="G828" i="5" s="1"/>
  <c r="E824" i="5"/>
  <c r="G824" i="5" s="1"/>
  <c r="E823" i="5"/>
  <c r="G823" i="5" s="1"/>
  <c r="E820" i="5"/>
  <c r="G820" i="5" s="1"/>
  <c r="G821" i="5" s="1"/>
  <c r="E816" i="5"/>
  <c r="G816" i="5" s="1"/>
  <c r="E815" i="5"/>
  <c r="G815" i="5" s="1"/>
  <c r="E808" i="5"/>
  <c r="G808" i="5" s="1"/>
  <c r="G809" i="5" s="1"/>
  <c r="E805" i="5"/>
  <c r="G805" i="5" s="1"/>
  <c r="E804" i="5"/>
  <c r="G804" i="5" s="1"/>
  <c r="E801" i="5"/>
  <c r="G801" i="5" s="1"/>
  <c r="G802" i="5" s="1"/>
  <c r="E797" i="5"/>
  <c r="G797" i="5" s="1"/>
  <c r="E796" i="5"/>
  <c r="G796" i="5" s="1"/>
  <c r="E795" i="5"/>
  <c r="G795" i="5" s="1"/>
  <c r="E788" i="5"/>
  <c r="G788" i="5" s="1"/>
  <c r="G789" i="5" s="1"/>
  <c r="E785" i="5"/>
  <c r="G785" i="5" s="1"/>
  <c r="E784" i="5"/>
  <c r="G784" i="5" s="1"/>
  <c r="E781" i="5"/>
  <c r="G781" i="5" s="1"/>
  <c r="E780" i="5"/>
  <c r="G780" i="5" s="1"/>
  <c r="E776" i="5"/>
  <c r="G776" i="5" s="1"/>
  <c r="E775" i="5"/>
  <c r="G775" i="5" s="1"/>
  <c r="E774" i="5"/>
  <c r="G774" i="5" s="1"/>
  <c r="E767" i="5"/>
  <c r="G767" i="5" s="1"/>
  <c r="G768" i="5" s="1"/>
  <c r="E764" i="5"/>
  <c r="G764" i="5" s="1"/>
  <c r="E763" i="5"/>
  <c r="G763" i="5" s="1"/>
  <c r="E760" i="5"/>
  <c r="G760" i="5" s="1"/>
  <c r="G761" i="5" s="1"/>
  <c r="E756" i="5"/>
  <c r="G756" i="5" s="1"/>
  <c r="E755" i="5"/>
  <c r="G755" i="5" s="1"/>
  <c r="E754" i="5"/>
  <c r="G754" i="5" s="1"/>
  <c r="E747" i="5"/>
  <c r="G747" i="5" s="1"/>
  <c r="G748" i="5" s="1"/>
  <c r="E744" i="5"/>
  <c r="G744" i="5" s="1"/>
  <c r="E743" i="5"/>
  <c r="G743" i="5" s="1"/>
  <c r="E740" i="5"/>
  <c r="G740" i="5" s="1"/>
  <c r="E739" i="5"/>
  <c r="G739" i="5" s="1"/>
  <c r="E735" i="5"/>
  <c r="G735" i="5" s="1"/>
  <c r="E734" i="5"/>
  <c r="G734" i="5" s="1"/>
  <c r="E733" i="5"/>
  <c r="G733" i="5" s="1"/>
  <c r="E726" i="5"/>
  <c r="G726" i="5" s="1"/>
  <c r="G727" i="5" s="1"/>
  <c r="E723" i="5"/>
  <c r="G723" i="5" s="1"/>
  <c r="E722" i="5"/>
  <c r="G722" i="5" s="1"/>
  <c r="E719" i="5"/>
  <c r="G719" i="5" s="1"/>
  <c r="E718" i="5"/>
  <c r="G718" i="5" s="1"/>
  <c r="E717" i="5"/>
  <c r="G717" i="5" s="1"/>
  <c r="E716" i="5"/>
  <c r="G716" i="5" s="1"/>
  <c r="E715" i="5"/>
  <c r="G715" i="5" s="1"/>
  <c r="E714" i="5"/>
  <c r="G714" i="5" s="1"/>
  <c r="E713" i="5"/>
  <c r="G713" i="5" s="1"/>
  <c r="E712" i="5"/>
  <c r="G712" i="5" s="1"/>
  <c r="E708" i="5"/>
  <c r="G708" i="5" s="1"/>
  <c r="E707" i="5"/>
  <c r="G707" i="5" s="1"/>
  <c r="E706" i="5"/>
  <c r="G706" i="5" s="1"/>
  <c r="E699" i="5"/>
  <c r="G699" i="5" s="1"/>
  <c r="E698" i="5"/>
  <c r="G698" i="5" s="1"/>
  <c r="E697" i="5"/>
  <c r="G697" i="5" s="1"/>
  <c r="E694" i="5"/>
  <c r="G694" i="5" s="1"/>
  <c r="E693" i="5"/>
  <c r="G693" i="5" s="1"/>
  <c r="E690" i="5"/>
  <c r="G690" i="5" s="1"/>
  <c r="E689" i="5"/>
  <c r="G689" i="5" s="1"/>
  <c r="E688" i="5"/>
  <c r="G688" i="5" s="1"/>
  <c r="E687" i="5"/>
  <c r="G687" i="5" s="1"/>
  <c r="E686" i="5"/>
  <c r="G686" i="5" s="1"/>
  <c r="E685" i="5"/>
  <c r="G685" i="5" s="1"/>
  <c r="E684" i="5"/>
  <c r="G684" i="5" s="1"/>
  <c r="E683" i="5"/>
  <c r="G683" i="5" s="1"/>
  <c r="E682" i="5"/>
  <c r="G682" i="5" s="1"/>
  <c r="E678" i="5"/>
  <c r="G678" i="5" s="1"/>
  <c r="E677" i="5"/>
  <c r="G677" i="5" s="1"/>
  <c r="E676" i="5"/>
  <c r="G676" i="5" s="1"/>
  <c r="E669" i="5"/>
  <c r="G669" i="5" s="1"/>
  <c r="G670" i="5" s="1"/>
  <c r="E666" i="5"/>
  <c r="G666" i="5" s="1"/>
  <c r="E665" i="5"/>
  <c r="G665" i="5" s="1"/>
  <c r="E662" i="5"/>
  <c r="G662" i="5" s="1"/>
  <c r="E661" i="5"/>
  <c r="G661" i="5" s="1"/>
  <c r="E660" i="5"/>
  <c r="G660" i="5" s="1"/>
  <c r="E659" i="5"/>
  <c r="G659" i="5" s="1"/>
  <c r="E658" i="5"/>
  <c r="G658" i="5" s="1"/>
  <c r="E657" i="5"/>
  <c r="G657" i="5" s="1"/>
  <c r="E656" i="5"/>
  <c r="G656" i="5" s="1"/>
  <c r="E655" i="5"/>
  <c r="G655" i="5" s="1"/>
  <c r="E654" i="5"/>
  <c r="G654" i="5" s="1"/>
  <c r="E653" i="5"/>
  <c r="G653" i="5" s="1"/>
  <c r="E652" i="5"/>
  <c r="G652" i="5" s="1"/>
  <c r="E651" i="5"/>
  <c r="G651" i="5" s="1"/>
  <c r="E650" i="5"/>
  <c r="G650" i="5" s="1"/>
  <c r="E646" i="5"/>
  <c r="G646" i="5" s="1"/>
  <c r="E645" i="5"/>
  <c r="G645" i="5" s="1"/>
  <c r="E644" i="5"/>
  <c r="G644" i="5" s="1"/>
  <c r="E637" i="5"/>
  <c r="G637" i="5" s="1"/>
  <c r="G638" i="5" s="1"/>
  <c r="E634" i="5"/>
  <c r="G634" i="5" s="1"/>
  <c r="E633" i="5"/>
  <c r="G633" i="5" s="1"/>
  <c r="E630" i="5"/>
  <c r="G630" i="5" s="1"/>
  <c r="E629" i="5"/>
  <c r="G629" i="5" s="1"/>
  <c r="E628" i="5"/>
  <c r="G628" i="5" s="1"/>
  <c r="E627" i="5"/>
  <c r="G627" i="5" s="1"/>
  <c r="E626" i="5"/>
  <c r="G626" i="5" s="1"/>
  <c r="E625" i="5"/>
  <c r="G625" i="5" s="1"/>
  <c r="E624" i="5"/>
  <c r="G624" i="5" s="1"/>
  <c r="E623" i="5"/>
  <c r="G623" i="5" s="1"/>
  <c r="E622" i="5"/>
  <c r="G622" i="5" s="1"/>
  <c r="E621" i="5"/>
  <c r="G621" i="5" s="1"/>
  <c r="E620" i="5"/>
  <c r="G620" i="5" s="1"/>
  <c r="E619" i="5"/>
  <c r="G619" i="5" s="1"/>
  <c r="E618" i="5"/>
  <c r="G618" i="5" s="1"/>
  <c r="E614" i="5"/>
  <c r="G614" i="5" s="1"/>
  <c r="E613" i="5"/>
  <c r="G613" i="5" s="1"/>
  <c r="E612" i="5"/>
  <c r="G612" i="5" s="1"/>
  <c r="E605" i="5"/>
  <c r="G605" i="5" s="1"/>
  <c r="E604" i="5"/>
  <c r="G604" i="5" s="1"/>
  <c r="E601" i="5"/>
  <c r="G601" i="5" s="1"/>
  <c r="G602" i="5" s="1"/>
  <c r="E591" i="5"/>
  <c r="G591" i="5" s="1"/>
  <c r="E590" i="5"/>
  <c r="G590" i="5" s="1"/>
  <c r="E587" i="5"/>
  <c r="G587" i="5" s="1"/>
  <c r="G588" i="5" s="1"/>
  <c r="E583" i="5"/>
  <c r="G583" i="5" s="1"/>
  <c r="E582" i="5"/>
  <c r="G582" i="5" s="1"/>
  <c r="E575" i="5"/>
  <c r="G575" i="5" s="1"/>
  <c r="E574" i="5"/>
  <c r="G574" i="5" s="1"/>
  <c r="E571" i="5"/>
  <c r="G571" i="5" s="1"/>
  <c r="E570" i="5"/>
  <c r="G570" i="5" s="1"/>
  <c r="E569" i="5"/>
  <c r="G569" i="5" s="1"/>
  <c r="E568" i="5"/>
  <c r="G568" i="5" s="1"/>
  <c r="E567" i="5"/>
  <c r="G567" i="5" s="1"/>
  <c r="E566" i="5"/>
  <c r="G566" i="5" s="1"/>
  <c r="E562" i="5"/>
  <c r="G562" i="5" s="1"/>
  <c r="E561" i="5"/>
  <c r="G561" i="5" s="1"/>
  <c r="E554" i="5"/>
  <c r="G554" i="5" s="1"/>
  <c r="E553" i="5"/>
  <c r="G553" i="5" s="1"/>
  <c r="E550" i="5"/>
  <c r="G550" i="5" s="1"/>
  <c r="E549" i="5"/>
  <c r="G549" i="5" s="1"/>
  <c r="E548" i="5"/>
  <c r="G548" i="5" s="1"/>
  <c r="E547" i="5"/>
  <c r="G547" i="5" s="1"/>
  <c r="E546" i="5"/>
  <c r="G546" i="5" s="1"/>
  <c r="E542" i="5"/>
  <c r="G542" i="5" s="1"/>
  <c r="E535" i="5"/>
  <c r="G535" i="5" s="1"/>
  <c r="E534" i="5"/>
  <c r="G534" i="5" s="1"/>
  <c r="E521" i="5"/>
  <c r="G521" i="5" s="1"/>
  <c r="E520" i="5"/>
  <c r="G520" i="5" s="1"/>
  <c r="E517" i="5"/>
  <c r="G517" i="5" s="1"/>
  <c r="E506" i="5"/>
  <c r="G506" i="5" s="1"/>
  <c r="E505" i="5"/>
  <c r="G505" i="5" s="1"/>
  <c r="E502" i="5"/>
  <c r="G502" i="5" s="1"/>
  <c r="E501" i="5"/>
  <c r="G501" i="5" s="1"/>
  <c r="E500" i="5"/>
  <c r="G500" i="5" s="1"/>
  <c r="E499" i="5"/>
  <c r="G499" i="5" s="1"/>
  <c r="E498" i="5"/>
  <c r="G498" i="5" s="1"/>
  <c r="E497" i="5"/>
  <c r="G497" i="5" s="1"/>
  <c r="E486" i="5"/>
  <c r="G486" i="5" s="1"/>
  <c r="E485" i="5"/>
  <c r="G485" i="5" s="1"/>
  <c r="E482" i="5"/>
  <c r="G482" i="5" s="1"/>
  <c r="E471" i="5"/>
  <c r="G471" i="5" s="1"/>
  <c r="E470" i="5"/>
  <c r="G470" i="5" s="1"/>
  <c r="E466" i="5"/>
  <c r="G466" i="5" s="1"/>
  <c r="E456" i="5"/>
  <c r="G456" i="5" s="1"/>
  <c r="E455" i="5"/>
  <c r="G455" i="5" s="1"/>
  <c r="E452" i="5"/>
  <c r="G452" i="5" s="1"/>
  <c r="E451" i="5"/>
  <c r="G451" i="5" s="1"/>
  <c r="E441" i="5"/>
  <c r="G441" i="5" s="1"/>
  <c r="E440" i="5"/>
  <c r="G440" i="5" s="1"/>
  <c r="E437" i="5"/>
  <c r="G437" i="5" s="1"/>
  <c r="E436" i="5"/>
  <c r="G436" i="5" s="1"/>
  <c r="E435" i="5"/>
  <c r="G435" i="5" s="1"/>
  <c r="E425" i="5"/>
  <c r="G425" i="5" s="1"/>
  <c r="E424" i="5"/>
  <c r="G424" i="5" s="1"/>
  <c r="E421" i="5"/>
  <c r="G421" i="5" s="1"/>
  <c r="E420" i="5"/>
  <c r="G420" i="5" s="1"/>
  <c r="E419" i="5"/>
  <c r="G419" i="5" s="1"/>
  <c r="E415" i="5"/>
  <c r="G415" i="5" s="1"/>
  <c r="E408" i="5"/>
  <c r="G408" i="5" s="1"/>
  <c r="E407" i="5"/>
  <c r="G407" i="5" s="1"/>
  <c r="E404" i="5"/>
  <c r="G404" i="5" s="1"/>
  <c r="E403" i="5"/>
  <c r="G403" i="5" s="1"/>
  <c r="E402" i="5"/>
  <c r="G402" i="5" s="1"/>
  <c r="E398" i="5"/>
  <c r="G398" i="5" s="1"/>
  <c r="E391" i="5"/>
  <c r="G391" i="5" s="1"/>
  <c r="E390" i="5"/>
  <c r="G390" i="5" s="1"/>
  <c r="E387" i="5"/>
  <c r="G387" i="5" s="1"/>
  <c r="E386" i="5"/>
  <c r="G386" i="5" s="1"/>
  <c r="E385" i="5"/>
  <c r="G385" i="5" s="1"/>
  <c r="E384" i="5"/>
  <c r="G384" i="5" s="1"/>
  <c r="E383" i="5"/>
  <c r="G383" i="5" s="1"/>
  <c r="E378" i="5"/>
  <c r="G378" i="5" s="1"/>
  <c r="E371" i="5"/>
  <c r="G371" i="5" s="1"/>
  <c r="E370" i="5"/>
  <c r="G370" i="5" s="1"/>
  <c r="E367" i="5"/>
  <c r="G367" i="5" s="1"/>
  <c r="E366" i="5"/>
  <c r="G366" i="5" s="1"/>
  <c r="E365" i="5"/>
  <c r="G365" i="5" s="1"/>
  <c r="E364" i="5"/>
  <c r="G364" i="5" s="1"/>
  <c r="E363" i="5"/>
  <c r="G363" i="5" s="1"/>
  <c r="E358" i="5"/>
  <c r="G358" i="5" s="1"/>
  <c r="E351" i="5"/>
  <c r="G351" i="5" s="1"/>
  <c r="E350" i="5"/>
  <c r="G350" i="5" s="1"/>
  <c r="E343" i="5"/>
  <c r="G343" i="5" s="1"/>
  <c r="E336" i="5"/>
  <c r="G336" i="5" s="1"/>
  <c r="G337" i="5" s="1"/>
  <c r="E333" i="5" s="1"/>
  <c r="G333" i="5" s="1"/>
  <c r="G334" i="5" s="1"/>
  <c r="G338" i="5" s="1"/>
  <c r="G28" i="3" s="1"/>
  <c r="E326" i="5"/>
  <c r="G326" i="5" s="1"/>
  <c r="E325" i="5"/>
  <c r="G325" i="5" s="1"/>
  <c r="E322" i="5"/>
  <c r="G322" i="5" s="1"/>
  <c r="G323" i="5" s="1"/>
  <c r="E318" i="5"/>
  <c r="G318" i="5" s="1"/>
  <c r="E311" i="5"/>
  <c r="G311" i="5" s="1"/>
  <c r="E310" i="5"/>
  <c r="G310" i="5" s="1"/>
  <c r="E307" i="5"/>
  <c r="G307" i="5" s="1"/>
  <c r="E306" i="5"/>
  <c r="G306" i="5" s="1"/>
  <c r="E305" i="5"/>
  <c r="G305" i="5" s="1"/>
  <c r="E304" i="5"/>
  <c r="G304" i="5" s="1"/>
  <c r="E303" i="5"/>
  <c r="G303" i="5" s="1"/>
  <c r="E298" i="5"/>
  <c r="G298" i="5" s="1"/>
  <c r="E291" i="5"/>
  <c r="G291" i="5" s="1"/>
  <c r="E290" i="5"/>
  <c r="G290" i="5" s="1"/>
  <c r="E287" i="5"/>
  <c r="G287" i="5" s="1"/>
  <c r="E286" i="5"/>
  <c r="G286" i="5" s="1"/>
  <c r="E285" i="5"/>
  <c r="G285" i="5" s="1"/>
  <c r="E284" i="5"/>
  <c r="G284" i="5" s="1"/>
  <c r="E283" i="5"/>
  <c r="G283" i="5" s="1"/>
  <c r="E278" i="5"/>
  <c r="G278" i="5" s="1"/>
  <c r="E271" i="5"/>
  <c r="G271" i="5" s="1"/>
  <c r="E270" i="5"/>
  <c r="G270" i="5" s="1"/>
  <c r="E267" i="5"/>
  <c r="G267" i="5" s="1"/>
  <c r="E266" i="5"/>
  <c r="G266" i="5" s="1"/>
  <c r="E265" i="5"/>
  <c r="G265" i="5" s="1"/>
  <c r="E264" i="5"/>
  <c r="G264" i="5" s="1"/>
  <c r="E259" i="5"/>
  <c r="G259" i="5" s="1"/>
  <c r="E252" i="5"/>
  <c r="G252" i="5" s="1"/>
  <c r="E251" i="5"/>
  <c r="G251" i="5" s="1"/>
  <c r="E248" i="5"/>
  <c r="G248" i="5" s="1"/>
  <c r="E247" i="5"/>
  <c r="G247" i="5" s="1"/>
  <c r="E246" i="5"/>
  <c r="G246" i="5" s="1"/>
  <c r="E245" i="5"/>
  <c r="G245" i="5" s="1"/>
  <c r="E240" i="5"/>
  <c r="G240" i="5" s="1"/>
  <c r="E233" i="5"/>
  <c r="G233" i="5" s="1"/>
  <c r="E232" i="5"/>
  <c r="G232" i="5" s="1"/>
  <c r="E229" i="5"/>
  <c r="G229" i="5" s="1"/>
  <c r="E228" i="5"/>
  <c r="G228" i="5" s="1"/>
  <c r="E227" i="5"/>
  <c r="G227" i="5" s="1"/>
  <c r="E226" i="5"/>
  <c r="G226" i="5" s="1"/>
  <c r="E225" i="5"/>
  <c r="G225" i="5" s="1"/>
  <c r="E220" i="5"/>
  <c r="G220" i="5" s="1"/>
  <c r="E213" i="5"/>
  <c r="G213" i="5" s="1"/>
  <c r="E212" i="5"/>
  <c r="G212" i="5" s="1"/>
  <c r="E209" i="5"/>
  <c r="G209" i="5" s="1"/>
  <c r="E208" i="5"/>
  <c r="G208" i="5" s="1"/>
  <c r="E207" i="5"/>
  <c r="G207" i="5" s="1"/>
  <c r="E206" i="5"/>
  <c r="G206" i="5" s="1"/>
  <c r="E205" i="5"/>
  <c r="G205" i="5" s="1"/>
  <c r="E200" i="5"/>
  <c r="G200" i="5" s="1"/>
  <c r="E193" i="5"/>
  <c r="G193" i="5" s="1"/>
  <c r="E192" i="5"/>
  <c r="G192" i="5" s="1"/>
  <c r="E189" i="5"/>
  <c r="G189" i="5" s="1"/>
  <c r="E188" i="5"/>
  <c r="G188" i="5" s="1"/>
  <c r="E187" i="5"/>
  <c r="G187" i="5" s="1"/>
  <c r="E186" i="5"/>
  <c r="G186" i="5" s="1"/>
  <c r="E185" i="5"/>
  <c r="G185" i="5" s="1"/>
  <c r="E180" i="5"/>
  <c r="G180" i="5" s="1"/>
  <c r="E173" i="5"/>
  <c r="G173" i="5" s="1"/>
  <c r="E172" i="5"/>
  <c r="G172" i="5" s="1"/>
  <c r="E169" i="5"/>
  <c r="G169" i="5" s="1"/>
  <c r="E168" i="5"/>
  <c r="G168" i="5" s="1"/>
  <c r="E167" i="5"/>
  <c r="G167" i="5" s="1"/>
  <c r="E166" i="5"/>
  <c r="G166" i="5" s="1"/>
  <c r="E165" i="5"/>
  <c r="G165" i="5" s="1"/>
  <c r="E160" i="5"/>
  <c r="G160" i="5" s="1"/>
  <c r="E153" i="5"/>
  <c r="G153" i="5" s="1"/>
  <c r="E152" i="5"/>
  <c r="G152" i="5" s="1"/>
  <c r="E149" i="5"/>
  <c r="G149" i="5" s="1"/>
  <c r="E148" i="5"/>
  <c r="G148" i="5" s="1"/>
  <c r="E147" i="5"/>
  <c r="G147" i="5" s="1"/>
  <c r="E146" i="5"/>
  <c r="G146" i="5" s="1"/>
  <c r="E145" i="5"/>
  <c r="G145" i="5" s="1"/>
  <c r="E140" i="5"/>
  <c r="G140" i="5" s="1"/>
  <c r="E133" i="5"/>
  <c r="G133" i="5" s="1"/>
  <c r="E132" i="5"/>
  <c r="G132" i="5" s="1"/>
  <c r="E129" i="5"/>
  <c r="G129" i="5" s="1"/>
  <c r="E128" i="5"/>
  <c r="G128" i="5" s="1"/>
  <c r="E127" i="5"/>
  <c r="G127" i="5" s="1"/>
  <c r="E126" i="5"/>
  <c r="G126" i="5" s="1"/>
  <c r="E125" i="5"/>
  <c r="G125" i="5" s="1"/>
  <c r="E120" i="5"/>
  <c r="G120" i="5" s="1"/>
  <c r="E113" i="5"/>
  <c r="G113" i="5" s="1"/>
  <c r="E112" i="5"/>
  <c r="G112" i="5" s="1"/>
  <c r="E109" i="5"/>
  <c r="G109" i="5" s="1"/>
  <c r="E108" i="5"/>
  <c r="G108" i="5" s="1"/>
  <c r="E107" i="5"/>
  <c r="G107" i="5" s="1"/>
  <c r="E106" i="5"/>
  <c r="G106" i="5" s="1"/>
  <c r="E105" i="5"/>
  <c r="G105" i="5" s="1"/>
  <c r="E100" i="5"/>
  <c r="G100" i="5" s="1"/>
  <c r="E93" i="5"/>
  <c r="G93" i="5" s="1"/>
  <c r="E92" i="5"/>
  <c r="G92" i="5" s="1"/>
  <c r="E89" i="5"/>
  <c r="G89" i="5" s="1"/>
  <c r="E88" i="5"/>
  <c r="G88" i="5" s="1"/>
  <c r="E87" i="5"/>
  <c r="G87" i="5" s="1"/>
  <c r="E86" i="5"/>
  <c r="G86" i="5" s="1"/>
  <c r="E85" i="5"/>
  <c r="G85" i="5" s="1"/>
  <c r="E80" i="5"/>
  <c r="G80" i="5" s="1"/>
  <c r="E73" i="5"/>
  <c r="G73" i="5" s="1"/>
  <c r="E72" i="5"/>
  <c r="G72" i="5" s="1"/>
  <c r="E65" i="5"/>
  <c r="G65" i="5" s="1"/>
  <c r="E58" i="5"/>
  <c r="G58" i="5" s="1"/>
  <c r="E57" i="5"/>
  <c r="G57" i="5" s="1"/>
  <c r="E53" i="5"/>
  <c r="G53" i="5" s="1"/>
  <c r="E46" i="5"/>
  <c r="G46" i="5" s="1"/>
  <c r="G47" i="5" s="1"/>
  <c r="E43" i="5" s="1"/>
  <c r="G43" i="5" s="1"/>
  <c r="G44" i="5" s="1"/>
  <c r="G48" i="5" s="1"/>
  <c r="G12" i="3" s="1"/>
  <c r="E36" i="5"/>
  <c r="G36" i="5" s="1"/>
  <c r="E35" i="5"/>
  <c r="G35" i="5" s="1"/>
  <c r="E32" i="5"/>
  <c r="G32" i="5" s="1"/>
  <c r="E31" i="5"/>
  <c r="G31" i="5" s="1"/>
  <c r="E30" i="5"/>
  <c r="G30" i="5" s="1"/>
  <c r="E20" i="5"/>
  <c r="G20" i="5" s="1"/>
  <c r="E19" i="5"/>
  <c r="G19" i="5" s="1"/>
  <c r="E18" i="5"/>
  <c r="G18" i="5" s="1"/>
  <c r="E15" i="5"/>
  <c r="G15" i="5" s="1"/>
  <c r="E14" i="5"/>
  <c r="G14" i="5" s="1"/>
  <c r="E13" i="5"/>
  <c r="G13" i="5" s="1"/>
  <c r="E12" i="5"/>
  <c r="G12" i="5" s="1"/>
  <c r="E8" i="5"/>
  <c r="G8" i="5" s="1"/>
  <c r="G461" i="4"/>
  <c r="G460" i="4"/>
  <c r="G459" i="4"/>
  <c r="G458" i="4"/>
  <c r="G803" i="4"/>
  <c r="G802" i="4"/>
  <c r="G801" i="4"/>
  <c r="G800" i="4"/>
  <c r="G799" i="4"/>
  <c r="G794" i="4"/>
  <c r="G793" i="4"/>
  <c r="G792" i="4"/>
  <c r="G791" i="4"/>
  <c r="G790" i="4"/>
  <c r="G785" i="4"/>
  <c r="G784" i="4"/>
  <c r="G783" i="4"/>
  <c r="G782" i="4"/>
  <c r="G781" i="4"/>
  <c r="G776" i="4"/>
  <c r="G775" i="4"/>
  <c r="G774" i="4"/>
  <c r="G773" i="4"/>
  <c r="G772" i="4"/>
  <c r="G767" i="4"/>
  <c r="G766" i="4"/>
  <c r="G765" i="4"/>
  <c r="G758" i="4"/>
  <c r="G757" i="4"/>
  <c r="G756" i="4"/>
  <c r="G755" i="4"/>
  <c r="G754" i="4"/>
  <c r="G749" i="4"/>
  <c r="G748" i="4"/>
  <c r="G747" i="4"/>
  <c r="G746" i="4"/>
  <c r="G745" i="4"/>
  <c r="G740" i="4"/>
  <c r="G739" i="4"/>
  <c r="G738" i="4"/>
  <c r="G737" i="4"/>
  <c r="G736" i="4"/>
  <c r="G731" i="4"/>
  <c r="G730" i="4"/>
  <c r="G729" i="4"/>
  <c r="G728" i="4"/>
  <c r="G727" i="4"/>
  <c r="G722" i="4"/>
  <c r="G721" i="4"/>
  <c r="G720" i="4"/>
  <c r="G719" i="4"/>
  <c r="G718" i="4"/>
  <c r="G713" i="4"/>
  <c r="G712" i="4"/>
  <c r="G711" i="4"/>
  <c r="G710" i="4"/>
  <c r="G709" i="4"/>
  <c r="G704" i="4"/>
  <c r="G703" i="4"/>
  <c r="G702" i="4"/>
  <c r="G701" i="4"/>
  <c r="G700" i="4"/>
  <c r="G695" i="4"/>
  <c r="G694" i="4"/>
  <c r="G693" i="4"/>
  <c r="G692" i="4"/>
  <c r="G691" i="4"/>
  <c r="G686" i="4"/>
  <c r="G685" i="4"/>
  <c r="G684" i="4"/>
  <c r="G683" i="4"/>
  <c r="G682" i="4"/>
  <c r="G677" i="4"/>
  <c r="G676" i="4"/>
  <c r="G675" i="4"/>
  <c r="G674" i="4"/>
  <c r="G673" i="4"/>
  <c r="G668" i="4"/>
  <c r="G667" i="4"/>
  <c r="G666" i="4"/>
  <c r="G665" i="4"/>
  <c r="G664" i="4"/>
  <c r="G659" i="4"/>
  <c r="G658" i="4"/>
  <c r="G657" i="4"/>
  <c r="G656" i="4"/>
  <c r="G655" i="4"/>
  <c r="G650" i="4"/>
  <c r="G649" i="4"/>
  <c r="G648" i="4"/>
  <c r="G647" i="4"/>
  <c r="G646" i="4"/>
  <c r="G641" i="4"/>
  <c r="G640" i="4"/>
  <c r="G639" i="4"/>
  <c r="G638" i="4"/>
  <c r="G637" i="4"/>
  <c r="G632" i="4"/>
  <c r="G631" i="4"/>
  <c r="G630" i="4"/>
  <c r="G629" i="4"/>
  <c r="G628" i="4"/>
  <c r="G623" i="4"/>
  <c r="G622" i="4"/>
  <c r="G621" i="4"/>
  <c r="G620" i="4"/>
  <c r="G619" i="4"/>
  <c r="G614" i="4"/>
  <c r="G613" i="4"/>
  <c r="G612" i="4"/>
  <c r="G611" i="4"/>
  <c r="G610" i="4"/>
  <c r="G605" i="4"/>
  <c r="G604" i="4"/>
  <c r="G603" i="4"/>
  <c r="G602" i="4"/>
  <c r="G601" i="4"/>
  <c r="G596" i="4"/>
  <c r="G595" i="4"/>
  <c r="G594" i="4"/>
  <c r="G593" i="4"/>
  <c r="G592" i="4"/>
  <c r="G587" i="4"/>
  <c r="G586" i="4"/>
  <c r="G585" i="4"/>
  <c r="G584" i="4"/>
  <c r="G583" i="4"/>
  <c r="G578" i="4"/>
  <c r="G577" i="4"/>
  <c r="G576" i="4"/>
  <c r="G575" i="4"/>
  <c r="G574" i="4"/>
  <c r="G569" i="4"/>
  <c r="G568" i="4"/>
  <c r="G567" i="4"/>
  <c r="G566" i="4"/>
  <c r="G560" i="4"/>
  <c r="G559" i="4"/>
  <c r="G558" i="4"/>
  <c r="G557" i="4"/>
  <c r="G556" i="4"/>
  <c r="G551" i="4"/>
  <c r="C550" i="4"/>
  <c r="G550" i="4" s="1"/>
  <c r="D549" i="4"/>
  <c r="G549" i="4" s="1"/>
  <c r="G548" i="4"/>
  <c r="G547" i="4"/>
  <c r="G542" i="4"/>
  <c r="G541" i="4"/>
  <c r="G540" i="4"/>
  <c r="G539" i="4"/>
  <c r="G538" i="4"/>
  <c r="G533" i="4"/>
  <c r="G532" i="4"/>
  <c r="G531" i="4"/>
  <c r="G530" i="4"/>
  <c r="G529" i="4"/>
  <c r="G524" i="4"/>
  <c r="G523" i="4"/>
  <c r="G522" i="4"/>
  <c r="G521" i="4"/>
  <c r="G520" i="4"/>
  <c r="G515" i="4"/>
  <c r="G514" i="4"/>
  <c r="G513" i="4"/>
  <c r="G512" i="4"/>
  <c r="G511" i="4"/>
  <c r="G506" i="4"/>
  <c r="G505" i="4"/>
  <c r="G504" i="4"/>
  <c r="G503" i="4"/>
  <c r="G502" i="4"/>
  <c r="G497" i="4"/>
  <c r="G496" i="4"/>
  <c r="G495" i="4"/>
  <c r="G494" i="4"/>
  <c r="G493" i="4"/>
  <c r="G488" i="4"/>
  <c r="G487" i="4"/>
  <c r="G486" i="4"/>
  <c r="G485" i="4"/>
  <c r="G484" i="4"/>
  <c r="G479" i="4"/>
  <c r="G478" i="4"/>
  <c r="G477" i="4"/>
  <c r="G476" i="4"/>
  <c r="G475" i="4"/>
  <c r="G470" i="4"/>
  <c r="G469" i="4"/>
  <c r="G468" i="4"/>
  <c r="G467" i="4"/>
  <c r="G466" i="4"/>
  <c r="G452" i="4"/>
  <c r="G451" i="4"/>
  <c r="G450" i="4"/>
  <c r="G449" i="4"/>
  <c r="G448" i="4"/>
  <c r="G443" i="4"/>
  <c r="G442" i="4"/>
  <c r="G441" i="4"/>
  <c r="G440" i="4"/>
  <c r="G439" i="4"/>
  <c r="G434" i="4"/>
  <c r="G433" i="4"/>
  <c r="G432" i="4"/>
  <c r="G431" i="4"/>
  <c r="G430" i="4"/>
  <c r="G425" i="4"/>
  <c r="G424" i="4"/>
  <c r="G423" i="4"/>
  <c r="G422" i="4"/>
  <c r="G421" i="4"/>
  <c r="G416" i="4"/>
  <c r="G415" i="4"/>
  <c r="G414" i="4"/>
  <c r="G413" i="4"/>
  <c r="G412" i="4"/>
  <c r="G407" i="4"/>
  <c r="G406" i="4"/>
  <c r="G405" i="4"/>
  <c r="G404" i="4"/>
  <c r="G403" i="4"/>
  <c r="G398" i="4"/>
  <c r="G397" i="4"/>
  <c r="G396" i="4"/>
  <c r="G395" i="4"/>
  <c r="G394" i="4"/>
  <c r="G389" i="4"/>
  <c r="G388" i="4"/>
  <c r="G387" i="4"/>
  <c r="G386" i="4"/>
  <c r="G385" i="4"/>
  <c r="G380" i="4"/>
  <c r="G379" i="4"/>
  <c r="G378" i="4"/>
  <c r="G377" i="4"/>
  <c r="G376" i="4"/>
  <c r="G371" i="4"/>
  <c r="G370" i="4"/>
  <c r="G369" i="4"/>
  <c r="G368" i="4"/>
  <c r="G367" i="4"/>
  <c r="G362" i="4"/>
  <c r="G361" i="4"/>
  <c r="G360" i="4"/>
  <c r="G359" i="4"/>
  <c r="G358" i="4"/>
  <c r="G353" i="4"/>
  <c r="G352" i="4"/>
  <c r="G351" i="4"/>
  <c r="G350" i="4"/>
  <c r="G349" i="4"/>
  <c r="G344" i="4"/>
  <c r="G343" i="4"/>
  <c r="G342" i="4"/>
  <c r="G341" i="4"/>
  <c r="G340" i="4"/>
  <c r="G335" i="4"/>
  <c r="G334" i="4"/>
  <c r="G333" i="4"/>
  <c r="G332" i="4"/>
  <c r="G331" i="4"/>
  <c r="G326" i="4"/>
  <c r="G325" i="4"/>
  <c r="G324" i="4"/>
  <c r="G323" i="4"/>
  <c r="G322" i="4"/>
  <c r="G317" i="4"/>
  <c r="G316" i="4"/>
  <c r="G315" i="4"/>
  <c r="G314" i="4"/>
  <c r="G313" i="4"/>
  <c r="G308" i="4"/>
  <c r="G307" i="4"/>
  <c r="G306" i="4"/>
  <c r="G305" i="4"/>
  <c r="G304" i="4"/>
  <c r="G299" i="4"/>
  <c r="G298" i="4"/>
  <c r="G297" i="4"/>
  <c r="G296" i="4"/>
  <c r="G295" i="4"/>
  <c r="G290" i="4"/>
  <c r="G289" i="4"/>
  <c r="G288" i="4"/>
  <c r="G287" i="4"/>
  <c r="G286" i="4"/>
  <c r="G281" i="4"/>
  <c r="G280" i="4"/>
  <c r="G279" i="4"/>
  <c r="G278" i="4"/>
  <c r="G272" i="4"/>
  <c r="G271" i="4"/>
  <c r="G270" i="4"/>
  <c r="G269" i="4"/>
  <c r="G268" i="4"/>
  <c r="G263" i="4"/>
  <c r="G262" i="4"/>
  <c r="G261" i="4"/>
  <c r="G260" i="4"/>
  <c r="G259" i="4"/>
  <c r="G254" i="4"/>
  <c r="G253" i="4"/>
  <c r="G252" i="4"/>
  <c r="G251" i="4"/>
  <c r="G250" i="4"/>
  <c r="G245" i="4"/>
  <c r="G244" i="4"/>
  <c r="G243" i="4"/>
  <c r="G242" i="4"/>
  <c r="G241" i="4"/>
  <c r="G236" i="4"/>
  <c r="G235" i="4"/>
  <c r="G234" i="4"/>
  <c r="G233" i="4"/>
  <c r="G232" i="4"/>
  <c r="G227" i="4"/>
  <c r="G226" i="4"/>
  <c r="G223" i="4"/>
  <c r="G218" i="4"/>
  <c r="G217" i="4"/>
  <c r="G216" i="4"/>
  <c r="G215" i="4"/>
  <c r="G214" i="4"/>
  <c r="G209" i="4"/>
  <c r="G208" i="4"/>
  <c r="G207" i="4"/>
  <c r="G206" i="4"/>
  <c r="G205" i="4"/>
  <c r="G200" i="4"/>
  <c r="G199" i="4"/>
  <c r="G198" i="4"/>
  <c r="G197" i="4"/>
  <c r="G196" i="4"/>
  <c r="G191" i="4"/>
  <c r="G190" i="4"/>
  <c r="G189" i="4"/>
  <c r="G188" i="4"/>
  <c r="G187" i="4"/>
  <c r="G182" i="4"/>
  <c r="G181" i="4"/>
  <c r="G180" i="4"/>
  <c r="G179" i="4"/>
  <c r="G178" i="4"/>
  <c r="G173" i="4"/>
  <c r="G172" i="4"/>
  <c r="G171" i="4"/>
  <c r="G170" i="4"/>
  <c r="G169" i="4"/>
  <c r="G164" i="4"/>
  <c r="G163" i="4"/>
  <c r="G162" i="4"/>
  <c r="G161" i="4"/>
  <c r="G160" i="4"/>
  <c r="G155" i="4"/>
  <c r="G154" i="4"/>
  <c r="G153" i="4"/>
  <c r="G152" i="4"/>
  <c r="G151" i="4"/>
  <c r="G146" i="4"/>
  <c r="G145" i="4"/>
  <c r="G144" i="4"/>
  <c r="G143" i="4"/>
  <c r="G142" i="4"/>
  <c r="G137" i="4"/>
  <c r="G136" i="4"/>
  <c r="G135" i="4"/>
  <c r="G134" i="4"/>
  <c r="G133" i="4"/>
  <c r="G128" i="4"/>
  <c r="G127" i="4"/>
  <c r="G126" i="4"/>
  <c r="G125" i="4"/>
  <c r="G124" i="4"/>
  <c r="G119" i="4"/>
  <c r="G118" i="4"/>
  <c r="G117" i="4"/>
  <c r="G116" i="4"/>
  <c r="G115" i="4"/>
  <c r="G110" i="4"/>
  <c r="G109" i="4"/>
  <c r="G108" i="4"/>
  <c r="G107" i="4"/>
  <c r="G106" i="4"/>
  <c r="G101" i="4"/>
  <c r="G100" i="4"/>
  <c r="G99" i="4"/>
  <c r="G98" i="4"/>
  <c r="G97" i="4"/>
  <c r="G92" i="4"/>
  <c r="G91" i="4"/>
  <c r="G90" i="4"/>
  <c r="G89" i="4"/>
  <c r="G88" i="4"/>
  <c r="G83" i="4"/>
  <c r="G82" i="4"/>
  <c r="G81" i="4"/>
  <c r="G80" i="4"/>
  <c r="G79" i="4"/>
  <c r="G74" i="4"/>
  <c r="G73" i="4"/>
  <c r="G72" i="4"/>
  <c r="G71" i="4"/>
  <c r="G70" i="4"/>
  <c r="G65" i="4"/>
  <c r="G64" i="4"/>
  <c r="G63" i="4"/>
  <c r="G62" i="4"/>
  <c r="G61" i="4"/>
  <c r="G56" i="4"/>
  <c r="G55" i="4"/>
  <c r="G54" i="4"/>
  <c r="G53" i="4"/>
  <c r="G52" i="4"/>
  <c r="G47" i="4"/>
  <c r="G46" i="4"/>
  <c r="G45" i="4"/>
  <c r="G44" i="4"/>
  <c r="G43" i="4"/>
  <c r="G38" i="4"/>
  <c r="G37" i="4"/>
  <c r="G36" i="4"/>
  <c r="G35" i="4"/>
  <c r="G34" i="4"/>
  <c r="G29" i="4"/>
  <c r="G28" i="4"/>
  <c r="C27" i="4"/>
  <c r="G27" i="4" s="1"/>
  <c r="C26" i="4"/>
  <c r="G26" i="4" s="1"/>
  <c r="G25" i="4"/>
  <c r="G20" i="4"/>
  <c r="G19" i="4"/>
  <c r="G18" i="4"/>
  <c r="G17" i="4"/>
  <c r="G16" i="4"/>
  <c r="G11" i="4"/>
  <c r="G10" i="4"/>
  <c r="G9" i="4"/>
  <c r="G8" i="4"/>
  <c r="G7" i="4"/>
  <c r="G667" i="5" l="1"/>
  <c r="E647" i="5" s="1"/>
  <c r="G647" i="5" s="1"/>
  <c r="G648" i="5" s="1"/>
  <c r="G442" i="5"/>
  <c r="E432" i="5" s="1"/>
  <c r="G432" i="5" s="1"/>
  <c r="G433" i="5" s="1"/>
  <c r="G885" i="5"/>
  <c r="E876" i="5" s="1"/>
  <c r="G876" i="5" s="1"/>
  <c r="G877" i="5" s="1"/>
  <c r="G1100" i="5"/>
  <c r="E1088" i="5" s="1"/>
  <c r="G1088" i="5" s="1"/>
  <c r="G1089" i="5" s="1"/>
  <c r="G1081" i="5"/>
  <c r="E1068" i="5" s="1"/>
  <c r="G1068" i="5" s="1"/>
  <c r="G1069" i="5" s="1"/>
  <c r="G765" i="5"/>
  <c r="E757" i="5" s="1"/>
  <c r="G757" i="5" s="1"/>
  <c r="G758" i="5" s="1"/>
  <c r="G769" i="5" s="1"/>
  <c r="G62" i="3" s="1"/>
  <c r="G457" i="5"/>
  <c r="E448" i="5" s="1"/>
  <c r="G448" i="5" s="1"/>
  <c r="G449" i="5" s="1"/>
  <c r="G1189" i="5"/>
  <c r="E1180" i="5" s="1"/>
  <c r="G1180" i="5" s="1"/>
  <c r="G1181" i="5" s="1"/>
  <c r="G1300" i="5"/>
  <c r="E1292" i="5" s="1"/>
  <c r="G1292" i="5" s="1"/>
  <c r="G1293" i="5" s="1"/>
  <c r="G1301" i="5" s="1"/>
  <c r="G117" i="3" s="1"/>
  <c r="F34" i="13"/>
  <c r="G786" i="5"/>
  <c r="E777" i="5" s="1"/>
  <c r="G777" i="5" s="1"/>
  <c r="G778" i="5" s="1"/>
  <c r="G1414" i="5"/>
  <c r="E1406" i="5" s="1"/>
  <c r="G1406" i="5" s="1"/>
  <c r="G1407" i="5" s="1"/>
  <c r="G1415" i="5" s="1"/>
  <c r="G124" i="3" s="1"/>
  <c r="G90" i="6"/>
  <c r="G999" i="5"/>
  <c r="E986" i="5" s="1"/>
  <c r="G986" i="5" s="1"/>
  <c r="G987" i="5" s="1"/>
  <c r="G1381" i="5"/>
  <c r="G1399" i="5"/>
  <c r="E1391" i="5" s="1"/>
  <c r="G1391" i="5" s="1"/>
  <c r="G1392" i="5" s="1"/>
  <c r="G1400" i="5" s="1"/>
  <c r="G123" i="3" s="1"/>
  <c r="G1286" i="5"/>
  <c r="E1273" i="5" s="1"/>
  <c r="G1273" i="5" s="1"/>
  <c r="G1274" i="5" s="1"/>
  <c r="G183" i="6"/>
  <c r="G592" i="5"/>
  <c r="E584" i="5" s="1"/>
  <c r="G584" i="5" s="1"/>
  <c r="G585" i="5" s="1"/>
  <c r="G593" i="5" s="1"/>
  <c r="G51" i="3" s="1"/>
  <c r="G881" i="5"/>
  <c r="G902" i="5"/>
  <c r="E894" i="5" s="1"/>
  <c r="G894" i="5" s="1"/>
  <c r="G895" i="5" s="1"/>
  <c r="G903" i="5" s="1"/>
  <c r="G71" i="3" s="1"/>
  <c r="G1209" i="5"/>
  <c r="E1198" i="5" s="1"/>
  <c r="G1198" i="5" s="1"/>
  <c r="G1199" i="5" s="1"/>
  <c r="G21" i="6"/>
  <c r="E9" i="6" s="1"/>
  <c r="G9" i="6" s="1"/>
  <c r="G10" i="6" s="1"/>
  <c r="G109" i="6"/>
  <c r="E97" i="6" s="1"/>
  <c r="G97" i="6" s="1"/>
  <c r="G98" i="6" s="1"/>
  <c r="E174" i="6"/>
  <c r="G174" i="6" s="1"/>
  <c r="G175" i="6" s="1"/>
  <c r="I28" i="11"/>
  <c r="G147" i="4"/>
  <c r="G237" i="4"/>
  <c r="G21" i="5"/>
  <c r="E9" i="5" s="1"/>
  <c r="G9" i="5" s="1"/>
  <c r="G10" i="5" s="1"/>
  <c r="G94" i="5"/>
  <c r="E81" i="5" s="1"/>
  <c r="G81" i="5" s="1"/>
  <c r="G82" i="5" s="1"/>
  <c r="G114" i="5"/>
  <c r="E101" i="5" s="1"/>
  <c r="G101" i="5" s="1"/>
  <c r="G102" i="5" s="1"/>
  <c r="G576" i="5"/>
  <c r="E563" i="5" s="1"/>
  <c r="G563" i="5" s="1"/>
  <c r="G564" i="5" s="1"/>
  <c r="G695" i="5"/>
  <c r="E679" i="5" s="1"/>
  <c r="G679" i="5" s="1"/>
  <c r="G680" i="5" s="1"/>
  <c r="G865" i="5"/>
  <c r="E851" i="5" s="1"/>
  <c r="G851" i="5" s="1"/>
  <c r="G852" i="5" s="1"/>
  <c r="G957" i="5"/>
  <c r="E945" i="5" s="1"/>
  <c r="G945" i="5" s="1"/>
  <c r="G946" i="5" s="1"/>
  <c r="G1169" i="5"/>
  <c r="E1153" i="5" s="1"/>
  <c r="G1153" i="5" s="1"/>
  <c r="G1154" i="5" s="1"/>
  <c r="G663" i="5"/>
  <c r="G192" i="4"/>
  <c r="G705" i="4"/>
  <c r="G642" i="4"/>
  <c r="G750" i="4"/>
  <c r="I48" i="11"/>
  <c r="G84" i="4"/>
  <c r="G372" i="5"/>
  <c r="E359" i="5" s="1"/>
  <c r="G359" i="5" s="1"/>
  <c r="G360" i="5" s="1"/>
  <c r="G472" i="5"/>
  <c r="E463" i="5" s="1"/>
  <c r="G463" i="5" s="1"/>
  <c r="G464" i="5" s="1"/>
  <c r="G1530" i="5"/>
  <c r="E1522" i="5" s="1"/>
  <c r="G1522" i="5" s="1"/>
  <c r="G1523" i="5" s="1"/>
  <c r="G1531" i="5" s="1"/>
  <c r="G135" i="3" s="1"/>
  <c r="G64" i="6"/>
  <c r="E53" i="6" s="1"/>
  <c r="G53" i="6" s="1"/>
  <c r="G54" i="6" s="1"/>
  <c r="G86" i="6"/>
  <c r="E74" i="6" s="1"/>
  <c r="G74" i="6" s="1"/>
  <c r="G75" i="6" s="1"/>
  <c r="G136" i="6"/>
  <c r="G156" i="6"/>
  <c r="E143" i="6" s="1"/>
  <c r="G143" i="6" s="1"/>
  <c r="G144" i="6" s="1"/>
  <c r="H29" i="19"/>
  <c r="G1613" i="5"/>
  <c r="E1606" i="5" s="1"/>
  <c r="G1606" i="5" s="1"/>
  <c r="G1607" i="5" s="1"/>
  <c r="G1616" i="5" s="1"/>
  <c r="G80" i="3" s="1"/>
  <c r="G1248" i="5"/>
  <c r="E1235" i="5" s="1"/>
  <c r="G1235" i="5" s="1"/>
  <c r="G1236" i="5" s="1"/>
  <c r="F18" i="13"/>
  <c r="F19" i="13" s="1"/>
  <c r="G179" i="6"/>
  <c r="E167" i="6" s="1"/>
  <c r="G167" i="6" s="1"/>
  <c r="G168" i="6" s="1"/>
  <c r="G174" i="5"/>
  <c r="E161" i="5" s="1"/>
  <c r="G161" i="5" s="1"/>
  <c r="G162" i="5" s="1"/>
  <c r="G1600" i="5"/>
  <c r="E1588" i="5" s="1"/>
  <c r="G1588" i="5" s="1"/>
  <c r="G1589" i="5" s="1"/>
  <c r="G536" i="5"/>
  <c r="E528" i="5" s="1"/>
  <c r="G528" i="5" s="1"/>
  <c r="G529" i="5" s="1"/>
  <c r="G572" i="5"/>
  <c r="G102" i="4"/>
  <c r="G352" i="5"/>
  <c r="E344" i="5" s="1"/>
  <c r="G344" i="5" s="1"/>
  <c r="G345" i="5" s="1"/>
  <c r="G194" i="5"/>
  <c r="E181" i="5" s="1"/>
  <c r="G181" i="5" s="1"/>
  <c r="G182" i="5" s="1"/>
  <c r="G134" i="5"/>
  <c r="E121" i="5" s="1"/>
  <c r="G121" i="5" s="1"/>
  <c r="G122" i="5" s="1"/>
  <c r="G606" i="5"/>
  <c r="E598" i="5" s="1"/>
  <c r="G598" i="5" s="1"/>
  <c r="G599" i="5" s="1"/>
  <c r="G607" i="5" s="1"/>
  <c r="G54" i="3" s="1"/>
  <c r="G426" i="5"/>
  <c r="E416" i="5" s="1"/>
  <c r="G416" i="5" s="1"/>
  <c r="G417" i="5" s="1"/>
  <c r="G253" i="5"/>
  <c r="E241" i="5" s="1"/>
  <c r="G241" i="5" s="1"/>
  <c r="G242" i="5" s="1"/>
  <c r="G214" i="5"/>
  <c r="E201" i="5" s="1"/>
  <c r="G201" i="5" s="1"/>
  <c r="G202" i="5" s="1"/>
  <c r="G154" i="5"/>
  <c r="E141" i="5" s="1"/>
  <c r="G141" i="5" s="1"/>
  <c r="G142" i="5" s="1"/>
  <c r="G66" i="4"/>
  <c r="G39" i="4"/>
  <c r="E49" i="2"/>
  <c r="I37" i="11"/>
  <c r="G160" i="6"/>
  <c r="G113" i="6"/>
  <c r="E81" i="6"/>
  <c r="G81" i="6" s="1"/>
  <c r="G82" i="6" s="1"/>
  <c r="E59" i="6"/>
  <c r="G59" i="6" s="1"/>
  <c r="G60" i="6" s="1"/>
  <c r="E38" i="6"/>
  <c r="G38" i="6" s="1"/>
  <c r="G39" i="6" s="1"/>
  <c r="E16" i="6"/>
  <c r="G16" i="6" s="1"/>
  <c r="G17" i="6" s="1"/>
  <c r="G952" i="5"/>
  <c r="G392" i="5"/>
  <c r="E379" i="5" s="1"/>
  <c r="G379" i="5" s="1"/>
  <c r="G380" i="5" s="1"/>
  <c r="G1581" i="5"/>
  <c r="E1569" i="5" s="1"/>
  <c r="G1569" i="5" s="1"/>
  <c r="G1570" i="5" s="1"/>
  <c r="G1499" i="5"/>
  <c r="E1486" i="5" s="1"/>
  <c r="G1486" i="5" s="1"/>
  <c r="G1487" i="5" s="1"/>
  <c r="G1479" i="5"/>
  <c r="E1466" i="5" s="1"/>
  <c r="G1466" i="5" s="1"/>
  <c r="G1467" i="5" s="1"/>
  <c r="G1385" i="5"/>
  <c r="E1376" i="5" s="1"/>
  <c r="G1376" i="5" s="1"/>
  <c r="G1377" i="5" s="1"/>
  <c r="G1333" i="5"/>
  <c r="G1267" i="5"/>
  <c r="E1254" i="5" s="1"/>
  <c r="G1254" i="5" s="1"/>
  <c r="G1255" i="5" s="1"/>
  <c r="G1130" i="5"/>
  <c r="E1121" i="5" s="1"/>
  <c r="G1121" i="5" s="1"/>
  <c r="G1122" i="5" s="1"/>
  <c r="G861" i="5"/>
  <c r="G842" i="5"/>
  <c r="E834" i="5" s="1"/>
  <c r="G834" i="5" s="1"/>
  <c r="G835" i="5" s="1"/>
  <c r="G843" i="5" s="1"/>
  <c r="G66" i="3" s="1"/>
  <c r="G782" i="5"/>
  <c r="G741" i="5"/>
  <c r="G522" i="5"/>
  <c r="E513" i="5" s="1"/>
  <c r="G513" i="5" s="1"/>
  <c r="G514" i="5" s="1"/>
  <c r="G453" i="5"/>
  <c r="G74" i="5"/>
  <c r="E66" i="5" s="1"/>
  <c r="G66" i="5" s="1"/>
  <c r="G67" i="5" s="1"/>
  <c r="G37" i="5"/>
  <c r="E27" i="5" s="1"/>
  <c r="G27" i="5" s="1"/>
  <c r="G28" i="5" s="1"/>
  <c r="G422" i="5"/>
  <c r="G660" i="4"/>
  <c r="G405" i="5"/>
  <c r="G132" i="6"/>
  <c r="E120" i="6" s="1"/>
  <c r="G120" i="6" s="1"/>
  <c r="G121" i="6" s="1"/>
  <c r="G1460" i="5"/>
  <c r="E1451" i="5" s="1"/>
  <c r="G1451" i="5" s="1"/>
  <c r="G1452" i="5" s="1"/>
  <c r="G1185" i="5"/>
  <c r="G1115" i="5"/>
  <c r="E1106" i="5" s="1"/>
  <c r="G1106" i="5" s="1"/>
  <c r="G1107" i="5" s="1"/>
  <c r="G1060" i="5"/>
  <c r="E1047" i="5" s="1"/>
  <c r="G1047" i="5" s="1"/>
  <c r="G1048" i="5" s="1"/>
  <c r="G1039" i="5"/>
  <c r="E1026" i="5" s="1"/>
  <c r="G1026" i="5" s="1"/>
  <c r="G1027" i="5" s="1"/>
  <c r="G1562" i="5"/>
  <c r="E1554" i="5" s="1"/>
  <c r="G1554" i="5" s="1"/>
  <c r="G1555" i="5" s="1"/>
  <c r="G1563" i="5" s="1"/>
  <c r="G139" i="3" s="1"/>
  <c r="G1514" i="5"/>
  <c r="E1506" i="5" s="1"/>
  <c r="G1506" i="5" s="1"/>
  <c r="G1507" i="5" s="1"/>
  <c r="G1515" i="5" s="1"/>
  <c r="G132" i="3" s="1"/>
  <c r="G292" i="5"/>
  <c r="E279" i="5" s="1"/>
  <c r="G279" i="5" s="1"/>
  <c r="G280" i="5" s="1"/>
  <c r="G33" i="5"/>
  <c r="D26" i="19"/>
  <c r="H41" i="9"/>
  <c r="G41" i="9"/>
  <c r="C13" i="17"/>
  <c r="H40" i="9"/>
  <c r="C12" i="17"/>
  <c r="H38" i="9"/>
  <c r="G38" i="9"/>
  <c r="C10" i="17"/>
  <c r="H35" i="9"/>
  <c r="G35" i="9"/>
  <c r="H32" i="9"/>
  <c r="G32" i="9"/>
  <c r="H31" i="9"/>
  <c r="E13" i="11"/>
  <c r="I13" i="11" s="1"/>
  <c r="H29" i="9"/>
  <c r="E11" i="11"/>
  <c r="I11" i="11" s="1"/>
  <c r="G29" i="9"/>
  <c r="E151" i="6"/>
  <c r="G151" i="6" s="1"/>
  <c r="G152" i="6" s="1"/>
  <c r="G1225" i="5"/>
  <c r="G922" i="5"/>
  <c r="E909" i="5" s="1"/>
  <c r="G909" i="5" s="1"/>
  <c r="G910" i="5" s="1"/>
  <c r="G1165" i="5"/>
  <c r="G438" i="5"/>
  <c r="G1369" i="5"/>
  <c r="E1361" i="5" s="1"/>
  <c r="G1361" i="5" s="1"/>
  <c r="G1362" i="5" s="1"/>
  <c r="G1370" i="5" s="1"/>
  <c r="G121" i="3" s="1"/>
  <c r="I18" i="11"/>
  <c r="D25" i="19"/>
  <c r="G210" i="4"/>
  <c r="G624" i="4"/>
  <c r="G732" i="4"/>
  <c r="G669" i="4"/>
  <c r="G759" i="4"/>
  <c r="G633" i="4"/>
  <c r="G597" i="4"/>
  <c r="G219" i="4"/>
  <c r="G561" i="4"/>
  <c r="G201" i="4"/>
  <c r="G651" i="4"/>
  <c r="G615" i="4"/>
  <c r="G606" i="4"/>
  <c r="G120" i="4"/>
  <c r="G588" i="4"/>
  <c r="G75" i="4"/>
  <c r="G165" i="4"/>
  <c r="G723" i="4"/>
  <c r="G543" i="4"/>
  <c r="G48" i="4"/>
  <c r="G174" i="4"/>
  <c r="G300" i="4"/>
  <c r="G525" i="4"/>
  <c r="G714" i="4"/>
  <c r="G804" i="4"/>
  <c r="G57" i="4"/>
  <c r="G552" i="4"/>
  <c r="G471" i="4"/>
  <c r="G156" i="4"/>
  <c r="G264" i="4"/>
  <c r="G507" i="4"/>
  <c r="G696" i="4"/>
  <c r="G786" i="4"/>
  <c r="G93" i="4"/>
  <c r="G444" i="4"/>
  <c r="G183" i="4"/>
  <c r="G138" i="4"/>
  <c r="G741" i="4"/>
  <c r="G354" i="4"/>
  <c r="G111" i="4"/>
  <c r="G246" i="4"/>
  <c r="G372" i="4"/>
  <c r="G489" i="4"/>
  <c r="G678" i="4"/>
  <c r="G687" i="4"/>
  <c r="G579" i="4"/>
  <c r="G453" i="4"/>
  <c r="G435" i="4"/>
  <c r="G426" i="4"/>
  <c r="G408" i="4"/>
  <c r="G390" i="4"/>
  <c r="G345" i="4"/>
  <c r="G336" i="4"/>
  <c r="G327" i="4"/>
  <c r="G318" i="4"/>
  <c r="G129" i="4"/>
  <c r="G21" i="4"/>
  <c r="G12" i="4"/>
  <c r="G273" i="4"/>
  <c r="G381" i="4"/>
  <c r="G498" i="4"/>
  <c r="G777" i="4"/>
  <c r="G255" i="4"/>
  <c r="G363" i="4"/>
  <c r="G480" i="4"/>
  <c r="G16" i="5"/>
  <c r="G691" i="5"/>
  <c r="G918" i="5"/>
  <c r="G59" i="5"/>
  <c r="E54" i="5" s="1"/>
  <c r="G54" i="5" s="1"/>
  <c r="G55" i="5" s="1"/>
  <c r="G60" i="5" s="1"/>
  <c r="G13" i="3" s="1"/>
  <c r="G312" i="5"/>
  <c r="E299" i="5" s="1"/>
  <c r="G299" i="5" s="1"/>
  <c r="G300" i="5" s="1"/>
  <c r="G272" i="5"/>
  <c r="E260" i="5" s="1"/>
  <c r="G260" i="5" s="1"/>
  <c r="G261" i="5" s="1"/>
  <c r="G309" i="4"/>
  <c r="G417" i="4"/>
  <c r="G534" i="4"/>
  <c r="G327" i="5"/>
  <c r="E319" i="5" s="1"/>
  <c r="G319" i="5" s="1"/>
  <c r="G320" i="5" s="1"/>
  <c r="G328" i="5" s="1"/>
  <c r="G27" i="3" s="1"/>
  <c r="G30" i="4"/>
  <c r="G291" i="4"/>
  <c r="G399" i="4"/>
  <c r="G516" i="4"/>
  <c r="G795" i="4"/>
  <c r="G487" i="5"/>
  <c r="E478" i="5" s="1"/>
  <c r="G478" i="5" s="1"/>
  <c r="G479" i="5" s="1"/>
  <c r="G700" i="5"/>
  <c r="G720" i="5"/>
  <c r="G724" i="5"/>
  <c r="E709" i="5" s="1"/>
  <c r="G709" i="5" s="1"/>
  <c r="G710" i="5" s="1"/>
  <c r="G806" i="5"/>
  <c r="E798" i="5" s="1"/>
  <c r="G798" i="5" s="1"/>
  <c r="G799" i="5" s="1"/>
  <c r="G810" i="5" s="1"/>
  <c r="G64" i="3" s="1"/>
  <c r="G551" i="5"/>
  <c r="G825" i="5"/>
  <c r="E817" i="5" s="1"/>
  <c r="G817" i="5" s="1"/>
  <c r="G818" i="5" s="1"/>
  <c r="G829" i="5" s="1"/>
  <c r="G65" i="3" s="1"/>
  <c r="G1320" i="5"/>
  <c r="E1306" i="5" s="1"/>
  <c r="G1306" i="5" s="1"/>
  <c r="G1307" i="5" s="1"/>
  <c r="G745" i="5"/>
  <c r="E736" i="5" s="1"/>
  <c r="G736" i="5" s="1"/>
  <c r="G737" i="5" s="1"/>
  <c r="G409" i="5"/>
  <c r="E399" i="5" s="1"/>
  <c r="G399" i="5" s="1"/>
  <c r="G400" i="5" s="1"/>
  <c r="F11" i="13"/>
  <c r="C11" i="17"/>
  <c r="H39" i="9"/>
  <c r="G635" i="5"/>
  <c r="E615" i="5" s="1"/>
  <c r="G615" i="5" s="1"/>
  <c r="G616" i="5" s="1"/>
  <c r="G1019" i="5"/>
  <c r="E1006" i="5" s="1"/>
  <c r="G1006" i="5" s="1"/>
  <c r="G1007" i="5" s="1"/>
  <c r="G631" i="5"/>
  <c r="E12" i="11"/>
  <c r="I12" i="11" s="1"/>
  <c r="H30" i="9"/>
  <c r="G39" i="9"/>
  <c r="G555" i="5"/>
  <c r="E543" i="5" s="1"/>
  <c r="G543" i="5" s="1"/>
  <c r="G544" i="5" s="1"/>
  <c r="G1229" i="5"/>
  <c r="E1215" i="5" s="1"/>
  <c r="G1215" i="5" s="1"/>
  <c r="G1216" i="5" s="1"/>
  <c r="G1337" i="5"/>
  <c r="E1327" i="5" s="1"/>
  <c r="G1327" i="5" s="1"/>
  <c r="G1328" i="5" s="1"/>
  <c r="G1475" i="5"/>
  <c r="G234" i="5"/>
  <c r="E221" i="5" s="1"/>
  <c r="G221" i="5" s="1"/>
  <c r="G222" i="5" s="1"/>
  <c r="G30" i="9"/>
  <c r="G507" i="5"/>
  <c r="E493" i="5" s="1"/>
  <c r="G493" i="5" s="1"/>
  <c r="G494" i="5" s="1"/>
  <c r="G938" i="5"/>
  <c r="E930" i="5" s="1"/>
  <c r="G930" i="5" s="1"/>
  <c r="G931" i="5" s="1"/>
  <c r="G939" i="5" s="1"/>
  <c r="G77" i="3" s="1"/>
  <c r="G969" i="5"/>
  <c r="E964" i="5" s="1"/>
  <c r="G964" i="5" s="1"/>
  <c r="G965" i="5" s="1"/>
  <c r="G970" i="5" s="1"/>
  <c r="G89" i="3" s="1"/>
  <c r="G1144" i="5"/>
  <c r="E1136" i="5" s="1"/>
  <c r="G1136" i="5" s="1"/>
  <c r="G1137" i="5" s="1"/>
  <c r="G1205" i="5"/>
  <c r="E17" i="11"/>
  <c r="I17" i="11" s="1"/>
  <c r="H33" i="9"/>
  <c r="G1577" i="5"/>
  <c r="G1263" i="5"/>
  <c r="G1444" i="5"/>
  <c r="E1436" i="5" s="1"/>
  <c r="G1436" i="5" s="1"/>
  <c r="G1437" i="5" s="1"/>
  <c r="G1445" i="5" s="1"/>
  <c r="G126" i="3" s="1"/>
  <c r="G33" i="9"/>
  <c r="G42" i="9"/>
  <c r="G1354" i="5"/>
  <c r="E1344" i="5" s="1"/>
  <c r="G1344" i="5" s="1"/>
  <c r="G1345" i="5" s="1"/>
  <c r="G1282" i="5"/>
  <c r="G1429" i="5"/>
  <c r="E1421" i="5" s="1"/>
  <c r="G1421" i="5" s="1"/>
  <c r="G1422" i="5" s="1"/>
  <c r="G1430" i="5" s="1"/>
  <c r="G125" i="3" s="1"/>
  <c r="C14" i="17"/>
  <c r="G1596" i="5"/>
  <c r="E23" i="11"/>
  <c r="H36" i="9"/>
  <c r="G1244" i="5"/>
  <c r="E104" i="6"/>
  <c r="G104" i="6" s="1"/>
  <c r="G105" i="6" s="1"/>
  <c r="F23" i="11"/>
  <c r="F22" i="11"/>
  <c r="G1350" i="5"/>
  <c r="G1495" i="5"/>
  <c r="G1546" i="5"/>
  <c r="E1538" i="5" s="1"/>
  <c r="G1538" i="5" s="1"/>
  <c r="G1539" i="5" s="1"/>
  <c r="G1547" i="5" s="1"/>
  <c r="G136" i="3" s="1"/>
  <c r="G36" i="9"/>
  <c r="F30" i="13"/>
  <c r="F14" i="19"/>
  <c r="F16" i="19"/>
  <c r="F13" i="19"/>
  <c r="G43" i="6"/>
  <c r="E31" i="6" s="1"/>
  <c r="G31" i="6" s="1"/>
  <c r="G32" i="6" s="1"/>
  <c r="E22" i="11"/>
  <c r="I33" i="11"/>
  <c r="E127" i="6"/>
  <c r="G127" i="6" s="1"/>
  <c r="G128" i="6" s="1"/>
  <c r="M26" i="9"/>
  <c r="E19" i="11"/>
  <c r="I19" i="11" s="1"/>
  <c r="N26" i="9"/>
  <c r="G31" i="9"/>
  <c r="G34" i="9"/>
  <c r="G37" i="9"/>
  <c r="G40" i="9"/>
  <c r="G43" i="9"/>
  <c r="C9" i="17"/>
  <c r="H34" i="9"/>
  <c r="E14" i="11"/>
  <c r="I14" i="11" s="1"/>
  <c r="F21" i="17"/>
  <c r="H28" i="3" l="1"/>
  <c r="H12" i="3"/>
  <c r="H90" i="3"/>
  <c r="C225" i="4"/>
  <c r="G225" i="4" s="1"/>
  <c r="G458" i="5"/>
  <c r="G39" i="3" s="1"/>
  <c r="H39" i="3" s="1"/>
  <c r="G443" i="5"/>
  <c r="G38" i="3" s="1"/>
  <c r="C224" i="4"/>
  <c r="G224" i="4" s="1"/>
  <c r="G1287" i="5"/>
  <c r="G116" i="3" s="1"/>
  <c r="H116" i="3" s="1"/>
  <c r="H117" i="3"/>
  <c r="G1210" i="5"/>
  <c r="G110" i="3" s="1"/>
  <c r="H110" i="3" s="1"/>
  <c r="G1386" i="5"/>
  <c r="G122" i="3" s="1"/>
  <c r="H122" i="3" s="1"/>
  <c r="G889" i="5"/>
  <c r="G70" i="3" s="1"/>
  <c r="H70" i="3" s="1"/>
  <c r="G671" i="5"/>
  <c r="G58" i="3" s="1"/>
  <c r="H58" i="3" s="1"/>
  <c r="I22" i="11"/>
  <c r="G728" i="5"/>
  <c r="G60" i="3" s="1"/>
  <c r="H60" i="3" s="1"/>
  <c r="G869" i="5"/>
  <c r="G67" i="3" s="1"/>
  <c r="H67" i="3" s="1"/>
  <c r="H124" i="3"/>
  <c r="G1249" i="5"/>
  <c r="G112" i="3" s="1"/>
  <c r="H112" i="3" s="1"/>
  <c r="H77" i="3"/>
  <c r="H78" i="3" s="1"/>
  <c r="D16" i="2" s="1"/>
  <c r="G577" i="5"/>
  <c r="G50" i="3" s="1"/>
  <c r="H50" i="3" s="1"/>
  <c r="G958" i="5"/>
  <c r="G86" i="3" s="1"/>
  <c r="H86" i="3" s="1"/>
  <c r="H87" i="3" s="1"/>
  <c r="D19" i="2" s="1"/>
  <c r="G427" i="5"/>
  <c r="G35" i="3" s="1"/>
  <c r="H35" i="3" s="1"/>
  <c r="G47" i="6"/>
  <c r="G790" i="5"/>
  <c r="G63" i="3" s="1"/>
  <c r="H63" i="3" s="1"/>
  <c r="H123" i="3"/>
  <c r="H121" i="3"/>
  <c r="G556" i="5"/>
  <c r="G49" i="3" s="1"/>
  <c r="H49" i="3" s="1"/>
  <c r="G1582" i="5"/>
  <c r="G140" i="3" s="1"/>
  <c r="H140" i="3" s="1"/>
  <c r="G1173" i="5"/>
  <c r="G106" i="3" s="1"/>
  <c r="H106" i="3" s="1"/>
  <c r="D29" i="19"/>
  <c r="H71" i="3"/>
  <c r="H54" i="3"/>
  <c r="H55" i="3" s="1"/>
  <c r="D12" i="2" s="1"/>
  <c r="H13" i="3"/>
  <c r="H51" i="3"/>
  <c r="G749" i="5"/>
  <c r="G61" i="3" s="1"/>
  <c r="H61" i="3" s="1"/>
  <c r="G410" i="5"/>
  <c r="G34" i="3" s="1"/>
  <c r="H34" i="3" s="1"/>
  <c r="G1268" i="5"/>
  <c r="G115" i="3" s="1"/>
  <c r="H115" i="3" s="1"/>
  <c r="H132" i="3"/>
  <c r="C764" i="4"/>
  <c r="G764" i="4" s="1"/>
  <c r="G25" i="6"/>
  <c r="G38" i="5"/>
  <c r="G9" i="3" s="1"/>
  <c r="H9" i="3" s="1"/>
  <c r="G161" i="6"/>
  <c r="H66" i="3"/>
  <c r="G91" i="6"/>
  <c r="G1338" i="5"/>
  <c r="G119" i="3" s="1"/>
  <c r="G1480" i="5"/>
  <c r="G128" i="3" s="1"/>
  <c r="H128" i="3" s="1"/>
  <c r="G114" i="6"/>
  <c r="G22" i="5"/>
  <c r="G8" i="3" s="1"/>
  <c r="G701" i="5"/>
  <c r="G59" i="3" s="1"/>
  <c r="H59" i="3" s="1"/>
  <c r="G923" i="5"/>
  <c r="G74" i="3" s="1"/>
  <c r="H74" i="3" s="1"/>
  <c r="H75" i="3" s="1"/>
  <c r="D15" i="2" s="1"/>
  <c r="G1193" i="5"/>
  <c r="G107" i="3" s="1"/>
  <c r="H107" i="3" s="1"/>
  <c r="G1500" i="5"/>
  <c r="G131" i="3" s="1"/>
  <c r="H131" i="3" s="1"/>
  <c r="G639" i="5"/>
  <c r="G57" i="3" s="1"/>
  <c r="H57" i="3" s="1"/>
  <c r="G1230" i="5"/>
  <c r="G111" i="3" s="1"/>
  <c r="H111" i="3" s="1"/>
  <c r="G68" i="6"/>
  <c r="I23" i="11"/>
  <c r="H126" i="3"/>
  <c r="H27" i="3"/>
  <c r="H62" i="3"/>
  <c r="H139" i="3"/>
  <c r="H125" i="3"/>
  <c r="H64" i="3"/>
  <c r="C565" i="4"/>
  <c r="G565" i="4" s="1"/>
  <c r="G570" i="4" s="1"/>
  <c r="C763" i="4"/>
  <c r="G763" i="4" s="1"/>
  <c r="G277" i="4"/>
  <c r="G282" i="4" s="1"/>
  <c r="H136" i="3"/>
  <c r="C27" i="19"/>
  <c r="C26" i="19"/>
  <c r="C25" i="19"/>
  <c r="H37" i="17"/>
  <c r="C24" i="19"/>
  <c r="G1355" i="5"/>
  <c r="G120" i="3" s="1"/>
  <c r="H120" i="3" s="1"/>
  <c r="I20" i="11"/>
  <c r="I15" i="11"/>
  <c r="C457" i="4"/>
  <c r="G457" i="4" s="1"/>
  <c r="G462" i="4" s="1"/>
  <c r="F35" i="13"/>
  <c r="G184" i="6"/>
  <c r="G137" i="6"/>
  <c r="H65" i="3"/>
  <c r="H89" i="3"/>
  <c r="G1601" i="5"/>
  <c r="G141" i="3" s="1"/>
  <c r="H141" i="3" s="1"/>
  <c r="G228" i="4" l="1"/>
  <c r="H91" i="3"/>
  <c r="D20" i="2" s="1"/>
  <c r="H80" i="3"/>
  <c r="H81" i="3" s="1"/>
  <c r="D17" i="2" s="1"/>
  <c r="H38" i="3"/>
  <c r="H40" i="3" s="1"/>
  <c r="D9" i="2" s="1"/>
  <c r="I24" i="11"/>
  <c r="H36" i="3"/>
  <c r="D8" i="2" s="1"/>
  <c r="H119" i="3"/>
  <c r="H133" i="3"/>
  <c r="D26" i="2" s="1"/>
  <c r="E516" i="5"/>
  <c r="G516" i="5" s="1"/>
  <c r="G518" i="5" s="1"/>
  <c r="G523" i="5" s="1"/>
  <c r="G45" i="3" s="1"/>
  <c r="H45" i="3" s="1"/>
  <c r="E1124" i="5"/>
  <c r="G1124" i="5" s="1"/>
  <c r="G1126" i="5" s="1"/>
  <c r="G1131" i="5" s="1"/>
  <c r="G102" i="3" s="1"/>
  <c r="H102" i="3" s="1"/>
  <c r="H72" i="3"/>
  <c r="D14" i="2" s="1"/>
  <c r="G768" i="4"/>
  <c r="E347" i="5"/>
  <c r="G347" i="5" s="1"/>
  <c r="G348" i="5" s="1"/>
  <c r="G353" i="5" s="1"/>
  <c r="G29" i="3" s="1"/>
  <c r="H29" i="3" s="1"/>
  <c r="E69" i="5"/>
  <c r="G69" i="5" s="1"/>
  <c r="G70" i="5" s="1"/>
  <c r="G75" i="5" s="1"/>
  <c r="G14" i="3" s="1"/>
  <c r="H14" i="3" s="1"/>
  <c r="E1109" i="5"/>
  <c r="G1109" i="5" s="1"/>
  <c r="G1111" i="5" s="1"/>
  <c r="G1116" i="5" s="1"/>
  <c r="G101" i="3" s="1"/>
  <c r="H101" i="3" s="1"/>
  <c r="E1139" i="5"/>
  <c r="G1139" i="5" s="1"/>
  <c r="G1140" i="5" s="1"/>
  <c r="G1145" i="5" s="1"/>
  <c r="G103" i="3" s="1"/>
  <c r="H103" i="3" s="1"/>
  <c r="E531" i="5"/>
  <c r="G531" i="5" s="1"/>
  <c r="G532" i="5" s="1"/>
  <c r="G537" i="5" s="1"/>
  <c r="G46" i="3" s="1"/>
  <c r="H46" i="3" s="1"/>
  <c r="H52" i="3"/>
  <c r="D11" i="2" s="1"/>
  <c r="E481" i="5"/>
  <c r="G481" i="5" s="1"/>
  <c r="G483" i="5" s="1"/>
  <c r="G488" i="5" s="1"/>
  <c r="G43" i="3" s="1"/>
  <c r="H43" i="3" s="1"/>
  <c r="E467" i="5"/>
  <c r="G467" i="5" s="1"/>
  <c r="G468" i="5" s="1"/>
  <c r="G473" i="5" s="1"/>
  <c r="G42" i="3" s="1"/>
  <c r="H42" i="3" s="1"/>
  <c r="H8" i="3"/>
  <c r="H10" i="3" s="1"/>
  <c r="D6" i="2" s="1"/>
  <c r="H108" i="3"/>
  <c r="D23" i="2" s="1"/>
  <c r="H113" i="3"/>
  <c r="D24" i="2" s="1"/>
  <c r="H68" i="3"/>
  <c r="D13" i="2" s="1"/>
  <c r="H142" i="3"/>
  <c r="D28" i="2" s="1"/>
  <c r="D38" i="2"/>
  <c r="E1454" i="5"/>
  <c r="G1454" i="5" s="1"/>
  <c r="G1456" i="5" s="1"/>
  <c r="G1461" i="5" s="1"/>
  <c r="G127" i="3" s="1"/>
  <c r="H127" i="3" s="1"/>
  <c r="E382" i="5"/>
  <c r="G382" i="5" s="1"/>
  <c r="G388" i="5" s="1"/>
  <c r="G393" i="5" s="1"/>
  <c r="G31" i="3" s="1"/>
  <c r="H31" i="3" s="1"/>
  <c r="E362" i="5"/>
  <c r="G362" i="5" s="1"/>
  <c r="G368" i="5" s="1"/>
  <c r="G373" i="5" s="1"/>
  <c r="G30" i="3" s="1"/>
  <c r="H30" i="3" s="1"/>
  <c r="E1091" i="5"/>
  <c r="G1091" i="5" s="1"/>
  <c r="G1096" i="5" s="1"/>
  <c r="G1101" i="5" s="1"/>
  <c r="G98" i="3" s="1"/>
  <c r="H98" i="3" s="1"/>
  <c r="E496" i="5"/>
  <c r="G496" i="5" s="1"/>
  <c r="G503" i="5" s="1"/>
  <c r="G508" i="5" s="1"/>
  <c r="G44" i="3" s="1"/>
  <c r="H44" i="3" s="1"/>
  <c r="E1009" i="5"/>
  <c r="G1009" i="5" s="1"/>
  <c r="G1015" i="5" s="1"/>
  <c r="G1020" i="5" s="1"/>
  <c r="G94" i="3" s="1"/>
  <c r="H94" i="3" s="1"/>
  <c r="E989" i="5"/>
  <c r="G989" i="5" s="1"/>
  <c r="G995" i="5" s="1"/>
  <c r="G1000" i="5" s="1"/>
  <c r="G93" i="3" s="1"/>
  <c r="H93" i="3" s="1"/>
  <c r="E263" i="5"/>
  <c r="G263" i="5" s="1"/>
  <c r="G268" i="5" s="1"/>
  <c r="G273" i="5" s="1"/>
  <c r="G24" i="3" s="1"/>
  <c r="H24" i="3" s="1"/>
  <c r="E1071" i="5"/>
  <c r="G1071" i="5" s="1"/>
  <c r="G1077" i="5" s="1"/>
  <c r="G1082" i="5" s="1"/>
  <c r="G97" i="3" s="1"/>
  <c r="H97" i="3" s="1"/>
  <c r="E1029" i="5"/>
  <c r="G1029" i="5" s="1"/>
  <c r="G1035" i="5" s="1"/>
  <c r="G1040" i="5" s="1"/>
  <c r="G95" i="3" s="1"/>
  <c r="H95" i="3" s="1"/>
  <c r="E224" i="5"/>
  <c r="G224" i="5" s="1"/>
  <c r="G230" i="5" s="1"/>
  <c r="G235" i="5" s="1"/>
  <c r="G22" i="3" s="1"/>
  <c r="H22" i="3" s="1"/>
  <c r="E184" i="5"/>
  <c r="G184" i="5" s="1"/>
  <c r="G190" i="5" s="1"/>
  <c r="G195" i="5" s="1"/>
  <c r="G20" i="3" s="1"/>
  <c r="H20" i="3" s="1"/>
  <c r="E244" i="5"/>
  <c r="G244" i="5" s="1"/>
  <c r="G249" i="5" s="1"/>
  <c r="G254" i="5" s="1"/>
  <c r="G23" i="3" s="1"/>
  <c r="H23" i="3" s="1"/>
  <c r="E1050" i="5"/>
  <c r="G1050" i="5" s="1"/>
  <c r="G1056" i="5" s="1"/>
  <c r="G1061" i="5" s="1"/>
  <c r="G96" i="3" s="1"/>
  <c r="H96" i="3" s="1"/>
  <c r="E302" i="5"/>
  <c r="G302" i="5" s="1"/>
  <c r="G308" i="5" s="1"/>
  <c r="G313" i="5" s="1"/>
  <c r="G26" i="3" s="1"/>
  <c r="H26" i="3" s="1"/>
  <c r="E282" i="5"/>
  <c r="G282" i="5" s="1"/>
  <c r="G288" i="5" s="1"/>
  <c r="G293" i="5" s="1"/>
  <c r="G25" i="3" s="1"/>
  <c r="H25" i="3" s="1"/>
  <c r="E1309" i="5"/>
  <c r="G1309" i="5" s="1"/>
  <c r="G1316" i="5" s="1"/>
  <c r="G1321" i="5" s="1"/>
  <c r="G118" i="3" s="1"/>
  <c r="H118" i="3" s="1"/>
  <c r="E164" i="5"/>
  <c r="G164" i="5" s="1"/>
  <c r="G170" i="5" s="1"/>
  <c r="G175" i="5" s="1"/>
  <c r="G19" i="3" s="1"/>
  <c r="H19" i="3" s="1"/>
  <c r="E144" i="5"/>
  <c r="G144" i="5" s="1"/>
  <c r="G150" i="5" s="1"/>
  <c r="G155" i="5" s="1"/>
  <c r="G18" i="3" s="1"/>
  <c r="H18" i="3" s="1"/>
  <c r="E124" i="5"/>
  <c r="G124" i="5" s="1"/>
  <c r="G130" i="5" s="1"/>
  <c r="G135" i="5" s="1"/>
  <c r="G17" i="3" s="1"/>
  <c r="H17" i="3" s="1"/>
  <c r="E104" i="5"/>
  <c r="G104" i="5" s="1"/>
  <c r="G110" i="5" s="1"/>
  <c r="G115" i="5" s="1"/>
  <c r="G16" i="3" s="1"/>
  <c r="H16" i="3" s="1"/>
  <c r="E84" i="5"/>
  <c r="G84" i="5" s="1"/>
  <c r="G90" i="5" s="1"/>
  <c r="G95" i="5" s="1"/>
  <c r="G15" i="3" s="1"/>
  <c r="H15" i="3" s="1"/>
  <c r="E204" i="5"/>
  <c r="G204" i="5" s="1"/>
  <c r="G210" i="5" s="1"/>
  <c r="G215" i="5" s="1"/>
  <c r="G21" i="3" s="1"/>
  <c r="H21" i="3" s="1"/>
  <c r="H135" i="3" l="1"/>
  <c r="H137" i="3" s="1"/>
  <c r="D27" i="2" s="1"/>
  <c r="H104" i="3"/>
  <c r="D22" i="2" s="1"/>
  <c r="H47" i="3"/>
  <c r="D10" i="2" s="1"/>
  <c r="H32" i="3"/>
  <c r="D7" i="2" s="1"/>
  <c r="H99" i="3"/>
  <c r="H129" i="3"/>
  <c r="D25" i="2" s="1"/>
  <c r="H82" i="3" l="1"/>
  <c r="D5" i="2" s="1"/>
  <c r="D21" i="2"/>
  <c r="H143" i="3"/>
  <c r="D18" i="2" s="1"/>
  <c r="H145" i="3" l="1"/>
  <c r="K6" i="11" l="1"/>
  <c r="H30" i="17"/>
  <c r="I30" i="17" s="1"/>
  <c r="G32" i="13"/>
  <c r="G25" i="13"/>
  <c r="G17" i="13"/>
  <c r="G10" i="13"/>
  <c r="G24" i="13"/>
  <c r="G16" i="13"/>
  <c r="G21" i="13"/>
  <c r="G28" i="13"/>
  <c r="G14" i="13"/>
  <c r="D29" i="2"/>
  <c r="G7" i="13"/>
  <c r="G26" i="13"/>
  <c r="G13" i="13"/>
  <c r="G15" i="13"/>
  <c r="G27" i="13"/>
  <c r="G9" i="13"/>
  <c r="G34" i="13"/>
  <c r="G8" i="13"/>
  <c r="G33" i="13"/>
  <c r="G29" i="13"/>
  <c r="G18" i="13"/>
  <c r="I26" i="17"/>
  <c r="G22" i="13"/>
  <c r="G11" i="13"/>
  <c r="G19" i="13"/>
  <c r="G30" i="13"/>
  <c r="G35" i="13"/>
  <c r="D31" i="2" l="1"/>
  <c r="K7" i="11"/>
  <c r="L7" i="11" s="1"/>
  <c r="J56" i="11"/>
  <c r="K8" i="11"/>
  <c r="K59" i="11" l="1"/>
  <c r="L8" i="11"/>
  <c r="J23" i="11"/>
  <c r="K23" i="11" s="1"/>
  <c r="L23" i="11" s="1"/>
  <c r="J14" i="11"/>
  <c r="K14" i="11" s="1"/>
  <c r="L14" i="11" s="1"/>
  <c r="J12" i="11"/>
  <c r="K12" i="11" s="1"/>
  <c r="L12" i="11" s="1"/>
  <c r="J47" i="11"/>
  <c r="K47" i="11" s="1"/>
  <c r="L47" i="11" s="1"/>
  <c r="J44" i="11"/>
  <c r="K44" i="11" s="1"/>
  <c r="L44" i="11" s="1"/>
  <c r="J27" i="11"/>
  <c r="K27" i="11" s="1"/>
  <c r="L27" i="11" s="1"/>
  <c r="J31" i="11"/>
  <c r="K31" i="11" s="1"/>
  <c r="L31" i="11" s="1"/>
  <c r="J35" i="11"/>
  <c r="K35" i="11" s="1"/>
  <c r="J19" i="11"/>
  <c r="K19" i="11" s="1"/>
  <c r="L19" i="11" s="1"/>
  <c r="J17" i="11"/>
  <c r="K17" i="11" s="1"/>
  <c r="J39" i="11"/>
  <c r="K39" i="11" s="1"/>
  <c r="J46" i="11"/>
  <c r="K46" i="11" s="1"/>
  <c r="L46" i="11" s="1"/>
  <c r="J43" i="11"/>
  <c r="K43" i="11" s="1"/>
  <c r="L43" i="11" s="1"/>
  <c r="J26" i="11"/>
  <c r="K26" i="11" s="1"/>
  <c r="J30" i="11"/>
  <c r="K30" i="11" s="1"/>
  <c r="J22" i="11"/>
  <c r="K22" i="11" s="1"/>
  <c r="J13" i="11"/>
  <c r="K13" i="11" s="1"/>
  <c r="L13" i="11" s="1"/>
  <c r="J11" i="11"/>
  <c r="K11" i="11" s="1"/>
  <c r="J32" i="11"/>
  <c r="K32" i="11" s="1"/>
  <c r="L32" i="11" s="1"/>
  <c r="J42" i="11"/>
  <c r="K42" i="11" s="1"/>
  <c r="J18" i="11"/>
  <c r="K18" i="11" s="1"/>
  <c r="L18" i="11" s="1"/>
  <c r="J45" i="11"/>
  <c r="K45" i="11" s="1"/>
  <c r="L45" i="11" s="1"/>
  <c r="J36" i="11"/>
  <c r="K36" i="11" s="1"/>
  <c r="L36" i="11" s="1"/>
  <c r="L35" i="11" l="1"/>
  <c r="K37" i="11"/>
  <c r="L42" i="11"/>
  <c r="K48" i="11"/>
  <c r="L11" i="11"/>
  <c r="K15" i="11"/>
  <c r="L22" i="11"/>
  <c r="K24" i="11"/>
  <c r="L30" i="11"/>
  <c r="K33" i="11"/>
  <c r="L17" i="11"/>
  <c r="K20" i="11"/>
  <c r="L26" i="11"/>
  <c r="K28" i="11"/>
  <c r="K40" i="11"/>
  <c r="L39" i="11"/>
  <c r="L59" i="11"/>
  <c r="D34" i="2"/>
  <c r="L33" i="11" l="1"/>
  <c r="K67" i="11"/>
  <c r="L20" i="11"/>
  <c r="K64" i="11"/>
  <c r="L24" i="11"/>
  <c r="K65" i="11"/>
  <c r="L15" i="11"/>
  <c r="K63" i="11"/>
  <c r="K70" i="11"/>
  <c r="L48" i="11"/>
  <c r="K69" i="11"/>
  <c r="L40" i="11"/>
  <c r="K66" i="11"/>
  <c r="L28" i="11"/>
  <c r="K68" i="11"/>
  <c r="L37" i="11"/>
  <c r="K71" i="11" l="1"/>
  <c r="D36" i="19" l="1"/>
  <c r="F43" i="19" s="1"/>
  <c r="F41" i="19" l="1"/>
  <c r="F42" i="19"/>
  <c r="G14" i="15" l="1"/>
  <c r="G15" i="15"/>
  <c r="G16" i="15"/>
  <c r="G17" i="15"/>
  <c r="G18" i="15"/>
  <c r="G20" i="15" l="1"/>
  <c r="G21" i="15" s="1"/>
  <c r="G22" i="15" s="1"/>
  <c r="G23" i="15" s="1"/>
  <c r="G37" i="15"/>
  <c r="F6" i="16"/>
  <c r="F7" i="16"/>
  <c r="F8" i="16"/>
  <c r="F9" i="16"/>
  <c r="F10" i="16"/>
  <c r="F11" i="16"/>
  <c r="F12" i="16"/>
  <c r="F13" i="16"/>
  <c r="F15" i="16" l="1"/>
  <c r="D13" i="19"/>
  <c r="E13" i="19" s="1"/>
  <c r="H13" i="19" s="1"/>
  <c r="D14" i="19"/>
  <c r="E14" i="19" s="1"/>
  <c r="H14" i="19" s="1"/>
  <c r="D15" i="19"/>
  <c r="E15" i="19" s="1"/>
  <c r="H15" i="19" s="1"/>
  <c r="D16" i="19"/>
  <c r="H18" i="19" l="1"/>
  <c r="H19" i="19" s="1"/>
  <c r="H20" i="19" l="1"/>
  <c r="H21" i="19" s="1"/>
  <c r="H31" i="19" l="1"/>
  <c r="E42" i="19"/>
  <c r="H42" i="19" s="1"/>
  <c r="D28" i="18" l="1"/>
  <c r="E28" i="18" l="1"/>
  <c r="D35" i="18" l="1"/>
  <c r="D34" i="18"/>
  <c r="D33" i="18"/>
  <c r="D32" i="18"/>
  <c r="D31" i="18"/>
  <c r="F28" i="18"/>
  <c r="D30" i="18" l="1"/>
  <c r="E5" i="2"/>
  <c r="E6" i="2"/>
  <c r="E7" i="2"/>
  <c r="E8" i="2"/>
  <c r="E9" i="2"/>
  <c r="E10" i="2"/>
  <c r="E11" i="2"/>
  <c r="E12" i="2"/>
  <c r="E13" i="2"/>
  <c r="E14" i="2"/>
  <c r="E15" i="2"/>
  <c r="E16" i="2"/>
  <c r="E17" i="2"/>
  <c r="E18" i="2"/>
  <c r="E19" i="2"/>
  <c r="E20" i="2"/>
  <c r="E21" i="2"/>
  <c r="E22" i="2"/>
  <c r="E23" i="2"/>
  <c r="E24" i="2"/>
  <c r="E25" i="2"/>
  <c r="E26" i="2"/>
  <c r="E27" i="2"/>
  <c r="E28" i="2"/>
  <c r="E29" i="2"/>
  <c r="E31" i="2"/>
  <c r="D33" i="2"/>
  <c r="E33" i="2"/>
  <c r="E34" i="2"/>
  <c r="D36" i="2"/>
  <c r="E36" i="2"/>
  <c r="E38" i="2"/>
  <c r="D39" i="2"/>
  <c r="E39" i="2"/>
  <c r="D40" i="2"/>
  <c r="E40" i="2"/>
  <c r="H40" i="2"/>
  <c r="E41" i="2"/>
  <c r="D42" i="2"/>
  <c r="E42" i="2"/>
  <c r="D44" i="2"/>
  <c r="E44" i="2"/>
  <c r="D47" i="2"/>
  <c r="D48" i="2"/>
  <c r="D49" i="2"/>
  <c r="F4" i="16"/>
  <c r="D19" i="16"/>
  <c r="D20" i="16"/>
  <c r="D21" i="16"/>
  <c r="D22" i="16"/>
  <c r="D23" i="16"/>
  <c r="E25" i="16"/>
  <c r="F25" i="16"/>
  <c r="E26" i="16"/>
  <c r="F26" i="16"/>
  <c r="E27" i="16"/>
  <c r="F27" i="16"/>
  <c r="E28" i="16"/>
  <c r="F28" i="16"/>
  <c r="E29" i="16"/>
  <c r="F29" i="16"/>
  <c r="E30" i="16"/>
  <c r="F30" i="16"/>
  <c r="E31" i="16"/>
  <c r="F31" i="16"/>
  <c r="E32" i="16"/>
  <c r="F32" i="16"/>
  <c r="F39" i="16"/>
  <c r="F46" i="16"/>
  <c r="G46" i="16"/>
  <c r="F49" i="16"/>
  <c r="G49" i="16"/>
  <c r="D37" i="18"/>
  <c r="D38" i="18"/>
  <c r="F38" i="18"/>
  <c r="D39" i="18"/>
  <c r="F39" i="18"/>
  <c r="D40" i="18"/>
  <c r="G40" i="18"/>
  <c r="D41" i="18"/>
  <c r="G41" i="18"/>
  <c r="D42" i="18"/>
  <c r="G42" i="18"/>
  <c r="D44" i="18"/>
  <c r="E44" i="18"/>
  <c r="D45" i="18"/>
  <c r="E45" i="18"/>
  <c r="D46" i="18"/>
  <c r="E46" i="18"/>
  <c r="D47" i="18"/>
  <c r="E47" i="18"/>
  <c r="D48" i="18"/>
  <c r="E48" i="18"/>
  <c r="D49" i="18"/>
  <c r="E49" i="18"/>
  <c r="D50" i="18"/>
  <c r="E50" i="18"/>
  <c r="D51" i="18"/>
  <c r="E51" i="18"/>
  <c r="D57" i="18"/>
  <c r="E57" i="18"/>
  <c r="F57" i="18"/>
  <c r="E59" i="18"/>
  <c r="E60" i="18"/>
  <c r="E61" i="18"/>
  <c r="E50" i="11"/>
  <c r="I50" i="11"/>
  <c r="K50" i="11"/>
  <c r="L50" i="11"/>
  <c r="E51" i="11"/>
  <c r="I51" i="11"/>
  <c r="K51" i="11"/>
  <c r="L51" i="11"/>
  <c r="I52" i="11"/>
  <c r="K52" i="11"/>
  <c r="L52" i="11"/>
  <c r="I53" i="11"/>
  <c r="L53" i="11"/>
  <c r="I54" i="11"/>
  <c r="L54" i="11"/>
  <c r="I55" i="11"/>
  <c r="L55" i="11"/>
  <c r="K57" i="11"/>
  <c r="L57" i="11"/>
  <c r="K60" i="11"/>
  <c r="L60" i="11"/>
  <c r="K72" i="11"/>
  <c r="D77" i="11"/>
  <c r="C78" i="11"/>
  <c r="D78" i="11"/>
  <c r="D79" i="11"/>
  <c r="D80" i="11"/>
  <c r="C81" i="11"/>
  <c r="D81" i="11"/>
  <c r="D82" i="11"/>
  <c r="D83" i="11"/>
  <c r="E5" i="17"/>
  <c r="F9" i="17"/>
  <c r="G9" i="17"/>
  <c r="H9" i="17"/>
  <c r="I9" i="17"/>
  <c r="F10" i="17"/>
  <c r="G10" i="17"/>
  <c r="H10" i="17"/>
  <c r="I10" i="17"/>
  <c r="F11" i="17"/>
  <c r="G11" i="17"/>
  <c r="H11" i="17"/>
  <c r="I11" i="17"/>
  <c r="F12" i="17"/>
  <c r="G12" i="17"/>
  <c r="H12" i="17"/>
  <c r="I12" i="17"/>
  <c r="F13" i="17"/>
  <c r="G13" i="17"/>
  <c r="H13" i="17"/>
  <c r="I13" i="17"/>
  <c r="F14" i="17"/>
  <c r="G14" i="17"/>
  <c r="H14" i="17"/>
  <c r="I14" i="17"/>
  <c r="F15" i="17"/>
  <c r="H15" i="17"/>
  <c r="I15" i="17"/>
  <c r="G18" i="17"/>
  <c r="H18" i="17"/>
  <c r="I18" i="17"/>
  <c r="G19" i="17"/>
  <c r="H19" i="17"/>
  <c r="I19" i="17"/>
  <c r="G20" i="17"/>
  <c r="H20" i="17"/>
  <c r="I20" i="17"/>
  <c r="H21" i="17"/>
  <c r="I21" i="17"/>
  <c r="F23" i="17"/>
  <c r="G23" i="17"/>
  <c r="H23" i="17"/>
  <c r="I23" i="17"/>
  <c r="F24" i="17"/>
  <c r="G24" i="17"/>
  <c r="H24" i="17"/>
  <c r="I24" i="17"/>
  <c r="F25" i="17"/>
  <c r="G25" i="17"/>
  <c r="H25" i="17"/>
  <c r="I25" i="17"/>
  <c r="G26" i="17"/>
  <c r="F28" i="17"/>
  <c r="I28" i="17"/>
  <c r="G31" i="17"/>
  <c r="H32" i="17"/>
  <c r="I32" i="17"/>
  <c r="H33" i="17"/>
  <c r="I33" i="17"/>
  <c r="H34" i="17"/>
  <c r="H38" i="17"/>
  <c r="H39" i="17"/>
  <c r="H40" i="17"/>
  <c r="B22" i="19"/>
  <c r="C35" i="19"/>
  <c r="D35" i="19"/>
  <c r="D37" i="19"/>
  <c r="D41" i="19"/>
  <c r="E41" i="19"/>
  <c r="H41" i="19"/>
  <c r="D43" i="19"/>
  <c r="E43" i="19"/>
  <c r="H43" i="19"/>
  <c r="D44" i="19"/>
  <c r="E44" i="19"/>
  <c r="H44" i="19"/>
  <c r="B47" i="19"/>
  <c r="D47" i="19"/>
  <c r="H47" i="19"/>
  <c r="H48" i="19"/>
  <c r="H49" i="19"/>
  <c r="H50" i="19"/>
  <c r="H51" i="19"/>
  <c r="B25" i="15"/>
  <c r="C25" i="15"/>
  <c r="C27" i="15"/>
  <c r="C32" i="15"/>
  <c r="D32" i="15"/>
  <c r="G32" i="15"/>
  <c r="C33" i="15"/>
  <c r="D33" i="15"/>
  <c r="G33" i="15"/>
  <c r="C34" i="15"/>
  <c r="D34" i="15"/>
  <c r="G34" i="15"/>
  <c r="C35" i="15"/>
  <c r="D35" i="15"/>
  <c r="G35" i="15"/>
  <c r="C36" i="15"/>
  <c r="D36" i="15"/>
  <c r="G36" i="15"/>
  <c r="A39" i="15"/>
  <c r="C39" i="15"/>
  <c r="G39" i="15"/>
  <c r="G41" i="15"/>
  <c r="G42" i="15"/>
  <c r="G43" i="15"/>
  <c r="G44"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<sst xmlns="http://schemas.openxmlformats.org/spreadsheetml/2006/main" count="12449" uniqueCount="1203">
  <si>
    <t>MUNICIPIO DE DABEIBA – ANTIOQUIA</t>
  </si>
  <si>
    <t>CONSTRUCCIÓN DE AULA Y MEJORAMIENTO DE INFRAESTRUCTURA EXISTENTE DE LA INSTITUCIÓN EDUCATIVA DE LA VEREDA EL RETIRO DEL MUNICIPIO DE DABEIBA, ANTIOQUIA</t>
  </si>
  <si>
    <t>COMPONENTE</t>
  </si>
  <si>
    <t>CAPÍTULO</t>
  </si>
  <si>
    <t>DESCRIPCIÓN</t>
  </si>
  <si>
    <t>VALOR</t>
  </si>
  <si>
    <t>% COSTO DIRECTO</t>
  </si>
  <si>
    <t>1</t>
  </si>
  <si>
    <t>CONSTRUCCIÓN DE AULA</t>
  </si>
  <si>
    <t>PRELIMINARES</t>
  </si>
  <si>
    <t>2</t>
  </si>
  <si>
    <t>CIMENTACIÓN</t>
  </si>
  <si>
    <t>3</t>
  </si>
  <si>
    <t>PISOS</t>
  </si>
  <si>
    <t>4</t>
  </si>
  <si>
    <t>ACERO DE REFUERZO</t>
  </si>
  <si>
    <t>5</t>
  </si>
  <si>
    <t>MAMPOSTERÍA</t>
  </si>
  <si>
    <t>6</t>
  </si>
  <si>
    <t>ESTRUCTURA DE CUBIERTA Y CUBIERTA</t>
  </si>
  <si>
    <t>7</t>
  </si>
  <si>
    <t>IMPERMEABILIZACIONES</t>
  </si>
  <si>
    <t>8</t>
  </si>
  <si>
    <t>INSTALACIONES ELÉCTRICAS</t>
  </si>
  <si>
    <t>9</t>
  </si>
  <si>
    <t>ILUMINACIÓN</t>
  </si>
  <si>
    <t>10</t>
  </si>
  <si>
    <t>CARPINTERÍA METÁLICA</t>
  </si>
  <si>
    <t>11</t>
  </si>
  <si>
    <t>PINTURA</t>
  </si>
  <si>
    <t>12</t>
  </si>
  <si>
    <t>ASEO OBRA</t>
  </si>
  <si>
    <t>BATERÍA SANITARIA</t>
  </si>
  <si>
    <t>EXCAVACIONES Y LLENOS</t>
  </si>
  <si>
    <t>CONCRETOS</t>
  </si>
  <si>
    <t>6.1</t>
  </si>
  <si>
    <t>INSTALACIONES HIDRÁULICAS</t>
  </si>
  <si>
    <t>6.2</t>
  </si>
  <si>
    <t>INSTALACIONES SANITARIAS Y APARATOS</t>
  </si>
  <si>
    <t>CUBIERTA</t>
  </si>
  <si>
    <t>COSTO DIRECTO DE OBRA</t>
  </si>
  <si>
    <t>COSTO OBRA CIVIL E INSTALACIONES ANTES DE A.U.</t>
  </si>
  <si>
    <t>ADMINISTRACIÓN</t>
  </si>
  <si>
    <t>UTILIDAD</t>
  </si>
  <si>
    <t>SUBTOTAL COSTO DIRECTO + A + U</t>
  </si>
  <si>
    <t>PGIO</t>
  </si>
  <si>
    <t>PÓLIZAS</t>
  </si>
  <si>
    <t>INTERVENTORÍA</t>
  </si>
  <si>
    <t>OTROS</t>
  </si>
  <si>
    <t>TOTAL COSTOS INDIRECTOS / REEMBOLSABLES</t>
  </si>
  <si>
    <t>COSTO TOTAL DEL PROYECTO</t>
  </si>
  <si>
    <t>FUENTES DE FINANCIACIÓN DEL PROYECTO</t>
  </si>
  <si>
    <t>GOBERNACIÓN DE ANTIOQUIA</t>
  </si>
  <si>
    <t>MUNICIPIO DE DABEIBA</t>
  </si>
  <si>
    <t>TOTAL FINANCIACIÓN</t>
  </si>
  <si>
    <t>PRESUPUESTO DE ACTIVIDADES</t>
  </si>
  <si>
    <t>COMP.</t>
  </si>
  <si>
    <t>ÍTEM</t>
  </si>
  <si>
    <t>UNIDAD</t>
  </si>
  <si>
    <t>CANTIDAD</t>
  </si>
  <si>
    <t>VALOR UNITARIO</t>
  </si>
  <si>
    <t>VALOR PARCIAL</t>
  </si>
  <si>
    <t>COMPONENTE 1. CONSTRUCCIÓN DE AULA</t>
  </si>
  <si>
    <t>1.1.1</t>
  </si>
  <si>
    <t>LOCALIZACIÓN, TRAZADO Y REPLANTEO. Incluye demarcación con pintura, línea de trazado, corte de piso, libretas y planos.</t>
  </si>
  <si>
    <t>m²</t>
  </si>
  <si>
    <t>1.1.2</t>
  </si>
  <si>
    <t>SUMINISTRO, INSTALACIÓN, MANTENIMIENTO Y DESMONTE DE CERRAMIENTO PROVISIONAL EN TELA NARANJA DE 2,00 m DE ALTURA, CON ESTRUCTURA EN MADERA Y ANCLAJES EN CONCRETO DE 17,5 MPa. INCLUYE EXCAVACIÓN PUNTUAL, ACOPIO INTERNO Y TODOS LOS ELEMENTOS NECESARIOS PARA SU CORRECTA EJECUCIÓN.</t>
  </si>
  <si>
    <t>m</t>
  </si>
  <si>
    <t>SUBTOTAL 1. PRELIMINARES</t>
  </si>
  <si>
    <t>2.1.1</t>
  </si>
  <si>
    <t>EXCAVACIÓN MANUAL DE MATERIAL HETEROGÉNEO ENTRE 0 Y 2 m DE PROFUNDIDAD, BAJO CUALQUIER GRADO DE HUMEDAD. INCLUYE ROCA DESCOMPUESTA, BOLAS DE ROCA MENORES A 0,35 m³, CARGUE Y ACOPIO O TRASIEGO INTERNO. NO INCLUYE ENTIBADO, TRANSPORTE EXTERNO NI DISPOSICIÓN FINAL.</t>
  </si>
  <si>
    <t>m³</t>
  </si>
  <si>
    <t>2.2.3</t>
  </si>
  <si>
    <t>LLENO CON MATERIAL PROVENIENTE DE LA EXCAVACIÓN, COMPACTADO MECÁNICAMENTE HASTA ALCANZAR EL 95 % DE LA DENSIDAD MÁXIMA DEL ENSAYO PRÓCTOR MODIFICADO. INCLUYE TRANSPORTE INTERNO. MEDIDA EN SITIO COMPACTADO.</t>
  </si>
  <si>
    <t>2.3.1</t>
  </si>
  <si>
    <t>SUMINISTRO E INSTALACIÓN DE CONCRETO POBRE DE LIMPIEZA DE 2.000 PSI PARA SOLADO, ESPESOR 0,05 m. INCLUYE TRANSPORTE, COLOCACIÓN, NIVELACIÓN, CURADO Y TODO LO NECESARIO PARA SU CORRECTA EJECUCIÓN. NO INCLUYE REFUERZO.</t>
  </si>
  <si>
    <t>2.3.2</t>
  </si>
  <si>
    <t>SUMINISTRO E INSTALACIÓN DE CONCRETO DE 3.000 PSI PARA ZAPATAS DE FUNDACIÓN. INCLUYE FORMALETA Y CURADO. NO INCLUYE ACERO DE REFUERZO.</t>
  </si>
  <si>
    <t>2.3.3</t>
  </si>
  <si>
    <t>SUMINISTRO E INSTALACIÓN DE CONCRETO DE 3.000 PSI PARA COLUMNAS. INCLUYE FORMALETA, VIBRADO Y CURADO. NO INCLUYE ACERO DE REFUERZO.</t>
  </si>
  <si>
    <t>2.3.4</t>
  </si>
  <si>
    <t>SUMINISTRO E INSTALACIÓN DE CONCRETO DE 3.000 PSI PARA VIGAS DE CIMENTACIÓN. INCLUYE FORMALETA, VIBRADO Y CURADO. NO INCLUYE ACERO DE REFUERZO.</t>
  </si>
  <si>
    <t>2.3.5</t>
  </si>
  <si>
    <t>SUMINISTRO E INSTALACIÓN DE CONCRETO DE 3.000 PSI PARA VIGA DE ANDÉN. INCLUYE FORMALETA, VIBRADO Y CURADO. NO INCLUYE ACERO DE REFUERZO.</t>
  </si>
  <si>
    <t>2.3.6</t>
  </si>
  <si>
    <t>SUMINISTRO E INSTALACIÓN DE CONCRETO DE 3.000 PSI PARA VIGA DE AMARRE SUPERIOR. INCLUYE FORMALETA, VIBRADO Y CURADO. NO INCLUYE ACERO DE REFUERZO.</t>
  </si>
  <si>
    <t>2.3.7</t>
  </si>
  <si>
    <t>SUMINISTRO E INSTALACIÓN DE CONCRETO DE 3.000 PSI PARA VIGA CINTA. INCLUYE FORMALETA, VIBRADO Y CURADO. NO INCLUYE ACERO DE REFUERZO.</t>
  </si>
  <si>
    <t>2.3.8</t>
  </si>
  <si>
    <t>SUMINISTRO E INSTALACIÓN DE CONCRETO DE 3.000 PSI PARA VIGA DE BORDE DE PLACA DE FACHADA. INCLUYE FORMALETA, VIBRADO Y CURADO. NO INCLUYE ACERO DE REFUERZO.</t>
  </si>
  <si>
    <t>2.3.9</t>
  </si>
  <si>
    <t>SUMINISTRO E INSTALACIÓN DE CONCRETO DE 3.000 PSI PARA MOJINETE O CUCHILLAS LATERALES. INCLUYE FORMALETA, VIBRADO Y CURADO. NO INCLUYE ACERO DE REFUERZO.</t>
  </si>
  <si>
    <t>2.3.10</t>
  </si>
  <si>
    <t>CONSTRUCCIÓN DE LOSA EN CONCRETO DE 21 MPa (3.000 PSI), ESPESOR 0,10 m. INCLUYE SUMINISTRO, TRANSPORTE, COLOCACIÓN, VIBRADO, PROTECCIÓN, CURADO, ACABADO CON LLANA METÁLICA Y JUNTAS DE DILATACIÓN FORMALTEADAS O CORTADAS CON DISCO DIAMANTADO DE 3 A 5 mm. NO INCLUYE ACERO DE REFUERZO.</t>
  </si>
  <si>
    <t>2.3.11</t>
  </si>
  <si>
    <t>SUMINISTRO E INSTALACIÓN DE CONCRETO DE 3.000 PSI PARA PLACA DE FACHADA DE 0,15 m DE ESPESOR, SEGÚN CORTE 1-1 DEL DISEÑO ESTRUCTURAL. INCLUYE FORMALETA, ANDAMIOS, CLAVOS, ALAMBRE, VIBRADO, CURADO Y TODO LO NECESARIO PARA SU CORRECTA EJECUCIÓN. NO INCLUYE ACERO DE REFUERZO.</t>
  </si>
  <si>
    <t>2.3.12</t>
  </si>
  <si>
    <t>BORDILLO FUNDIDO EN CONCRETO DE 3.000 PSI, CON ACABADO ARQUITECTÓNICO A LA VISTA. INCLUYE FORMALETA, VIBRADO Y CURADO. NO INCLUYE ACERO DE REFUERZO.</t>
  </si>
  <si>
    <t>2.3.13</t>
  </si>
  <si>
    <t>CUNETA EN CONCRETO DE 3.000 PSI. INCLUYE FORMALETA, VIBRADO, CURADO Y ACABADO. NO INCLUYE ACERO DE REFUERZO NI MATERIAL FILTRANTE, LOS CUALES DEBEN PAGARSE EN LOS ÍTEMS CORRESPONDIENTES.</t>
  </si>
  <si>
    <t>2.3.14</t>
  </si>
  <si>
    <t>SUMINISTRO E INSTALACIÓN DE GÁRGOLA PREFABRICADA, INCLUYE ANCLAJES, SELLOS Y TODO LO NECESARIO PARA SU CORRECTA INSTALACIÓN.</t>
  </si>
  <si>
    <t>und</t>
  </si>
  <si>
    <t>2.3.14.1.1</t>
  </si>
  <si>
    <t>EXCAVACIÓN MANUAL DE MATERIAL HETEROGÉNEO ENTRE 0 Y 2 m DE PROFUNDIDAD PARA MURO DE CONTENCIÓN. INCLUYE CARGUE Y ACOPIO O TRASIEGO INTERNO. NO INCLUYE TRANSPORTE EXTERNO NI DISPOSICIÓN FINAL.</t>
  </si>
  <si>
    <t>2.3.14.1.2</t>
  </si>
  <si>
    <t>SUMINISTRO E INSTALACIÓN DE CONCRETO POBRE DE LIMPIEZA DE 2.000 PSI PARA SOLADO, ESPESOR 0,05 m. INCLUYE TRANSPORTE, COLOCACIÓN, NIVELACIÓN Y CURADO. NO INCLUYE REFUERZO.</t>
  </si>
  <si>
    <t>2.3.14.1.3</t>
  </si>
  <si>
    <t>SUMINISTRO E INSTALACIÓN DE CONCRETO DE 3.000 PSI PARA ZAPATA DE MURO DE CONTENCIÓN. INCLUYE FORMALETA, VIBRADO Y CURADO. NO INCLUYE ACERO DE REFUERZO.</t>
  </si>
  <si>
    <t>2.3.14.1.4</t>
  </si>
  <si>
    <t>SUMINISTRO E INSTALACIÓN DE CONCRETO DE 3.000 PSI PARA FUSTE DE MURO DE CONTENCIÓN. INCLUYE FORMALETA, VIBRADO Y CURADO. NO INCLUYE ACERO DE REFUERZO.</t>
  </si>
  <si>
    <t>SUBTOTAL 2. CIMENTACIÓN</t>
  </si>
  <si>
    <t>3.1</t>
  </si>
  <si>
    <t>SUMINISTRO E INSTALACIÓN DE PISO CERÁMICO 40 × 40 cm, TRÁFICO 5. INCLUYE ZÓCALO, PEGANTE, BOQUILLA, CORTES, LIMPIEZA Y TODO LO NECESARIO PARA SU CORRECTA INSTALACIÓN.</t>
  </si>
  <si>
    <t>3.2</t>
  </si>
  <si>
    <t>SUMINISTRO E INSTALACIÓN DE PISO ANTIDESLIZANTE PARA EXTERIORES CON JUNTA EN PIEDRA CHINA O ARENÓN CHINO. INCLUYE PEGANTE, BOQUILLA, CORTES Y LIMPIEZA.</t>
  </si>
  <si>
    <t>SUBTOTAL 3. PISOS</t>
  </si>
  <si>
    <t>4.1</t>
  </si>
  <si>
    <t>SUMINISTRO E INSTALACIÓN DE ACERO DE REFUERZO DE 60.000 PSI. INCLUYE ALAMBRE NEGRO, FIGURACIÓN, CORTE, DOBLADO, AMARRE, TRASLAPOS, SEPARADORES Y TODO LO NECESARIO PARA SU CORRECTA COLOCACIÓN.</t>
  </si>
  <si>
    <t>kg</t>
  </si>
  <si>
    <t>4.2</t>
  </si>
  <si>
    <t>SUMINISTRO E INSTALACIÓN DE MALLA ELECTROSOLDADA ESTÁNDAR. INCLUYE ALAMBRE NEGRO, CORTE, TRASLAPOS, AMARRE, SEPARADORES Y TODO LO NECESARIO PARA SU CORRECTA COLOCACIÓN.</t>
  </si>
  <si>
    <t>SUBTOTAL 4. ACERO DE REFUERZO</t>
  </si>
  <si>
    <t>5.1.1</t>
  </si>
  <si>
    <t>SUMINISTRO E INSTALACIÓN DE SOBRECIMIENTO EN BLOQUE DE CONCRETO DE 0,15 m, RELLENO EN DOS HILADAS CON CONCRETO. INCLUYE MORTERO, CORTES Y LIMPIEZA.</t>
  </si>
  <si>
    <t>5.1.2</t>
  </si>
  <si>
    <t>SUMINISTRO E INSTALACIÓN DE MURO DE 0,10 m EN BLOQUE ESTRIADO N.° 4, 10 × 20 × 40 cm. INCLUYE MORTERO 1:3 DE 1 cm, ANDAMIOS, CORTES Y LIMPIEZA.</t>
  </si>
  <si>
    <t>5.1.3</t>
  </si>
  <si>
    <t>SUMINISTRO E INSTALACIÓN DE ALFAJÍA DE 0,20 × 0,10 m EN CONCRETO DE 3.000 PSI A LA VISTA. INCLUYE FORMALETA, ACABADO Y CURADO.</t>
  </si>
  <si>
    <t>5.1.4</t>
  </si>
  <si>
    <t>SUMINISTRO E INSTALACIÓN DE BLOQUE DE ARCILLA DE 10 × 20 × 20 cm, DOS HUECOS, A LA VISTA. INCLUYE MORTERO, CORTES Y LIMPIEZA.</t>
  </si>
  <si>
    <t>5.1.5</t>
  </si>
  <si>
    <t>SUMINISTRO E INSTALACIÓN DE PAÑETE EN MORTERO 1:4, ESPESOR 0,02 m. INCLUYE DILATACIONES, RANURAS, FILETES, ANDAMIOS Y TODO LO NECESARIO PARA SU CORRECTA EJECUCIÓN.</t>
  </si>
  <si>
    <t>SUBTOTAL 5. MAMPOSTERÍA</t>
  </si>
  <si>
    <t>SUMINISTRO, FABRICACIÓN E INSTALACIÓN DE PERFIL PHR 355 × 110 × 2,5 mm O SIMILAR, CON CARACTERÍSTICAS Y CAPACIDAD ESTRUCTURAL IGUAL O SUPERIOR. INCLUYE SOLDADURA, PERFORACIONES, LIJADO, ANTICORROSIVO, PINTURA ESMALTE, ANDAMIOS, ANCLAJES Y TODO LO NECESARIO PARA SU CORRECTA INSTALACIÓN.</t>
  </si>
  <si>
    <t>SUMINISTRO E INSTALACIÓN DE TEMPLETE EN VARILLA ROSCADA DE 5/8". INCLUYE ARANDELAS, TUERCAS, TENSADO, PROTECCIÓN ANTICORROSIVA Y TODO LO NECESARIO PARA SU CORRECTA INSTALACIÓN.</t>
  </si>
  <si>
    <t>6.3</t>
  </si>
  <si>
    <t>SUMINISTRO E INSTALACIÓN DE CUBIERTA TERMOACÚSTICA TIPO SÁNDWICH EN ALUZINC DE 0,50 mm, CON AISLAMIENTO DE POLIURETANO DE 30 mm Y ACABADO AZUL COLONIAL. INCLUYE FIJACIONES, SELLOS, REMATES Y ACCESORIOS PARA SU CORRECTA INSTALACIÓN.</t>
  </si>
  <si>
    <t>SUBTOTAL 6. ESTRUCTURA DE CUBIERTA Y CUBIERTA</t>
  </si>
  <si>
    <t>7.1</t>
  </si>
  <si>
    <t>SUMINISTRO Y APLICACIÓN DE IMPERMEABILIZANTE ACRÍLICO TRANSITABLE TIPO SIKAFILL 12 O EQUIVALENTE, PARA CUBIERTA. INCLUYE PREPARACIÓN DE SUPERFICIE, IMPRIMACIÓN CUANDO APLIQUE Y APLICACIÓN SEGÚN RECOMENDACIONES DEL FABRICANTE.</t>
  </si>
  <si>
    <t>SUBTOTAL 7. IMPERMEABILIZACIONES</t>
  </si>
  <si>
    <t>8.1</t>
  </si>
  <si>
    <t>SALIDA PARA TOMACORRIENTE DOBLE DE 120 V, 15 A, COLOR BLANCO, EN TUBERÍA CONDUIT PVC SCH 40 Y CABLE N.° 12 AWG THHN/THWN. INCLUYE CAJAS, ACCESORIOS, CONECTORES Y PRUEBAS.</t>
  </si>
  <si>
    <t>8.2</t>
  </si>
  <si>
    <t>SALIDA PARA VENTILADOR DE TECHO EN TUBERÍA CONDUIT PVC SCH 40 Y CABLE N.° 12 AWG THHN/THWN. INCLUYE CAJAS, ACCESORIOS, CONECTORES Y PRUEBAS.</t>
  </si>
  <si>
    <t>8.3</t>
  </si>
  <si>
    <t>SALIDA PARA LUMINARIA DE TECHO EN TUBERÍA CONDUIT PVC SCH 40 Y CABLE N.° 12 AWG THHN/THWN. INCLUYE CAJAS, ACCESORIOS, CONECTORES Y PRUEBAS.</t>
  </si>
  <si>
    <t>8.4</t>
  </si>
  <si>
    <t>SUMINISTRO E INSTALACIÓN DE CABLEADO 2 × N.° 10 AWG + TIERRA, THHN/THWN, EN TUBERÍA EMT. INCLUYE ACCESORIOS, FIJACIONES, CONEXIONES Y PRUEBAS.</t>
  </si>
  <si>
    <t>8.5</t>
  </si>
  <si>
    <t>SUMINISTRO E INSTALACIÓN DE TABLERO MONOFÁSICO DE 4 CIRCUITOS, CON PUERTA, 220/127 V, 150 A. INCLUYE ROTULADO, ACCESORIOS, CONEXIONES Y PRUEBAS.</t>
  </si>
  <si>
    <t>8.6</t>
  </si>
  <si>
    <t>SUMINISTRO E INSTALACIÓN DE INTERRUPTOR TERMOMAGNÉTICO ENCHUFABLE 1 × 20 A, 10 kA. INCLUYE CONEXIÓN, ROTULADO Y PRUEBAS.</t>
  </si>
  <si>
    <t>8.7</t>
  </si>
  <si>
    <t>SUMINISTRO E INSTALACIÓN DE CABLE DE COBRE DESNUDO 2/0 AWG PARA PUESTA A TIERRA. INCLUYE FIJACIONES, CONEXIONES Y PRUEBAS.</t>
  </si>
  <si>
    <t>8.8</t>
  </si>
  <si>
    <t>SUMINISTRO E INSTALACIÓN DE VARILLA DE PUESTA A TIERRA DE 5/8" × 2,40 m. INCLUYE CONECTOR, EXCAVACIÓN PUNTUAL, RELLENO Y PRUEBAS.</t>
  </si>
  <si>
    <t>8.9</t>
  </si>
  <si>
    <t>SUMINISTRO Y EJECUCIÓN DE SOLDADURA EXOTÉRMICA DE 115 g PARA SISTEMA DE PUESTA A TIERRA. INCLUYE MOLDE, CARGA, PREPARACIÓN Y PRUEBAS.</t>
  </si>
  <si>
    <t>8.10</t>
  </si>
  <si>
    <t>SUMINISTRO, TRANSPORTE E INSTALACIÓN DE VENTILADOR INDUSTRIAL DE TECHO TIPO KDK O EQUIVALENTE, 142 cm, 3 ASPAS, 5 VELOCIDADES Y CAUDAL APROXIMADO DE 7.946 cfm. INCLUYE SOPORTE, CONEXIÓN Y PRUEBAS.</t>
  </si>
  <si>
    <t>8.11</t>
  </si>
  <si>
    <t>SUMINISTRO E INSTALACIÓN DE TUBERÍA EMT DE 3/4". INCLUYE UNIONES, CURVAS, CONECTORES, SOPORTES, FIJACIONES Y PRUEBAS.</t>
  </si>
  <si>
    <t>SUBTOTAL 8. INSTALACIONES ELÉCTRICAS</t>
  </si>
  <si>
    <t>9.1</t>
  </si>
  <si>
    <t>SUMINISTRO E INSTALACIÓN DE LUMINARIA TIPO PANEL LED DE 24 W, 120 V. INCLUYE SOPORTE, CONEXIÓN Y PRUEBAS.</t>
  </si>
  <si>
    <t>9.2</t>
  </si>
  <si>
    <t>SUMINISTRO, TRANSPORTE E INSTALACIÓN DE LUMINARIA TIPO TORTUGA LED PARA EXTERIOR. INCLUYE SOPORTE, CONEXIÓN, SELLO Y PRUEBAS.</t>
  </si>
  <si>
    <t>SUBTOTAL 9. ILUMINACIÓN</t>
  </si>
  <si>
    <t>10.1</t>
  </si>
  <si>
    <t>SUMINISTRO E INSTALACIÓN DE PUERTA METÁLICA DE 1,20 × 2,20 m, DOBLE LÁMINA COLD ROLLED CALIBRE 20, COLOR GRIS GRAFITO, TIPO BATIENTE, CON CHAPA DE PALANCA Y MANIJA EN ACERO INOXIDABLE. INCLUYE MARCO, ANCLAJES, PINTURA Y AJUSTES.</t>
  </si>
  <si>
    <t>SUBTOTAL 10. CARPINTERÍA METÁLICA</t>
  </si>
  <si>
    <t>11.1</t>
  </si>
  <si>
    <t>SUMINISTRO Y APLICACIÓN DE PINTURA ACRÍLICA SUPERLAVABLE E HIDRÓFUGA, TIPO KORAZA O SIMILAR, EN TRES MANOS. INCLUYE PREPARACIÓN DE SUPERFICIE, RESANES MENORES, PROTECCIÓN, LIMPIEZA Y TODO LO NECESARIO PARA SU CORRECTA EJECUCIÓN.</t>
  </si>
  <si>
    <t>SUBTOTAL 11. PINTURA</t>
  </si>
  <si>
    <t>12.1</t>
  </si>
  <si>
    <t>ASEO FINAL GENERAL. INCLUYE MANO DE OBRA, HERRAMIENTA MENOR, RECOLECCIÓN INTERNA DE RESIDUOS Y ENTREGA DEL ÁREA LIMPIA.</t>
  </si>
  <si>
    <t>SUBTOTAL 12. ASEO OBRA</t>
  </si>
  <si>
    <t>TOTAL COMPONENTE 1. CONSTRUCCIÓN DE AULA</t>
  </si>
  <si>
    <t>COMPONENTE 2. BATERÍA SANITARIA</t>
  </si>
  <si>
    <t>1.1</t>
  </si>
  <si>
    <t>LOCALIZACIÓN, TRAZADO Y REPLANTEO PARA BATERÍA SANITARIA. INCLUYE EQUIPO, DEMARCACIÓN, LIBRETAS, PLANOS Y TODO LO NECESARIO PARA SU CORRECTA EJECUCIÓN.</t>
  </si>
  <si>
    <t>2.1</t>
  </si>
  <si>
    <t>LLENO COMPACTADO CON MATERIAL SELECCIONADO PROVENIENTE DE LA EXCAVACIÓN. INCLUYE MANIPULACIÓN, TRASIEGO INTERNO, HUMECTACIÓN Y COMPACTACIÓN.</t>
  </si>
  <si>
    <t>2.2</t>
  </si>
  <si>
    <t>EXCAVACIÓN MANUAL EN MATERIAL COMÚN. INCLUYE CARGUE Y ACOPIO O TRASIEGO INTERNO. NO INCLUYE TRANSPORTE EXTERNO NI DISPOSICIÓN FINAL.</t>
  </si>
  <si>
    <t>SUBTOTAL 2. EXCAVACIONES Y LLENOS</t>
  </si>
  <si>
    <t>SUMINISTRO E INSTALACIÓN DE CONCRETO DE 21 MPa (3.000 PSI) PARA VIGAS DE CIMENTACIÓN. INCLUYE FORMALETA, VIBRADO Y CURADO. NO INCLUYE ACERO DE REFUERZO.</t>
  </si>
  <si>
    <t>SUMINISTRO E INSTALACIÓN DE CONCRETO DE 21 MPa (3.000 PSI) PARA COLUMNETAS DE CONFINAMIENTO DE 0,10 × 0,20 m. INCLUYE FORMALETA, VIBRADO Y CURADO. NO INCLUYE ACERO DE REFUERZO.</t>
  </si>
  <si>
    <t>3.3</t>
  </si>
  <si>
    <t>SUMINISTRO E INSTALACIÓN DE CONCRETO DE 21 MPa (3.000 PSI) PARA VIGA DE AMARRE DE 0,10 × 0,20 m. INCLUYE FORMALETA, VIBRADO Y CURADO. NO INCLUYE ACERO DE REFUERZO.</t>
  </si>
  <si>
    <t>3.4</t>
  </si>
  <si>
    <t>SUMINISTRO E INSTALACIÓN DE CONCRETO DE 21 MPa (3.000 PSI) PARA VIGA CINTA. INCLUYE FORMALETA, VIBRADO Y CURADO. NO INCLUYE ACERO DE REFUERZO.</t>
  </si>
  <si>
    <t>3.5</t>
  </si>
  <si>
    <t>SUMINISTRO E INSTALACIÓN DE CONCRETO DE 21 MPa (3.000 PSI) PARA ALFAJÍA. INCLUYE FORMALETA, ACABADO Y CURADO. NO INCLUYE ACERO DE REFUERZO.</t>
  </si>
  <si>
    <t>3.6</t>
  </si>
  <si>
    <t>CONSTRUCCIÓN DE PLACA DE CONTRAPISO DE 0,10 m EN CONCRETO DE 21 MPa (3.000 PSI). INCLUYE NIVELACIÓN, VIBRADO, CURADO Y ACABADO. NO INCLUYE ACERO DE REFUERZO.</t>
  </si>
  <si>
    <t>SUBTOTAL 3. CONCRETOS</t>
  </si>
  <si>
    <t>4.3</t>
  </si>
  <si>
    <t>SUBTOTAL 4. MAMPOSTERÍA</t>
  </si>
  <si>
    <t>5.1</t>
  </si>
  <si>
    <t>5.2</t>
  </si>
  <si>
    <t>SUMINISTRO E INSTALACIÓN DE LUMINARIA HERMÉTICA LED 2 × 18 W, CUERPO EN POLICARBONATO, APROXIMADAMENTE 2.100 lm POR TUBO, 6.500 K Y VIDA ÚTIL MÍNIMA DE 30.000 h, O EQUIVALENTE. INCLUYE SOPORTE, CONEXIÓN Y PRUEBAS.</t>
  </si>
  <si>
    <t>SUBTOTAL 5. INSTALACIONES ELÉCTRICAS</t>
  </si>
  <si>
    <t>6.1.1</t>
  </si>
  <si>
    <t>SUMINISTRO E INSTALACIÓN DE ACOMETIDA HIDRÁULICA EN TUBERÍA PVC DE 1/2". INCLUYE ACCESORIOS, FIJACIONES, PRUEBA HIDROSTÁTICA Y TODO LO NECESARIO PARA SU CORRECTO FUNCIONAMIENTO.</t>
  </si>
  <si>
    <t>6.1.2</t>
  </si>
  <si>
    <t>SUMINISTRO E INSTALACIÓN DE PUNTO HIDRÁULICO EN PVC DE 1/2". INCLUYE TUBERÍA, ACCESORIOS, FIJACIONES, PRUEBA HIDROSTÁTICA Y TODO LO NECESARIO PARA SU CORRECTO FUNCIONAMIENTO.</t>
  </si>
  <si>
    <t>6.1.3</t>
  </si>
  <si>
    <t>SUMINISTRO E INSTALACIÓN DE LLAVE DE PASO DE 1/2". INCLUYE ACCESORIOS, CONEXIONES Y PRUEBA DE FUNCIONAMIENTO.</t>
  </si>
  <si>
    <t>SUBTOTAL 6.1. INSTALACIONES HIDRÁULICAS</t>
  </si>
  <si>
    <t>6.2.1</t>
  </si>
  <si>
    <t>SUMINISTRO E INSTALACIÓN DE PUNTO SANITARIO EN PVC DE 4". INCLUYE TUBERÍA, ACCESORIOS, SOPORTES, SELLADO Y PRUEBAS.</t>
  </si>
  <si>
    <t>6.2.2</t>
  </si>
  <si>
    <t>SUMINISTRO E INSTALACIÓN DE PUNTO SANITARIO EN PVC DE 2". INCLUYE TUBERÍA, ACCESORIOS, SOPORTES, SELLADO Y PRUEBAS.</t>
  </si>
  <si>
    <t>6.2.3</t>
  </si>
  <si>
    <t>SUMINISTRO E INSTALACIÓN DE REJILLA DE PISO DE 2". INCLUYE SIFÓN O ADAPTADOR, SELLADO Y PRUEBAS.</t>
  </si>
  <si>
    <t>6.2.4</t>
  </si>
  <si>
    <t>CONSTRUCCIÓN DE MESÓN EN CONCRETO CON ENCHAPE CERÁMICO PARA LAVAMANOS. INCLUYE REFUERZO, FORMALETA, ACABADOS, CORTES, BOQUILLA Y SOPORTES.</t>
  </si>
  <si>
    <t>6.2.5</t>
  </si>
  <si>
    <t>SUMINISTRO E INSTALACIÓN DE ENCHAPE CERÁMICO PARA PARED, FORMATO SEGÚN PLANOS Y ESPECIFICACIONES. INCLUYE PEGANTE, BOQUILLA, CORTES Y LIMPIEZA.</t>
  </si>
  <si>
    <t>6.2.6</t>
  </si>
  <si>
    <t>SUMINISTRO E INSTALACIÓN DE ENCHAPE CERÁMICO ANTIDESLIZANTE PARA PISO DE BAÑO. INCLUYE PEGANTE, BOQUILLA, CORTES Y LIMPIEZA.</t>
  </si>
  <si>
    <t>6.2.7</t>
  </si>
  <si>
    <t>SUMINISTRO E INSTALACIÓN DE ESPEJO EN CRISTAL DE 4 mm. INCLUYE PULIDO DE BORDES, SOPORTES, ANCLAJES Y SELLADO.</t>
  </si>
  <si>
    <t>6.2.8</t>
  </si>
  <si>
    <t>SUMINISTRO E INSTALACIÓN DE SANITARIO TIPO ACUAPLUS CORONA O EQUIVALENTE, COLOR BLANCO. INCLUYE ACCESORIOS, SELLOS, CONEXIONES Y PRUEBAS.</t>
  </si>
  <si>
    <t>6.2.8.1</t>
  </si>
  <si>
    <t>SUMINISTRO E INSTALACIÓN DE ORINAL MEDIANO TIPO CORONA O EQUIVALENTE, CON GRIFERÍA ANTIVANDÁLICA. INCLUYE ACCESORIOS, SELLOS, CONEXIONES Y PRUEBAS.</t>
  </si>
  <si>
    <t>6.2.9</t>
  </si>
  <si>
    <t>SUMINISTRO E INSTALACIÓN DE LAVAMANOS DE COLGAR TIPO MILANO CORONA O EQUIVALENTE, COLOR BLANCO. INCLUYE GRIFERÍA, SIFÓN, ACCESORIOS, CONEXIONES Y PRUEBAS.</t>
  </si>
  <si>
    <t>6.2.10</t>
  </si>
  <si>
    <t>SUMINISTRO E INSTALACIÓN DE PAPELERA PLÁSTICA TIPO RIMAX O EQUIVALENTE.</t>
  </si>
  <si>
    <t>6.2.11</t>
  </si>
  <si>
    <t>SUMINISTRO E INSTALACIÓN DE TANQUE SÉPTICO TIPO IMHOFF INTEGRADO HORIZONTAL DE 2.000 L. INCLUYE CONEXIONES INMEDIATAS Y PUESTA EN FUNCIONAMIENTO. NO INCLUYE EXCAVACIÓN, RELLENOS, TUBERÍAS EXTERNAS NI CAJAS, PAGADOS EN ÍTEMS SEPARADOS.</t>
  </si>
  <si>
    <t>6.2.12</t>
  </si>
  <si>
    <t>CONSTRUCCIÓN DE CAJA DE INSPECCIÓN DE 0,60 × 0,60 m EN CONCRETO. INCLUYE EXCAVACIÓN PUNTUAL, BASE, MUROS, TAPA, ACABADO INTERIOR Y CONEXIONES.</t>
  </si>
  <si>
    <t>6.2.13</t>
  </si>
  <si>
    <t>SUMINISTRO, TRANSPORTE E INSTALACIÓN DE TUBERÍA PVC SANITARIA DE 4". INCLUYE ACCESORIOS, SOPORTES, SEÑALIZACIÓN, SELLADO Y PRUEBAS.</t>
  </si>
  <si>
    <t>SUBTOTAL 6.2. INSTALACIONES SANITARIAS Y APARATOS</t>
  </si>
  <si>
    <t>SUMINISTRO E INSTALACIÓN DE PUERTA METÁLICA DE 1,00 × 2,20 m EN LÁMINA CALIBRE 20. INCLUYE MARCO, CERRADURA, ANCLAJES, PINTURA Y AJUSTES.</t>
  </si>
  <si>
    <t>7.2</t>
  </si>
  <si>
    <t>SUMINISTRO E INSTALACIÓN DE VENTANA EN ALUMINIO SERIE 3038 Y VIDRIO. INCLUYE MARCO, ANCLAJES, SELLOS Y AJUSTES.</t>
  </si>
  <si>
    <t>SUBTOTAL 7. CARPINTERÍA METÁLICA</t>
  </si>
  <si>
    <t>SUMINISTRO Y APLICACIÓN DE PINTURA ACRÍLICA SUPERLAVABLE E HIDRÓFUGA, TIPO KORAZA O SIMILAR, EN TRES MANOS. INCLUYE PREPARACIÓN DE SUPERFICIE, RESANES MENORES, PROTECCIÓN Y LIMPIEZA.</t>
  </si>
  <si>
    <t>SUMINISTRO Y APLICACIÓN DE PINTURA ESMALTE PARA REJAS Y ELEMENTOS METÁLICOS EXISTENTES. INCLUYE LIMPIEZA, LIJADO, ANTICORROSIVO Y DOS MANOS DE ACABADO.</t>
  </si>
  <si>
    <t>SUBTOTAL 8. PINTURA</t>
  </si>
  <si>
    <t>SUMINISTRO, FABRICACIÓN E INSTALACIÓN DE PERFIL PTE 200 × 70 × 4 mm. INCLUYE SOLDADURA, PERFORACIONES, LIJADO, ANTICORROSIVO, PINTURA ESMALTE, ANDAMIOS, ANCLAJES Y TODO LO NECESARIO PARA SU CORRECTA INSTALACIÓN.</t>
  </si>
  <si>
    <t>9.3</t>
  </si>
  <si>
    <t>SUMINISTRO, FABRICACIÓN E INSTALACIÓN DE PERFIL C 50 × 150 × 2 mm PARA CORREAS. INCLUYE SOLDADURA, PERFORACIONES, LIJADO, ANTICORROSIVO, PINTURA ESMALTE, ANDAMIOS, ANCLAJES Y TODO LO NECESARIO PARA SU CORRECTA INSTALACIÓN.</t>
  </si>
  <si>
    <t>SUBTOTAL 9. CUBIERTA</t>
  </si>
  <si>
    <t>TOTAL COMPONENTE 2. BATERÍA SANITARIA</t>
  </si>
  <si>
    <t>COSTO DIRECTO</t>
  </si>
  <si>
    <t>COSTO DIRECTO CORREGIDO</t>
  </si>
  <si>
    <t>MEMORIAS DE CANTIDADES CONSOLIDADAS</t>
  </si>
  <si>
    <t>C1-1.1.1</t>
  </si>
  <si>
    <t>N.°</t>
  </si>
  <si>
    <t>DETALLE</t>
  </si>
  <si>
    <t>LONGITUD</t>
  </si>
  <si>
    <t>ANCHO</t>
  </si>
  <si>
    <t>ALTO / ESPESOR</t>
  </si>
  <si>
    <t>VECES / CANTIDAD</t>
  </si>
  <si>
    <t>PARCIAL</t>
  </si>
  <si>
    <t>aula</t>
  </si>
  <si>
    <t>CANTIDAD TOTAL DE LA MEMORIA</t>
  </si>
  <si>
    <t>C1-1.1.2</t>
  </si>
  <si>
    <t>Lado 1</t>
  </si>
  <si>
    <t>Lado 2</t>
  </si>
  <si>
    <t>C1-2.1.1</t>
  </si>
  <si>
    <t>Excavación de zapatas de 1,40 × 1,40 × 1,00 m</t>
  </si>
  <si>
    <t>Zanja: eje 8,00 m menos zapata; sección de viga</t>
  </si>
  <si>
    <t>Zanja: eje 8,20 m menos zapata; sección de viga</t>
  </si>
  <si>
    <t>Excavación lineal de 44,83 m, sección 0,20 × 0,20 m</t>
  </si>
  <si>
    <t>Excavación de caja de 8,00 × 8,00 × 2,00 m</t>
  </si>
  <si>
    <t>C1-2.2.3</t>
  </si>
  <si>
    <t>Lleno sobre área de 125,00 m², espesor 0,20 m</t>
  </si>
  <si>
    <t>Lleno en sector de 5,00 × 12,00 × 1,00 m</t>
  </si>
  <si>
    <t>C1-2.3.1</t>
  </si>
  <si>
    <t>Solado para 8 zapatas de 1,20 × 1,20 m</t>
  </si>
  <si>
    <t>Franja de solado: tramo de 3,42 m × 0,30 m</t>
  </si>
  <si>
    <t>Franja de solado: tramo de 3,62 m × 0,30 m</t>
  </si>
  <si>
    <t>Franja de solado: tramo de 4,25 m × 0,30 m</t>
  </si>
  <si>
    <t>Franja de solado: tramo de 2,95 m × 0,30 m</t>
  </si>
  <si>
    <t>C1-2.3.2</t>
  </si>
  <si>
    <t>Zapatas de 1,40 × 1,40 × 0,30 m</t>
  </si>
  <si>
    <t>C1-2.3.3</t>
  </si>
  <si>
    <t>Columnas de 5,38 m, sección 0,40 × 0,40 m</t>
  </si>
  <si>
    <t>Columnas de 4,12 m, sección 0,40 × 0,40 m</t>
  </si>
  <si>
    <t>C1-2.3.4</t>
  </si>
  <si>
    <t>Viga de cimentación: tramos de 7,90 m, sección 0,40 × 0,45 m</t>
  </si>
  <si>
    <t>Viga de cimentación: tramos de 8,10 m, sección 0,40 × 0,45 m</t>
  </si>
  <si>
    <t>C1-2.3.5</t>
  </si>
  <si>
    <t>Viga de andén de 45,00 m, sección 0,20 × 0,20 m</t>
  </si>
  <si>
    <t>C1-2.3.6</t>
  </si>
  <si>
    <t>Viga de amarre: tramos de 8,00 m, sección 0,40 × 0,40 m</t>
  </si>
  <si>
    <t>Viga de amarre: tramos de 10,70 m, sección 0,40 × 0,40 m</t>
  </si>
  <si>
    <t>C1-2.3.7</t>
  </si>
  <si>
    <t>Viga cinta: tramos de 8,55 m, sección 0,20 × 0,12 m</t>
  </si>
  <si>
    <t>Viga cinta: tramos de 8,60 m, sección 0,20 × 0,12 m</t>
  </si>
  <si>
    <t>C1-2.3.8</t>
  </si>
  <si>
    <t>Viga de borde de 8,20 m, sección 0,25 × 0,45 m</t>
  </si>
  <si>
    <t>C1-2.3.9</t>
  </si>
  <si>
    <t>Mojinetes o cuchillas: 6,24 m × 0,12 m × 2 unidades</t>
  </si>
  <si>
    <t>C1-2.3.10</t>
  </si>
  <si>
    <t>C1-2.3.11</t>
  </si>
  <si>
    <t>Placa de fachada: 12,60×2,00 m; espesor 0,15 m</t>
  </si>
  <si>
    <t>C1-2.3.12</t>
  </si>
  <si>
    <t>Bordillo: 11,32 m × 2 tramos; sección 0,10×0,30 m confirmada por responsable</t>
  </si>
  <si>
    <t>C1-2.3.13</t>
  </si>
  <si>
    <t>Cuneta U: 22 m; interior 0,30×0,05 m; paredes/base 0,08 m. Sección neta = 0,46×0,13 − 0,30×0,05</t>
  </si>
  <si>
    <t>C1-2.3.14</t>
  </si>
  <si>
    <t>losa de concreto</t>
  </si>
  <si>
    <t>C1-2.3.14.1.1</t>
  </si>
  <si>
    <t>C1-2.3.14.1.2</t>
  </si>
  <si>
    <t>Solado de zapata corrida: 15,00×1,40 m; espesor 0,05 m; dimensiones aclaradas por responsable</t>
  </si>
  <si>
    <t>C1-2.3.14.1.3</t>
  </si>
  <si>
    <t>Zapata corrida de muro: largo 15,00 m × ancho 1,40 m × espesor 0,45 m; una unidad, según aclaración del responsable</t>
  </si>
  <si>
    <t>C1-2.3.14.1.4</t>
  </si>
  <si>
    <t>Fuste trapezoidal: largo 15,00 m × espesor promedio (0,45+0,25)/2 m × alto 2,55 m; una unidad</t>
  </si>
  <si>
    <t>C1-3.1</t>
  </si>
  <si>
    <t>Aula</t>
  </si>
  <si>
    <t>C1-3.2</t>
  </si>
  <si>
    <t>corredores</t>
  </si>
  <si>
    <t>C1-4.1</t>
  </si>
  <si>
    <t>ALTO / kg/m</t>
  </si>
  <si>
    <t>VECES / FACTOR</t>
  </si>
  <si>
    <t>Acero base consignado en el cálculo recibido</t>
  </si>
  <si>
    <t>Refuerzo de zapatas: volumen del ítem 2.3.14.1.3 × 100 kg/m³</t>
  </si>
  <si>
    <t>Refuerzo de fustes: volumen del ítem 2.3.14.1.4 × 100 kg/m³</t>
  </si>
  <si>
    <t>Estribos adicionales #3: vigas y columnas</t>
  </si>
  <si>
    <t>Ganchos adicionales #3: V-201 y V-202</t>
  </si>
  <si>
    <t>C1-4.2</t>
  </si>
  <si>
    <t>piso</t>
  </si>
  <si>
    <t>C1-5.1.1</t>
  </si>
  <si>
    <t>C1-5.1.2</t>
  </si>
  <si>
    <t>lado 1</t>
  </si>
  <si>
    <t>lado 2</t>
  </si>
  <si>
    <t xml:space="preserve">descuento ventana </t>
  </si>
  <si>
    <t>descuento puerta</t>
  </si>
  <si>
    <t>C1-5.1.3</t>
  </si>
  <si>
    <t>Ventana</t>
  </si>
  <si>
    <t>C1-5.1.4</t>
  </si>
  <si>
    <t>C1-5.1.5</t>
  </si>
  <si>
    <t>Pañete sobre el muro del ítem 5.1.2, aplicado en dos caras</t>
  </si>
  <si>
    <t>C1-6.1</t>
  </si>
  <si>
    <t>FACTOR (kg/m)</t>
  </si>
  <si>
    <t>Perfiles base de cubierta</t>
  </si>
  <si>
    <t>Perfil central doble: 2 PHR 355 × 110 × 25 × 2,5 mm</t>
  </si>
  <si>
    <t>C1-6.2</t>
  </si>
  <si>
    <t>Templetes de 2,70 m</t>
  </si>
  <si>
    <t>C1-6.3</t>
  </si>
  <si>
    <t>cubierta</t>
  </si>
  <si>
    <t>C1-7.1</t>
  </si>
  <si>
    <t>C1-8.1</t>
  </si>
  <si>
    <t>Tomas aulas</t>
  </si>
  <si>
    <t>C1-8.2</t>
  </si>
  <si>
    <t>Ventiladores aulas</t>
  </si>
  <si>
    <t>C1-8.3</t>
  </si>
  <si>
    <t>Iluminacion aula</t>
  </si>
  <si>
    <t>C1-8.4</t>
  </si>
  <si>
    <t>Acometida</t>
  </si>
  <si>
    <t>C1-8.5</t>
  </si>
  <si>
    <t>C1-8.6</t>
  </si>
  <si>
    <t>Breakers</t>
  </si>
  <si>
    <t>C1-8.7</t>
  </si>
  <si>
    <t>puesta a tierra</t>
  </si>
  <si>
    <t>C1-8.8</t>
  </si>
  <si>
    <t>Puesta a tierra</t>
  </si>
  <si>
    <t>C1-8.9</t>
  </si>
  <si>
    <t>C1-8.10</t>
  </si>
  <si>
    <t>Ventiladores</t>
  </si>
  <si>
    <t>C1-8.11</t>
  </si>
  <si>
    <t>C1-9.1</t>
  </si>
  <si>
    <t>Lamparas</t>
  </si>
  <si>
    <t>C1-9.2</t>
  </si>
  <si>
    <t>C1-10.1</t>
  </si>
  <si>
    <t>Puerta metálica de 1,20 × 2,20 m</t>
  </si>
  <si>
    <t>C1-11.1</t>
  </si>
  <si>
    <t>C1-12.1</t>
  </si>
  <si>
    <t>C2-1.1</t>
  </si>
  <si>
    <t>C2-2.1</t>
  </si>
  <si>
    <t>Lleno en área de 3,58 × 5,01 m, espesor 0,30 m</t>
  </si>
  <si>
    <t>C2-2.2</t>
  </si>
  <si>
    <t>Tramos de excavación de 3,58 m, sección 0,30 × 0,40 m</t>
  </si>
  <si>
    <t>Tramos de excavación de 1,20 m, sección 0,30 × 0,40 m</t>
  </si>
  <si>
    <t>Tramos de excavación de 1,84 m, sección 0,30 × 0,40 m</t>
  </si>
  <si>
    <t>Tramos de excavación de 5,01 m, sección 0,30 × 0,40 m</t>
  </si>
  <si>
    <t>C2-3.1</t>
  </si>
  <si>
    <t>Viga de cimentación de 3,58 m, sección 0,30 × 0,30 m</t>
  </si>
  <si>
    <t>Viga de cimentación de 1,20 m, sección 0,30 × 0,30 m</t>
  </si>
  <si>
    <t>Viga de cimentación de 1,84 m, sección 0,30 × 0,30 m</t>
  </si>
  <si>
    <t>Viga de cimentación de 5,01 m, sección 0,30 × 0,30 m</t>
  </si>
  <si>
    <t>C2-3.2</t>
  </si>
  <si>
    <t>Columnetas de confinamiento de 2,94 m</t>
  </si>
  <si>
    <t>Columnetas de confinamiento de 3,28 m</t>
  </si>
  <si>
    <t>C2-3.3</t>
  </si>
  <si>
    <t>Viga de amarre: tramos de 3,58 m</t>
  </si>
  <si>
    <t>Viga de amarre: tramos de 1,20 m</t>
  </si>
  <si>
    <t>Viga de amarre: tramos de 1,84 m</t>
  </si>
  <si>
    <t>Viga de amarre: tramos de 5,01 m</t>
  </si>
  <si>
    <t>C2-3.4</t>
  </si>
  <si>
    <t>Tramo / elemento 1</t>
  </si>
  <si>
    <t>Tramo / elemento 2</t>
  </si>
  <si>
    <t>Tramo / elemento 3</t>
  </si>
  <si>
    <t>Tramo / elemento 4</t>
  </si>
  <si>
    <t>Tramo / elemento 5</t>
  </si>
  <si>
    <t>C2-3.5</t>
  </si>
  <si>
    <t>C2-3.6</t>
  </si>
  <si>
    <t>Placa de contrapiso de 3,58 × 5,01 m</t>
  </si>
  <si>
    <t>C2-4.1</t>
  </si>
  <si>
    <t>Tramos de muro de 1,20 m considerados en ambas caras</t>
  </si>
  <si>
    <t>Tramos de muro de 1,30 m considerados en ambas caras</t>
  </si>
  <si>
    <t>Paño de 3,58 m con altura promedio (3,08 + 2,38) / 2</t>
  </si>
  <si>
    <t>Área neta adicional: 17,00 − (3,00 + 3,20)</t>
  </si>
  <si>
    <t>Área adicional consignada en el cálculo recibido</t>
  </si>
  <si>
    <t>C2-4.2</t>
  </si>
  <si>
    <t>Fachada</t>
  </si>
  <si>
    <t>C2-4.3</t>
  </si>
  <si>
    <t>C2-5.1</t>
  </si>
  <si>
    <t>Lamparas baños</t>
  </si>
  <si>
    <t>C2-5.2</t>
  </si>
  <si>
    <t>Lamparas corredor</t>
  </si>
  <si>
    <t>C2-6.1.1</t>
  </si>
  <si>
    <t>Baños</t>
  </si>
  <si>
    <t>C2-6.1.2</t>
  </si>
  <si>
    <t>Salida baños</t>
  </si>
  <si>
    <t>C2-6.1.3</t>
  </si>
  <si>
    <t>Baños hombres y mujeres</t>
  </si>
  <si>
    <t>C2-6.2.1</t>
  </si>
  <si>
    <t>Sanitarios</t>
  </si>
  <si>
    <t>C2-6.2.2</t>
  </si>
  <si>
    <t>Lavamanos y rejillas de piso</t>
  </si>
  <si>
    <t>C2-6.2.3</t>
  </si>
  <si>
    <t>Rejillas de piso</t>
  </si>
  <si>
    <t>C2-6.2.4</t>
  </si>
  <si>
    <t>Meson lavamanos</t>
  </si>
  <si>
    <t>C2-6.2.5</t>
  </si>
  <si>
    <t>Enchape muro altura 1,20</t>
  </si>
  <si>
    <t>C2-6.2.6</t>
  </si>
  <si>
    <t>Enchape de piso: 8,10 × 2,00 m</t>
  </si>
  <si>
    <t>C2-6.2.7</t>
  </si>
  <si>
    <t>Espejos de 1,00 × 0,70 m</t>
  </si>
  <si>
    <t>C2-6.2.8</t>
  </si>
  <si>
    <t>C2-6.2.8.1</t>
  </si>
  <si>
    <t>Orinal</t>
  </si>
  <si>
    <t>C2-6.2.9</t>
  </si>
  <si>
    <t>Lavamanos</t>
  </si>
  <si>
    <t>C2-6.2.10</t>
  </si>
  <si>
    <t>C2-6.2.11</t>
  </si>
  <si>
    <t>Poso Septico</t>
  </si>
  <si>
    <t>C2-6.2.12</t>
  </si>
  <si>
    <t>Caja pozo</t>
  </si>
  <si>
    <t>C2-6.2.13</t>
  </si>
  <si>
    <t>C2-7.1</t>
  </si>
  <si>
    <t>Puertas baños</t>
  </si>
  <si>
    <t>C2-7.2</t>
  </si>
  <si>
    <t>C2-8.1</t>
  </si>
  <si>
    <t>Área total del muro del ítem C2-4.1, considerada en dos caras</t>
  </si>
  <si>
    <t>Menos el área de enchape del ítem C2-6.2.5</t>
  </si>
  <si>
    <t>C2-8.2</t>
  </si>
  <si>
    <t>Ventanas y puertas</t>
  </si>
  <si>
    <t>C2-9.1</t>
  </si>
  <si>
    <t>C2-9.2</t>
  </si>
  <si>
    <t>Perfil PTE 200 × 70 × 4 mm: longitud × cantidad × peso unitario</t>
  </si>
  <si>
    <t>Perfil central adicional PTE 200 × 70 × 4 mm</t>
  </si>
  <si>
    <t>C2-9.3</t>
  </si>
  <si>
    <t>Perfil C 50 × 150 × 2 mm: longitud × cantidad × peso unitario</t>
  </si>
  <si>
    <t>ANÁLISIS DE PRECIOS UNITARIOS CONSOLIDADOS</t>
  </si>
  <si>
    <t>TIPO</t>
  </si>
  <si>
    <t>CÓDIGO</t>
  </si>
  <si>
    <t>TARIFA / BASE</t>
  </si>
  <si>
    <t>CONSUMO</t>
  </si>
  <si>
    <t>EQUIPO Y HERRAMIENTAS</t>
  </si>
  <si>
    <t>EQUIPO</t>
  </si>
  <si>
    <t>EQ-002</t>
  </si>
  <si>
    <t>Escalera Tijera Aluminio 2m (7 peldaños)</t>
  </si>
  <si>
    <t>día</t>
  </si>
  <si>
    <t>AUTO</t>
  </si>
  <si>
    <t>HERRAMIENTA MENOR (5 % DE MANO DE OBRA)</t>
  </si>
  <si>
    <t>%</t>
  </si>
  <si>
    <t>SUBTOTAL EQUIPO Y HERRAMIENTAS</t>
  </si>
  <si>
    <t>MATERIALES</t>
  </si>
  <si>
    <t>MATERIAL</t>
  </si>
  <si>
    <t>MAT-006</t>
  </si>
  <si>
    <t>DURMIENTE</t>
  </si>
  <si>
    <t>MAT-007</t>
  </si>
  <si>
    <t>ESMALTE PINTULUX DE PINTUCO</t>
  </si>
  <si>
    <t>gal</t>
  </si>
  <si>
    <t>MAT-008</t>
  </si>
  <si>
    <t>PUNTILLA CON CABEZA 2 1/2"</t>
  </si>
  <si>
    <t>lb</t>
  </si>
  <si>
    <t>MAT-009</t>
  </si>
  <si>
    <t>DISOLVENTE THINNER</t>
  </si>
  <si>
    <t>SUBTOTAL MATERIALES</t>
  </si>
  <si>
    <t>MANO DE OBRA</t>
  </si>
  <si>
    <t>MO-003</t>
  </si>
  <si>
    <t>TOPOGRAFO</t>
  </si>
  <si>
    <t>MO-004</t>
  </si>
  <si>
    <t>CADENERO</t>
  </si>
  <si>
    <t>MO-005</t>
  </si>
  <si>
    <t>AYUDANTE</t>
  </si>
  <si>
    <t>SUBTOTAL MANO DE OBRA</t>
  </si>
  <si>
    <t>TOTAL COSTO DIRECTO APROXIMADO AL PESO</t>
  </si>
  <si>
    <t>MAT-010</t>
  </si>
  <si>
    <t>LISTON ORDINARIO 3 X 3</t>
  </si>
  <si>
    <t>MAT-011</t>
  </si>
  <si>
    <t>TELA VERDE DE CERRAMIENTO H:2.00m</t>
  </si>
  <si>
    <t>MO-006</t>
  </si>
  <si>
    <t>OFICIAL</t>
  </si>
  <si>
    <t>EQ-003</t>
  </si>
  <si>
    <t>BENITIN (Vibrocompactador Monocilindro)</t>
  </si>
  <si>
    <t>EQ-004</t>
  </si>
  <si>
    <t>MEZCLADORA ELECT/GASOLINA 2BT</t>
  </si>
  <si>
    <t>APA-04</t>
  </si>
  <si>
    <t>CONCRETO DE 2000 PSI</t>
  </si>
  <si>
    <t>CANT. / PROD.</t>
  </si>
  <si>
    <t>APA-06</t>
  </si>
  <si>
    <t>CONCRETO 3000 PSI</t>
  </si>
  <si>
    <t>MAT-012</t>
  </si>
  <si>
    <t>TABLA DE MADERA ORDINARIA PARA FORMALETA 3 m × 0,30 m × 0,02 m; TARIFA POR m LINEAL; CONSUMO NETO CON DOS USOS</t>
  </si>
  <si>
    <t>m lineal</t>
  </si>
  <si>
    <t>MAT-013</t>
  </si>
  <si>
    <t>PUNTILLA CON CABEZA 2"</t>
  </si>
  <si>
    <t>MAT-014</t>
  </si>
  <si>
    <t>VARA DE CLAVO</t>
  </si>
  <si>
    <t>MAT-015</t>
  </si>
  <si>
    <t>ALAMBRE NEGRO No.18 PARA AMARRE DE FORMALETA DE MADERA</t>
  </si>
  <si>
    <t>LISTON ORDINARIO 3 X 3 PARA SOPORTE DE FORMALETA DE MADERA</t>
  </si>
  <si>
    <t>MAT-016</t>
  </si>
  <si>
    <t>REPISA ORDINARIO 3M</t>
  </si>
  <si>
    <t>MAT-017</t>
  </si>
  <si>
    <t>POLIETILENO (PLASTICO) NEGRO CAL. 4 ANCHO 4 M</t>
  </si>
  <si>
    <t>EQ-005</t>
  </si>
  <si>
    <t>BANCA</t>
  </si>
  <si>
    <t>MAT-018</t>
  </si>
  <si>
    <t>GARGOLA PREFABRICADA</t>
  </si>
  <si>
    <t>MAT-019</t>
  </si>
  <si>
    <t>PISO EN CERAMICA 40X40 TIPO FORTE TRAFICO 5</t>
  </si>
  <si>
    <t>MAT-020</t>
  </si>
  <si>
    <t>PEGACOR</t>
  </si>
  <si>
    <t>MAT-021</t>
  </si>
  <si>
    <t>BOQUILLA PARA CERAMICA</t>
  </si>
  <si>
    <t>MAT-022</t>
  </si>
  <si>
    <t>ACERO COR/FIG 60000 PSI</t>
  </si>
  <si>
    <t>ALAMBRE NEGRO No.18</t>
  </si>
  <si>
    <t>MAT-023</t>
  </si>
  <si>
    <t>SEGUETA</t>
  </si>
  <si>
    <t>MAT-024</t>
  </si>
  <si>
    <t>MALLA ELECTROSOLDADA ESTANDAR</t>
  </si>
  <si>
    <t>MAT-025</t>
  </si>
  <si>
    <t>BLOQUE CONCRETO 15X19X39 REVIT 2 CAR</t>
  </si>
  <si>
    <t>APA-03</t>
  </si>
  <si>
    <t>MORTERO 1:3</t>
  </si>
  <si>
    <t>MAT-026</t>
  </si>
  <si>
    <t>BLOQUE N°3 ESTRIADO 0,9X0,37X19</t>
  </si>
  <si>
    <t>MAT-027</t>
  </si>
  <si>
    <t>TABLA BURRA ORDINARIO 0.25</t>
  </si>
  <si>
    <t>APA-02</t>
  </si>
  <si>
    <t>MORTERO 1:4 IMPERMEABILIZADO</t>
  </si>
  <si>
    <t>MAT-028</t>
  </si>
  <si>
    <t>CALADO DE ARCILLA 10X20X20</t>
  </si>
  <si>
    <t>EQ-006</t>
  </si>
  <si>
    <t>CORTADORA</t>
  </si>
  <si>
    <t>MAT-106</t>
  </si>
  <si>
    <t>PERFIL PHR C 355 × 110 × 25 mm, ESPESOR 2,5 mm</t>
  </si>
  <si>
    <t>MAT-030</t>
  </si>
  <si>
    <t>SOLDADURA ELECTRICA DE 3/32" 68 BARRAS X KG</t>
  </si>
  <si>
    <t>MAT-031</t>
  </si>
  <si>
    <t>MAT-032</t>
  </si>
  <si>
    <t>LIJA AGUA #150 PREMIER</t>
  </si>
  <si>
    <t>MAT-033</t>
  </si>
  <si>
    <t>ANTICORROSIVO ROJO</t>
  </si>
  <si>
    <t>MO-007</t>
  </si>
  <si>
    <t>OFICIAL ESPECIALIZADO CERTIFICADO PARA TRABAJO EN ALTURAS</t>
  </si>
  <si>
    <t>MO-008</t>
  </si>
  <si>
    <t>AYUDANTE CERTIFICADO PARA TRABAJO EN ALTURAS</t>
  </si>
  <si>
    <t>EQ-007</t>
  </si>
  <si>
    <t>TALADRO INCLUYE BROCA</t>
  </si>
  <si>
    <t>MAT-034</t>
  </si>
  <si>
    <t>varilla roscada 5/8"</t>
  </si>
  <si>
    <t>MAT-035</t>
  </si>
  <si>
    <t>varilla 5/8" lisa</t>
  </si>
  <si>
    <t>MAT-036</t>
  </si>
  <si>
    <t>CUBIERTA SÁNDWICH ALUZINC 0,50 mm, POLIURETANO 30 mm, AZUL COLONIAL; MÓDULO 0,525 × 6 m</t>
  </si>
  <si>
    <t>SUBTOTAL MATERIALES Y TRANSPORTE</t>
  </si>
  <si>
    <t>MAT-037</t>
  </si>
  <si>
    <t>impermeabilizante poliuretano tansitable topo sika fill 12 años acrilico para cubierta</t>
  </si>
  <si>
    <t>EQ-008</t>
  </si>
  <si>
    <t>Pinza voltiamperimetrica</t>
  </si>
  <si>
    <t>MAT-038</t>
  </si>
  <si>
    <t>CAJA OCTAGONAL</t>
  </si>
  <si>
    <t>MAT-039</t>
  </si>
  <si>
    <t>TUBO Conduit PVC 1/2"</t>
  </si>
  <si>
    <t>MAT-040</t>
  </si>
  <si>
    <t>CINTA AISLANTE</t>
  </si>
  <si>
    <t>MAT-041</t>
  </si>
  <si>
    <t>Cable AWG-THW No. 12</t>
  </si>
  <si>
    <t>MAT-042</t>
  </si>
  <si>
    <t>Adaptador PVC 1/2"</t>
  </si>
  <si>
    <t>MAT-043</t>
  </si>
  <si>
    <t>Curva PVC 1/2"</t>
  </si>
  <si>
    <t>MAT-044</t>
  </si>
  <si>
    <t>Caja PVC 4"x4"</t>
  </si>
  <si>
    <t>MAT-045</t>
  </si>
  <si>
    <t>Tapa Fluxe</t>
  </si>
  <si>
    <t>MAT-046</t>
  </si>
  <si>
    <t>Tapa ciega PVC para caja 4x4</t>
  </si>
  <si>
    <t>MAT-047</t>
  </si>
  <si>
    <t>Conector derivación 10-12</t>
  </si>
  <si>
    <t>MAT-048</t>
  </si>
  <si>
    <t>Tomacorriente doble polo a tierra (2P+T), 15A, 125V (LEGRAN)</t>
  </si>
  <si>
    <t>MAT-049</t>
  </si>
  <si>
    <t>Soldadura PVC conduit Pavco 1/8 galon</t>
  </si>
  <si>
    <t>MAT-050</t>
  </si>
  <si>
    <t>Accesorios de fijación</t>
  </si>
  <si>
    <t>MO-009</t>
  </si>
  <si>
    <t>OFICIAL ELÉCTRICO</t>
  </si>
  <si>
    <t>MO-010</t>
  </si>
  <si>
    <t>AYUDANTE ELÉCTRICO</t>
  </si>
  <si>
    <t>TRANSPORTE</t>
  </si>
  <si>
    <t>TR-004</t>
  </si>
  <si>
    <t>Vehículo transporte personal</t>
  </si>
  <si>
    <t>SUBTOTAL TRANSPORTE</t>
  </si>
  <si>
    <t>MAT-051</t>
  </si>
  <si>
    <t>CABLE DE COBRE ENCAUCHETADO 3X14 AWG</t>
  </si>
  <si>
    <t>MAT-052</t>
  </si>
  <si>
    <t>CURVA SCH 40 CONDUIT 1/2"</t>
  </si>
  <si>
    <t>MAT-053</t>
  </si>
  <si>
    <t>TUBO CONDUIT SCH 40 C 1/2"</t>
  </si>
  <si>
    <t>MAT-054</t>
  </si>
  <si>
    <t>IMNTERRUPTOR DOBLE AMBIA (LEGRAN)</t>
  </si>
  <si>
    <t>TR-005</t>
  </si>
  <si>
    <t>Camión pequeño (1-3.5 Ton)</t>
  </si>
  <si>
    <t>TR-006</t>
  </si>
  <si>
    <t>Tractomula</t>
  </si>
  <si>
    <t>EQ-009</t>
  </si>
  <si>
    <t>Pala-cuchara</t>
  </si>
  <si>
    <t>EQ-010</t>
  </si>
  <si>
    <t>Pico y Pala</t>
  </si>
  <si>
    <t>MAT-055</t>
  </si>
  <si>
    <t>Cable THHN No. 8 CENTELSA</t>
  </si>
  <si>
    <t>MAT-056</t>
  </si>
  <si>
    <t>Cable THHN No. 10 CENTELSA</t>
  </si>
  <si>
    <t>MAT-057</t>
  </si>
  <si>
    <t>Terminales de cobre estañado cable No 8</t>
  </si>
  <si>
    <t>MAT-058</t>
  </si>
  <si>
    <t>Terminales de cobre estañado cable No 10</t>
  </si>
  <si>
    <t>MAT-059</t>
  </si>
  <si>
    <t>ADAPTADOR CONDUIT PVC 1" PVC</t>
  </si>
  <si>
    <t>MAT-060</t>
  </si>
  <si>
    <t>TUBO CONDUIT DE 1" PVC</t>
  </si>
  <si>
    <t>MAT-061</t>
  </si>
  <si>
    <t>CURVA CONDUIT 1"</t>
  </si>
  <si>
    <t>MAT-062</t>
  </si>
  <si>
    <t>TABLERO MINIPRAGMA CON ESPACIO PARA 8 CIRCUITOS</t>
  </si>
  <si>
    <t>MAT-063</t>
  </si>
  <si>
    <t>Breaker enchufable de 1x20A 10KA 220V S</t>
  </si>
  <si>
    <t>EQ-011</t>
  </si>
  <si>
    <t>Herramienta de impacto</t>
  </si>
  <si>
    <t>MAT-064</t>
  </si>
  <si>
    <t>CABLE DE COBRE NO. 2/0 AWG DESNUDO</t>
  </si>
  <si>
    <t>MAT-065</t>
  </si>
  <si>
    <t>VARILLA DE COBRE DE 2,40 MTS X 5/8"</t>
  </si>
  <si>
    <t>EQ-012</t>
  </si>
  <si>
    <t>Chispero, molde y pinza conexión p.a.t.</t>
  </si>
  <si>
    <t>EQ-013</t>
  </si>
  <si>
    <t>Cizalla 18"</t>
  </si>
  <si>
    <t>MAT-066</t>
  </si>
  <si>
    <t>SOLDADURA exotermica 115 gr</t>
  </si>
  <si>
    <t>MAT-067</t>
  </si>
  <si>
    <t>VENTILADOR KDK INDUSTRIAL</t>
  </si>
  <si>
    <t>MO-011</t>
  </si>
  <si>
    <t>MO-012</t>
  </si>
  <si>
    <t>MAT-068</t>
  </si>
  <si>
    <t>TUBO CONDUIT EMT 3/4"</t>
  </si>
  <si>
    <t>MAT-069</t>
  </si>
  <si>
    <t>UNIÓN EMT 3/4"</t>
  </si>
  <si>
    <t>MAT-070</t>
  </si>
  <si>
    <t>BOQUILLA TERMINAL EMT DE 3/4"</t>
  </si>
  <si>
    <t>MAT-071</t>
  </si>
  <si>
    <t>Panel 60X60 LED 46W 6500K 100-240V Ip20</t>
  </si>
  <si>
    <t>MAT-072</t>
  </si>
  <si>
    <t>LAMPARA TIPO TORTUGA</t>
  </si>
  <si>
    <t>EQ-014</t>
  </si>
  <si>
    <t>EQUIPO-TALLER DE ORNAMENTACION</t>
  </si>
  <si>
    <t>MAT-073</t>
  </si>
  <si>
    <t>LÁMINA COLD ROLLED CAL.18 DIM: 1,20 X 2,04</t>
  </si>
  <si>
    <t>MAT-074</t>
  </si>
  <si>
    <t>Cerradura Yale Sobreponer</t>
  </si>
  <si>
    <t>MAT-075</t>
  </si>
  <si>
    <t>PERFIL TUBULAR CUADRADO 40X40X4MM X6MTS</t>
  </si>
  <si>
    <t>MAT-076</t>
  </si>
  <si>
    <t>MANIJA EN ACERO INOXIDABLE REF. RIMINI TIPO SCHLAGE</t>
  </si>
  <si>
    <t>MO-013</t>
  </si>
  <si>
    <t>OFICIAL ORNAMENTADOR</t>
  </si>
  <si>
    <t>MO-014</t>
  </si>
  <si>
    <t>AYUDANTE DE ORNAMENTACIÓN</t>
  </si>
  <si>
    <t>EQ-015</t>
  </si>
  <si>
    <t>ANDAMIO SECCION</t>
  </si>
  <si>
    <t>s/m</t>
  </si>
  <si>
    <t>EQ-016</t>
  </si>
  <si>
    <t>PLANCHON ORDINARIO 3m ALQ</t>
  </si>
  <si>
    <t>MAT-077</t>
  </si>
  <si>
    <t>VINILO Pintura para Exterior Ultra Blanco 1 Galón TIPO KORAZA DE PINTUCO</t>
  </si>
  <si>
    <t>MO-015</t>
  </si>
  <si>
    <t>PINTOR</t>
  </si>
  <si>
    <t>MO-016</t>
  </si>
  <si>
    <t>AYUDANTE DE PINTURA</t>
  </si>
  <si>
    <t>MAT-078</t>
  </si>
  <si>
    <t>LUMINARIA HERMÉTICA PARA DESCOLGAR TUBOS LED 2X18 W 120 V</t>
  </si>
  <si>
    <t>MAT-079</t>
  </si>
  <si>
    <t>TUBO PVCP 1/2" RDE 9 (TUBO DE 6 MTS)</t>
  </si>
  <si>
    <t>MAT-080</t>
  </si>
  <si>
    <t>Accesorio Union PVC 1/2"</t>
  </si>
  <si>
    <t>MAT-081</t>
  </si>
  <si>
    <t>LIMPIADOR PVC Y CPVC X 1/4</t>
  </si>
  <si>
    <t>MAT-082</t>
  </si>
  <si>
    <t>SOLDADURA PVC.WET BONDING (1/8 GL)</t>
  </si>
  <si>
    <t>gl</t>
  </si>
  <si>
    <t>MO-017</t>
  </si>
  <si>
    <t>OFICIAL PLOMERO</t>
  </si>
  <si>
    <t>MO-018</t>
  </si>
  <si>
    <t>AYUDANTE PLOMERO</t>
  </si>
  <si>
    <t>MAT-083</t>
  </si>
  <si>
    <t>CODO 90 PVC PRESION 1/2"</t>
  </si>
  <si>
    <t>MAT-084</t>
  </si>
  <si>
    <t>TEE CPVC 1/2"</t>
  </si>
  <si>
    <t>MAT-085</t>
  </si>
  <si>
    <t>VALVULA BOLA ROSCAR 1/2"</t>
  </si>
  <si>
    <t>MAT-086</t>
  </si>
  <si>
    <t>TUBO ALCANTARILLADO PVC 4" X 6 MTS</t>
  </si>
  <si>
    <t>MAT-087</t>
  </si>
  <si>
    <t>UNION PVC SANITARIA 4"</t>
  </si>
  <si>
    <t>MAT-088</t>
  </si>
  <si>
    <t>CODO 90°-1/4 CXC PVC SANITARIO 4"</t>
  </si>
  <si>
    <t>MAT-089</t>
  </si>
  <si>
    <t>YEE PVC SANITARIA 4"</t>
  </si>
  <si>
    <t>MAT-090</t>
  </si>
  <si>
    <t>TUBO PVC SANITARIO 2"</t>
  </si>
  <si>
    <t>MAT-091</t>
  </si>
  <si>
    <t>CODO 90°-1/4 CXC PVC SANITARIO 2"</t>
  </si>
  <si>
    <t>MAT-092</t>
  </si>
  <si>
    <t>YEE PVC SANITARIA REDUCIDA 4"X2"</t>
  </si>
  <si>
    <t>MAT-093</t>
  </si>
  <si>
    <t>rejillas de piso metálica en aluminio con sosco 3"x2"</t>
  </si>
  <si>
    <t>MAT-094</t>
  </si>
  <si>
    <t>TABLA BURRA TERMINADA 1 CARA 0.25</t>
  </si>
  <si>
    <t>MAT-095</t>
  </si>
  <si>
    <t>CERAMICA FORMATO 30X30</t>
  </si>
  <si>
    <t>EQ-017</t>
  </si>
  <si>
    <t>PULIDORA</t>
  </si>
  <si>
    <t>MAT-096</t>
  </si>
  <si>
    <t>Espejo de baño recto pulido bisel</t>
  </si>
  <si>
    <t>MAT-097</t>
  </si>
  <si>
    <t>SANITARIO ACUA PLUS</t>
  </si>
  <si>
    <t>MAT-098</t>
  </si>
  <si>
    <t>BRIDA SANITARIA</t>
  </si>
  <si>
    <t>MAT-099</t>
  </si>
  <si>
    <t>ORINAL GOTTA ANTIBACTERIAL ENTRADA POSTERIOR</t>
  </si>
  <si>
    <t>MAT-100</t>
  </si>
  <si>
    <t>LAVAMANOS DE SOBREPONER MARSELLA BLANCO TIPO CORONA</t>
  </si>
  <si>
    <t>MAT-101</t>
  </si>
  <si>
    <t>PAPELERA METALICA CON PEDAL</t>
  </si>
  <si>
    <t>MAT-102</t>
  </si>
  <si>
    <t>Tanque Séptico Imhoff Integrado Horizontal 2000 Litros</t>
  </si>
  <si>
    <t>MAT-103</t>
  </si>
  <si>
    <t>TUBO PVCP 4" RDE 21  (TUBO DE 6 MTS)</t>
  </si>
  <si>
    <t>MAT-104</t>
  </si>
  <si>
    <t>VENTANA DE ALUMINIO Y VIDRIO 4mm SISTEMA 744</t>
  </si>
  <si>
    <t>MAT-029</t>
  </si>
  <si>
    <t>PTE200X70x4mm</t>
  </si>
  <si>
    <t>MAT-105</t>
  </si>
  <si>
    <t>PERFIL EN C 50X150X2mm</t>
  </si>
  <si>
    <t>ANÁLISIS DE PRECIOS AUXILIARES CONSOLIDADOS</t>
  </si>
  <si>
    <t>APA-01</t>
  </si>
  <si>
    <t>MORTERO 1:3 IMPERMEABILIZADO</t>
  </si>
  <si>
    <t>Subanálisis de precio auxiliar</t>
  </si>
  <si>
    <t>EQ-001</t>
  </si>
  <si>
    <t>h</t>
  </si>
  <si>
    <t>MAT-001</t>
  </si>
  <si>
    <t>CEMENTO GRIS</t>
  </si>
  <si>
    <t>bulto</t>
  </si>
  <si>
    <t>MAT-002</t>
  </si>
  <si>
    <t>ARENA LAVADA DE PEÑA</t>
  </si>
  <si>
    <t>MAT-003</t>
  </si>
  <si>
    <t>AGUA</t>
  </si>
  <si>
    <t>L</t>
  </si>
  <si>
    <t>MAT-004</t>
  </si>
  <si>
    <t>PLASTOCRETE</t>
  </si>
  <si>
    <t>gramos</t>
  </si>
  <si>
    <t>DESPERDICIO DE MATERIALES (5 %)</t>
  </si>
  <si>
    <t>MO-001</t>
  </si>
  <si>
    <t>MO-002</t>
  </si>
  <si>
    <t>TR-001</t>
  </si>
  <si>
    <t>ARENA LAVADA</t>
  </si>
  <si>
    <t>m³·km</t>
  </si>
  <si>
    <t>Oficial</t>
  </si>
  <si>
    <t>CONCRETO 2.000 PSI</t>
  </si>
  <si>
    <t>MAT-005</t>
  </si>
  <si>
    <t>GRAVILLA COMÚN DE RIO</t>
  </si>
  <si>
    <t>TR-002</t>
  </si>
  <si>
    <t>TRITURADO</t>
  </si>
  <si>
    <t>APA-05</t>
  </si>
  <si>
    <t>CONCRETO 2.500 PSI</t>
  </si>
  <si>
    <t>CONCRETO 3.000 PSI</t>
  </si>
  <si>
    <t>TR-003</t>
  </si>
  <si>
    <t>ARENA DE CONCRETO</t>
  </si>
  <si>
    <t>APA-07</t>
  </si>
  <si>
    <t>CONCRETO 3.000 PSI IMPERMEABILIZADO</t>
  </si>
  <si>
    <t>APA-08</t>
  </si>
  <si>
    <t>CONCRETO 4.000 PSI</t>
  </si>
  <si>
    <t>CATÁLOGO CONSOLIDADO DE MATERIALES E INSUMOS</t>
  </si>
  <si>
    <t>CÓDIGO ORIG.</t>
  </si>
  <si>
    <t>TARIFA</t>
  </si>
  <si>
    <t>l</t>
  </si>
  <si>
    <t>TABLA DE MADERA ORDINARIA PARA FORMALETA 3 m × 0,30 m × 0,02 m; TARIFA POR m LINEAL</t>
  </si>
  <si>
    <t>TUBO PVCP 4" RDE 21 (TUBO DE 6 MTS)</t>
  </si>
  <si>
    <t>CATÁLOGO CONSOLIDADO DE EQUIPOS Y HERRAMIENTAS</t>
  </si>
  <si>
    <t>PARÁMETROS SALARIALES</t>
  </si>
  <si>
    <t>CATÁLOGO CONSOLIDADO DE MANO DE OBRA</t>
  </si>
  <si>
    <t>SMMLV 2026</t>
  </si>
  <si>
    <t>Auxilio transporte</t>
  </si>
  <si>
    <t>Días / mes</t>
  </si>
  <si>
    <t>Factor prest. &gt; 2 SMMLV</t>
  </si>
  <si>
    <t>Factor prest. ≤ 2 SMMLV</t>
  </si>
  <si>
    <t>FACTOR PRESTACIONAL</t>
  </si>
  <si>
    <t>RIESGO V</t>
  </si>
  <si>
    <t>RIESGO I</t>
  </si>
  <si>
    <t>RANGO SALARIAL</t>
  </si>
  <si>
    <t>≤ 2 SMMLV</t>
  </si>
  <si>
    <t>&gt; 2 SMMLV</t>
  </si>
  <si>
    <t>AUXILIO TRANSPORTE</t>
  </si>
  <si>
    <t>CESANTÍAS</t>
  </si>
  <si>
    <t>INT. CESANTÍAS</t>
  </si>
  <si>
    <t>PRIMA</t>
  </si>
  <si>
    <t>VACACIONES</t>
  </si>
  <si>
    <t>SENA</t>
  </si>
  <si>
    <t>ICBF</t>
  </si>
  <si>
    <t>CAJAS</t>
  </si>
  <si>
    <t>FIC</t>
  </si>
  <si>
    <t>SALUD</t>
  </si>
  <si>
    <t>PENSIONES</t>
  </si>
  <si>
    <t>ARP</t>
  </si>
  <si>
    <t>DOTACIÓN</t>
  </si>
  <si>
    <t>EXÁMENES MÉDICOS INGRESO Y RETIRO</t>
  </si>
  <si>
    <t>TOTAL FACTOR PRESTACIONAL</t>
  </si>
  <si>
    <t>PERFILES PROFESIONALES Y ADMINISTRATIVOS – BASE COS</t>
  </si>
  <si>
    <t>CARGO</t>
  </si>
  <si>
    <t>CLASE</t>
  </si>
  <si>
    <t># SMMLV</t>
  </si>
  <si>
    <t>SALARIO BASE</t>
  </si>
  <si>
    <t>% PREST.</t>
  </si>
  <si>
    <t>SALARIO + PREST.</t>
  </si>
  <si>
    <t>JORNAL BASE</t>
  </si>
  <si>
    <t>ADM-001</t>
  </si>
  <si>
    <t>DIRECTOR DE OBRA</t>
  </si>
  <si>
    <t>ADMINISTRATIVO</t>
  </si>
  <si>
    <t>ADM-002</t>
  </si>
  <si>
    <t>RESIDENTE DE OBRA</t>
  </si>
  <si>
    <t>ADM-003</t>
  </si>
  <si>
    <t>TECNÓLOGO AMBIENTAL</t>
  </si>
  <si>
    <t>ADM-004</t>
  </si>
  <si>
    <t>TECNÓLOGO SST</t>
  </si>
  <si>
    <t>ADM-005</t>
  </si>
  <si>
    <t>AUXILIAR DE RESIDENCIA / ENCARGADO</t>
  </si>
  <si>
    <t>ADM-006</t>
  </si>
  <si>
    <t>VIGILANTE / ENCARGADO DE CAMPAMENTO</t>
  </si>
  <si>
    <t>ADM-007</t>
  </si>
  <si>
    <t>ALMACENISTA</t>
  </si>
  <si>
    <t>ADM-008</t>
  </si>
  <si>
    <t>PERSONAL ADMINISTRATIVO</t>
  </si>
  <si>
    <t>INT-001</t>
  </si>
  <si>
    <t>DIRECTOR DE INTERVENTORÍA</t>
  </si>
  <si>
    <t>INT-002</t>
  </si>
  <si>
    <t>RESIDENTE DE INTERVENTORÍA</t>
  </si>
  <si>
    <t>INT-003</t>
  </si>
  <si>
    <t>AUXILIAR DE RESIDENCIA</t>
  </si>
  <si>
    <t>INT-004</t>
  </si>
  <si>
    <t>PROFESIONAL SST</t>
  </si>
  <si>
    <t>INT-005</t>
  </si>
  <si>
    <t>RESIDENTE AMBIENTAL</t>
  </si>
  <si>
    <t>INT-006</t>
  </si>
  <si>
    <t>ADM-009</t>
  </si>
  <si>
    <t>COORDINADOR DE PROYECTO</t>
  </si>
  <si>
    <t>CATÁLOGO CONSOLIDADO DE TRANSPORTE</t>
  </si>
  <si>
    <t>TR-007</t>
  </si>
  <si>
    <t>TRANSPORTE DE CUBIERTA HASTA CER EL RETIRO, DABEIBA; POR m² INSTALADO</t>
  </si>
  <si>
    <t>CÁLCULO DETALLADO DE ADMINISTRACIÓN Y UTILIDAD – ESTRUCTURA COS</t>
  </si>
  <si>
    <t>CANT.</t>
  </si>
  <si>
    <t>VALOR MENSUAL / UNIT.</t>
  </si>
  <si>
    <t>FACTOR PREST.</t>
  </si>
  <si>
    <t>DEDICACIÓN</t>
  </si>
  <si>
    <t>MESES</t>
  </si>
  <si>
    <t>VALOR REFERENCIAL</t>
  </si>
  <si>
    <t>FACTOR AJUSTE</t>
  </si>
  <si>
    <t>VALOR ADOPTADO</t>
  </si>
  <si>
    <t>BASE: COSTO DIRECTO CORREGIDO</t>
  </si>
  <si>
    <t>ADMINISTRACIÓN DE REFERENCIA DEL PRESUPUESTO BASE (25 %)</t>
  </si>
  <si>
    <t>1. PERSONAL PROFESIONAL Y TÉCNICO</t>
  </si>
  <si>
    <t>Profesional Director de Obra</t>
  </si>
  <si>
    <t>mes</t>
  </si>
  <si>
    <t>Profesional Residente de Obra</t>
  </si>
  <si>
    <t>Tecnólogo Ambiental</t>
  </si>
  <si>
    <t>Tecnólogo SST</t>
  </si>
  <si>
    <t>SUBTOTAL 1. PERSONAL PROFESIONAL Y TÉCNICO</t>
  </si>
  <si>
    <t>2. PERSONAL TÉCNICO NO PROFESIONAL</t>
  </si>
  <si>
    <t>Encargado de Obra / Auxiliar de Residencia</t>
  </si>
  <si>
    <t>Encargado de Campamento / Vigilante</t>
  </si>
  <si>
    <t>Almacenista</t>
  </si>
  <si>
    <t>SUBTOTAL 2. PERSONAL TÉCNICO NO PROFESIONAL</t>
  </si>
  <si>
    <t>3. GASTOS DE OFICINA CENTRAL</t>
  </si>
  <si>
    <t>Secretaría de oficina central</t>
  </si>
  <si>
    <t>Mensajería</t>
  </si>
  <si>
    <t>SUBTOTAL 3. GASTOS DE OFICINA CENTRAL</t>
  </si>
  <si>
    <t>4. INSTALACIONES PROVISIONALES</t>
  </si>
  <si>
    <t>Campamento: arrendamiento y servicios públicos</t>
  </si>
  <si>
    <t>Dotación de oficinas, muebles y enseres</t>
  </si>
  <si>
    <t>global</t>
  </si>
  <si>
    <t>SUBTOTAL 4. INSTALACIONES PROVISIONALES</t>
  </si>
  <si>
    <t>5. SISTEMAS DE CÓMPUTO Y COMUNICACIÓN</t>
  </si>
  <si>
    <t>Computador con software de oficina</t>
  </si>
  <si>
    <t>Impresora</t>
  </si>
  <si>
    <t>Comunicaciones: teléfono e internet</t>
  </si>
  <si>
    <t>SUBTOTAL 5. SISTEMAS DE CÓMPUTO Y COMUNICACIÓN</t>
  </si>
  <si>
    <t>6. PAPELERÍA Y OTROS COSTOS</t>
  </si>
  <si>
    <t>Elaboración y entrega de planos récord</t>
  </si>
  <si>
    <t>Papelería, copias, informes y registro fotográfico</t>
  </si>
  <si>
    <t>SUBTOTAL 6. PAPELERÍA Y OTROS COSTOS</t>
  </si>
  <si>
    <t>7. VALLA CONTRACTUAL</t>
  </si>
  <si>
    <t>Valla contractual de 12 m × 4 m con soporte</t>
  </si>
  <si>
    <t>SUBTOTAL 7. VALLA CONTRACTUAL</t>
  </si>
  <si>
    <t>8. LABORATORIO</t>
  </si>
  <si>
    <t>Ensayos de tensión en barras de acero</t>
  </si>
  <si>
    <t>Ensayos de doblamiento del acero</t>
  </si>
  <si>
    <t>Ensayo de diámetro efectivo del acero</t>
  </si>
  <si>
    <t>Proctor modificado / densidad en terreno</t>
  </si>
  <si>
    <t>Resistencia del concreto</t>
  </si>
  <si>
    <t>Diseño de mezclas</t>
  </si>
  <si>
    <t>SUBTOTAL 8. LABORATORIO</t>
  </si>
  <si>
    <t>9. GMF, ESTAMPILLAS Y CONTRIBUCIONES INCLUIDAS EN LA ADMINISTRACIÓN</t>
  </si>
  <si>
    <t>GMF 4×1000 (50 % de incidencia)</t>
  </si>
  <si>
    <t>Estampillas y contribuciones incluidas en Administración</t>
  </si>
  <si>
    <t>SUBTOTAL 9. GMF, ESTAMPILLAS Y CONTRIBUCIONES</t>
  </si>
  <si>
    <t>TOTAL REFERENCIAL DE ADMINISTRACIÓN (SIN PÓLIZAS, PGIO NI ASEO)</t>
  </si>
  <si>
    <t>GMF, ESTAMPILLAS Y CONTRIBUCIONES INCLUIDAS EN ADMINISTRACIÓN</t>
  </si>
  <si>
    <t>OTROS COSTOS ADMINISTRATIVOS DISCRIMINADOS (SUBTOTALES 1 A 8)</t>
  </si>
  <si>
    <t>FACTOR APLICADO AL DETALLE (SIN LIMITACIÓN)</t>
  </si>
  <si>
    <t>TOTAL ADMINISTRACIÓN DETALLADA DEL PROYECTO</t>
  </si>
  <si>
    <t>TOTAL A + U</t>
  </si>
  <si>
    <t>SOPORTE - DISCRIMINACIÓN DE OTROS COSTOS ADMINISTRATIVOS</t>
  </si>
  <si>
    <t>Personal profesional y técnico</t>
  </si>
  <si>
    <t>Personal técnico no profesional</t>
  </si>
  <si>
    <t>Gastos de oficina central</t>
  </si>
  <si>
    <t>Instalaciones provisionales</t>
  </si>
  <si>
    <t>Sistemas de cómputo y comunicación</t>
  </si>
  <si>
    <t>Papelería y otros costos</t>
  </si>
  <si>
    <t>Valla contractual</t>
  </si>
  <si>
    <t>Laboratorio</t>
  </si>
  <si>
    <t>TOTAL OTROS COSTOS ADMINISTRATIVOS</t>
  </si>
  <si>
    <t>CONTROL VS. VALOR REPORTADO EN ADMINISTRACIÓN</t>
  </si>
  <si>
    <t>4xMIL</t>
  </si>
  <si>
    <t>TOTAL</t>
  </si>
  <si>
    <t>OBRA</t>
  </si>
  <si>
    <t>INTERVENTORIA</t>
  </si>
  <si>
    <t>PRESUPUESTO DEL PGIO</t>
  </si>
  <si>
    <t>EJE</t>
  </si>
  <si>
    <t>1. SEGURIDAD Y SALUD EN EL TRABAJO</t>
  </si>
  <si>
    <t>Kit básico de elementos de protección personal por trabajador</t>
  </si>
  <si>
    <t>Kit de emergencias: extintor de 10 lb, señalización, camilla y botiquín</t>
  </si>
  <si>
    <t>Kit para trabajos con soldadura: careta, guantes y overol especial</t>
  </si>
  <si>
    <t>Examen médico ocupacional de ingreso y egreso</t>
  </si>
  <si>
    <t>SUBTOTAL 1. SEGURIDAD Y SALUD EN EL TRABAJO</t>
  </si>
  <si>
    <t>2. GESTIÓN AMBIENTAL</t>
  </si>
  <si>
    <t>Kit para separación de residuos sólidos</t>
  </si>
  <si>
    <t>Caneca para lavado de herramientas de 55 galones</t>
  </si>
  <si>
    <t>Cubrimiento de materiales granulares</t>
  </si>
  <si>
    <t>Cubrimiento de escombros</t>
  </si>
  <si>
    <t>Kit de aseo de infraestructura</t>
  </si>
  <si>
    <t>Brigada de aseo para implementación y mantenimiento del PGIO. Incluye un (1) ayudante para limpieza periódica de los frentes de obra, recolección y separación de residuos, traslado interno hasta los sitios de acopio, limpieza de circulaciones y mantenimiento de las condiciones de orden y aseo. Se considera una dedicación de tres (3) jornales por mes durante cinco (5) meses de ejecución, equivalente a quince (15) jornales.</t>
  </si>
  <si>
    <t>jornal</t>
  </si>
  <si>
    <t>SUBTOTAL 2. GESTIÓN AMBIENTAL</t>
  </si>
  <si>
    <t>3. SEGURIDAD DE OBRA</t>
  </si>
  <si>
    <t>Cerramiento con señalizadores tubulares y triple cinta de demarcación</t>
  </si>
  <si>
    <t>m/mes</t>
  </si>
  <si>
    <t>SUBTOTAL 3. SEGURIDAD DE OBRA</t>
  </si>
  <si>
    <t>4. MANEJO DE TRÁFICO - NO APLICA AL ALCANCE DEL PROYECTO</t>
  </si>
  <si>
    <t>Dispositivo temporal de señalización según PMT</t>
  </si>
  <si>
    <t>und/mes</t>
  </si>
  <si>
    <t>Señales preventivas</t>
  </si>
  <si>
    <t>Señales reglamentarias</t>
  </si>
  <si>
    <t>Señales informativas</t>
  </si>
  <si>
    <t>Canecas plásticas anaranjadas con franjas reflectivas tipo III</t>
  </si>
  <si>
    <t>Luces intermitentes amarillas de identificación de peligro</t>
  </si>
  <si>
    <t>SUBTOTAL 4. MANEJO DE TRÁFICO</t>
  </si>
  <si>
    <t>5. CONTROL DE CALIDAD</t>
  </si>
  <si>
    <t>Ensayos de laboratorio para capas granulares</t>
  </si>
  <si>
    <t>Ensayos de laboratorio para concretos</t>
  </si>
  <si>
    <t>SUBTOTAL 5. CONTROL DE CALIDAD</t>
  </si>
  <si>
    <t>TOTAL PGIO – COSTO INDIRECTO SEPARADO (NO INCLUIDO EN ADMINISTRACIÓN)</t>
  </si>
  <si>
    <t>CÁLCULO DE PÓLIZAS DE OBRA</t>
  </si>
  <si>
    <t>PARÁMETRO</t>
  </si>
  <si>
    <t>IVA</t>
  </si>
  <si>
    <t>Gastos de expedición</t>
  </si>
  <si>
    <t>Valor contractual de obra para garantías, sin interventoría, sin GMF (50 % del 4 x 1000) y sin el valor de las propias pólizas.</t>
  </si>
  <si>
    <t>GARANTÍA</t>
  </si>
  <si>
    <t>BASE</t>
  </si>
  <si>
    <t>% ASEGURADO</t>
  </si>
  <si>
    <t>TASA ANUAL</t>
  </si>
  <si>
    <t>PLAZO (AÑOS)</t>
  </si>
  <si>
    <t>Cumplimiento</t>
  </si>
  <si>
    <t>Buen manejo del anticipo</t>
  </si>
  <si>
    <t>Pago de salarios y prestaciones</t>
  </si>
  <si>
    <t>Estabilidad de la obra</t>
  </si>
  <si>
    <t>Responsabilidad civil extracontractual</t>
  </si>
  <si>
    <t>Subtotal prima</t>
  </si>
  <si>
    <t>TOTAL PÓLIZAS DE OBRA</t>
  </si>
  <si>
    <t>valor total de la obra - Interventoría</t>
  </si>
  <si>
    <t>SMMLV</t>
  </si>
  <si>
    <t>PLAZO DEL CONTRATO</t>
  </si>
  <si>
    <t>ANTICIPO</t>
  </si>
  <si>
    <t>TIPO DE GARANTÍA</t>
  </si>
  <si>
    <t>VALOR ASEGURADO</t>
  </si>
  <si>
    <t>COBERTURA 
( DÍAS )</t>
  </si>
  <si>
    <t>TASA 
ANUAL</t>
  </si>
  <si>
    <t>Seriedad de la oferta</t>
  </si>
  <si>
    <t>CUMPLIMIENTO</t>
  </si>
  <si>
    <t>BUEN MANEJO Y CORRECTA INVERSIÓN DEL ANTICIPO</t>
  </si>
  <si>
    <t>SALARIOS Y PRESTACIONES SOCIALES</t>
  </si>
  <si>
    <t>ESTABILIDAD Y CALIDAD DE LA OBRAS</t>
  </si>
  <si>
    <t>CALIDAD DEL SERVICIO</t>
  </si>
  <si>
    <t>RESPONSABILIDAD CIVIL EXTRACONTRACTUAL (RCE)</t>
  </si>
  <si>
    <t>MONTO ASEGURABLE</t>
  </si>
  <si>
    <t>PLAZO MESES</t>
  </si>
  <si>
    <t>SUBTOTAL PRIMA</t>
  </si>
  <si>
    <t>GASTOS DE EXPEDICIÓN</t>
  </si>
  <si>
    <t>COSTO TOTAL POLIZAS</t>
  </si>
  <si>
    <t>ESTAMPILLAS Y CONTRIBUCIONES APLICABLES AL CONTRATO</t>
  </si>
  <si>
    <t>VALOR TOTAL SIN INTERVENTORÍA Y SIN GMF (50 % DEL 4/1000)</t>
  </si>
  <si>
    <t>CONCEPTO</t>
  </si>
  <si>
    <t>TASA</t>
  </si>
  <si>
    <t>INCIDENCIA</t>
  </si>
  <si>
    <t>Estampilla Pro Adulto Mayor</t>
  </si>
  <si>
    <t>Estampilla Pro Cultura</t>
  </si>
  <si>
    <t>Estampilla Pro Hospital</t>
  </si>
  <si>
    <t>Estampilla Projusticia</t>
  </si>
  <si>
    <t>Tasa Prodeporte y Recreación - Municipio de Dabeiba  - SIN 4/1000</t>
  </si>
  <si>
    <t>Contribución Especial en obra pública</t>
  </si>
  <si>
    <t>Retefuente contrato de obra - SOLO REFERENCIA / EXCLUIDA DEL CÁLCULO DE ESTAMPILLAS</t>
  </si>
  <si>
    <t>Tasa Pro Deporte y Recreación - Gobernación de Antioquia (2,5 % sobre el 70 % de recursos departamentales transferidos) - SIN 4/1000</t>
  </si>
  <si>
    <t>TOTAL ESTAMPILLAS Y CONTRIBUCIONES</t>
  </si>
  <si>
    <t>VALOR DEL CONTRATO ( $ ) sin interventoría</t>
  </si>
  <si>
    <t>TOTAL DEL CONTRATO SIN 50% DEL 4/1000 (Para efectos de calculo de impuesto y estampillas)</t>
  </si>
  <si>
    <t xml:space="preserve">Total del contrato SIN 50% del 4/1000, NI estampillas) para efectos del calculo del impuesto al gravamen financiero </t>
  </si>
  <si>
    <t>Total de la sumatoria de las estampillas y/o impuestos (para efectos de cálculo de impuesto al gravamen financiero)</t>
  </si>
  <si>
    <t>Valor monetario aportado por la Gobernación al presupuesto de Obra sin el 50 % del 4/1000 ( Si aplica), para efectos del calculo del impuesto al gravamen financiero.</t>
  </si>
  <si>
    <t>ESTAMPILLA PRO ADULTO MAYOR</t>
  </si>
  <si>
    <t>ESTAMPILLA UdeA</t>
  </si>
  <si>
    <t>ESTAMPILLA PRO HOSPITAL</t>
  </si>
  <si>
    <t>ESTAMPILLA PRO JUSTICIA FAMILAR</t>
  </si>
  <si>
    <t>ESTAMPILLA PROCULTURA</t>
  </si>
  <si>
    <t>ESTAMPILLA PRO DEPORTE MUNICIPAL</t>
  </si>
  <si>
    <t>ESTAMPILLA PRODEPORTE GOBERNACION</t>
  </si>
  <si>
    <t>Impuesto de Contribución especial 5% (del costo total incluido AU)</t>
  </si>
  <si>
    <t>Costo Total tasas y estampillas</t>
  </si>
  <si>
    <t>NOTA</t>
  </si>
  <si>
    <t xml:space="preserve">*Diligenciar el cuadro de estampillas de acuerdo a la espcificacion y porcentaje vigente de cada municipio y adjuntar pantallazo de la certificacion.
*En las casillas verdes se debera colocar el porcentaje correspondiente a cada una de las estampillas y 
el nombre de la estampilla segun corresponda a cada municipio.
</t>
  </si>
  <si>
    <t>APORTE GOBERNACION</t>
  </si>
  <si>
    <t>4xMIL GOB</t>
  </si>
  <si>
    <t>Base para cobro estampilla Prodeporte Gobernación</t>
  </si>
  <si>
    <t>APORTE MUNICIPIO</t>
  </si>
  <si>
    <t>4xMIL MUN</t>
  </si>
  <si>
    <t>Base para cobro estampilla Prodeporte Municipio</t>
  </si>
  <si>
    <t>PRESUPUESTO DETALLADO DE INTERVENTORÍA – ESTRUCTURA COS</t>
  </si>
  <si>
    <t>PLAZO, PORCENTAJE Y FACTOR EDITABLES</t>
  </si>
  <si>
    <t>PLAZO (MESES)</t>
  </si>
  <si>
    <t>% INTERVENTORÍA</t>
  </si>
  <si>
    <t>FACTOR XDOR</t>
  </si>
  <si>
    <t>CARGO / CONCEPTO</t>
  </si>
  <si>
    <t>SUELDO O VALOR UNIT.</t>
  </si>
  <si>
    <t>PARTICIPACIÓN / CANT.</t>
  </si>
  <si>
    <t>MESES / USO</t>
  </si>
  <si>
    <t>1. COSTOS DIRECTOS DE PERSONAL</t>
  </si>
  <si>
    <t>Director de Interventoría</t>
  </si>
  <si>
    <t>Ingeniero Civil Residente</t>
  </si>
  <si>
    <t>Auxiliar de Residencia</t>
  </si>
  <si>
    <t>Profesional SST</t>
  </si>
  <si>
    <t>Residente Ambiental</t>
  </si>
  <si>
    <t>SUBTOTAL PERSONAL CON FACTOR MULTIPLICADOR</t>
  </si>
  <si>
    <t>2. OTROS COSTOS DIRECTOS</t>
  </si>
  <si>
    <t>Oficina / campamento y servicios públicos</t>
  </si>
  <si>
    <t>Ensayos de laboratorio</t>
  </si>
  <si>
    <t>Edición de informes, papelería y fotografías</t>
  </si>
  <si>
    <t>SUBTOTAL OTROS COSTOS DIRECTOS</t>
  </si>
  <si>
    <t>COSTO TÉCNICO BASE</t>
  </si>
  <si>
    <t>Pólizas de interventoría</t>
  </si>
  <si>
    <t>Estampillas de interventoría incluidas en FACTOR XDOR (no sumar nuevamente)</t>
  </si>
  <si>
    <t>TOTAL DETALLADO DE INTERVENTORÍA</t>
  </si>
  <si>
    <t>REFERENCIA DEL PRESUPUESTO BASE (10 %)</t>
  </si>
  <si>
    <t>TOTAL INTERVENTORÍA DEL PROYECTO</t>
  </si>
  <si>
    <t>DIFERENCIA VS 10 % DEL PRESUPUESTO BASE</t>
  </si>
  <si>
    <t>CONTROL DETALLE VS TOTAL CALCULADO</t>
  </si>
  <si>
    <t>SOPORTE DEL FACTOR MULTIPLICADOR - APLICADO SOBRE EL COSTO BASE DEL PERSONAL</t>
  </si>
  <si>
    <t>Costo base de personal antes del factor</t>
  </si>
  <si>
    <t>Factor multiplicador aplicado</t>
  </si>
  <si>
    <t>Costo de personal con factor multiplicador</t>
  </si>
  <si>
    <t>Control vs. subtotal de personal</t>
  </si>
  <si>
    <t>FACTOR MULTIPLICADOR DE INTERVENTORÍA</t>
  </si>
  <si>
    <t>Salario mínimo 2026</t>
  </si>
  <si>
    <t>PLAZO INTERVENTORIA</t>
  </si>
  <si>
    <t>A</t>
  </si>
  <si>
    <t>Nómina Total Mensual</t>
  </si>
  <si>
    <t>RIESGO</t>
  </si>
  <si>
    <t>V</t>
  </si>
  <si>
    <t>I</t>
  </si>
  <si>
    <t>HASTA DE 2 SMLV</t>
  </si>
  <si>
    <t>HASTA DE 2 SMMLV</t>
  </si>
  <si>
    <t>MAS DE 2 SMMLV</t>
  </si>
  <si>
    <t>CESANTIAS</t>
  </si>
  <si>
    <t>INT. CESANTIAS</t>
  </si>
  <si>
    <t xml:space="preserve">Examenes médicos ingreso y retiro </t>
  </si>
  <si>
    <t>B</t>
  </si>
  <si>
    <t>C</t>
  </si>
  <si>
    <t>COSTOS INDIRECTOS ADMINISTRATIVOS</t>
  </si>
  <si>
    <t>VR. TOPE MENSUAL A RECONOCER</t>
  </si>
  <si>
    <t>% RECONOCIMIENTO</t>
  </si>
  <si>
    <t>VALOR A RECONOCER</t>
  </si>
  <si>
    <t>Personal Administrativo no facturable ( mesajero, vigilancia)</t>
  </si>
  <si>
    <t xml:space="preserve">Gastos Bancarios y Costos Financieros </t>
  </si>
  <si>
    <t>Asesorías técnicas</t>
  </si>
  <si>
    <t>Relaciones Públicas y Gastos de Representación</t>
  </si>
  <si>
    <t>Asesoria Legal y Contable</t>
  </si>
  <si>
    <t>D</t>
  </si>
  <si>
    <t>GASTOS LEGALES</t>
  </si>
  <si>
    <t>CALCULO ESTAMPILLAS</t>
  </si>
  <si>
    <t>VALOR BÁSICO (A + B)</t>
  </si>
  <si>
    <t xml:space="preserve">VALOR BÁSICO SIN 50% del 4/1000, NI estampillas para efectos del calculo del impuesto al gravamen financiero </t>
  </si>
  <si>
    <t>IMPUESTO 4xMIL</t>
  </si>
  <si>
    <t>GOBERNACION</t>
  </si>
  <si>
    <t>Valor monetario aportado por la Gobernación al presupuesto de interventoria sin el 50 % del 4/1000</t>
  </si>
  <si>
    <t>MUNICIPIO</t>
  </si>
  <si>
    <t>ESTAMPILLAS / IMPUESTOS A RECONOCER</t>
  </si>
  <si>
    <t>PORCENTAJE CÁLCULO PARA FM</t>
  </si>
  <si>
    <t>PORCENTAJE TASA</t>
  </si>
  <si>
    <t>APLICA</t>
  </si>
  <si>
    <t>NO APLICA</t>
  </si>
  <si>
    <t xml:space="preserve">Impuesto del 50% del 4/1000 (sobre el valor total del contrato) </t>
  </si>
  <si>
    <t>Retefuente. (Obra 2%, compras 2.5%, servicios 4%, honorarios 11%) Según aplique.</t>
  </si>
  <si>
    <t>RETE ICA</t>
  </si>
  <si>
    <t>E</t>
  </si>
  <si>
    <t>HONORARIOS (UTILIDADES) 10% de (A+B+C+D)</t>
  </si>
  <si>
    <t>TOTAL A+B+C+D+E</t>
  </si>
  <si>
    <t>FACTOR MULTIPLICADOR</t>
  </si>
  <si>
    <t>PÓLIZAS Y LEGALIZACIÓN DE INTERVENTORÍA</t>
  </si>
  <si>
    <t>GARANTÍAS DEL CONTRATO DE INTERVENTORÍA</t>
  </si>
  <si>
    <t>Valor total del contrato de interventoría</t>
  </si>
  <si>
    <t>Plazo del contrato (meses)</t>
  </si>
  <si>
    <t>Coeficiente garantías lineales con IVA</t>
  </si>
  <si>
    <t>% ASEG.</t>
  </si>
  <si>
    <t>COBERTURA</t>
  </si>
  <si>
    <t>Salarios y prestaciones sociales</t>
  </si>
  <si>
    <t>Calidad del servicio</t>
  </si>
  <si>
    <t>Responsabilidad civil extracontractual (RCE) - NO APLICA</t>
  </si>
  <si>
    <t>Prima RCE con IVA</t>
  </si>
  <si>
    <t>TOTAL PÓLIZAS DE INTERVENTORÍA</t>
  </si>
  <si>
    <t>Tasa total de estampillas incluida en FACTOR XDOR</t>
  </si>
  <si>
    <t>ESTAMPILLAS EN FACTOR</t>
  </si>
  <si>
    <t>BASE DE NÓMINA</t>
  </si>
  <si>
    <t>NO SE SUMA</t>
  </si>
  <si>
    <t>Estampillas municipales de interventoría – Adulto Mayor + Procultura + Pro Hospital + Projusticia</t>
  </si>
  <si>
    <t>Tasa Prodeporte Municipio de Dabeiba – incidencia financiación municipal</t>
  </si>
  <si>
    <t>Tasa Prodeporte Gobernación de Antioquia – incidencia financiación departamental</t>
  </si>
  <si>
    <t>Otros conceptos / GMF – no incorporados al factor</t>
  </si>
  <si>
    <t>CONTROL: TASA INCLUIDA EN FACTOR XDOR (NO SUMAR NUEVAMENTE)</t>
  </si>
  <si>
    <t>TOTAL PÓLIZAS DE INTERVENTORÍA (ESTAMPILLAS YA INCLUIDAS EN FACTOR)</t>
  </si>
  <si>
    <t>CÁLCULO DE PÓLIZAS DE INTERVENTORÍA</t>
  </si>
  <si>
    <t>VALOR DEL CONTRATO ( $ )</t>
  </si>
  <si>
    <t>RESPONSABILIDAD CIVIL EXTRACONTRACTUAL</t>
  </si>
  <si>
    <t>I.V.A.</t>
  </si>
  <si>
    <t>TOTAL POLIZAS</t>
  </si>
  <si>
    <t>Cree una programación para un proyecto en esta hoja de cálculo.
Escriba el título de este proyecto en la celda B1. 
Para obtener información sobre cómo usar esta hoja de cálculo, incluidas las instrucciones para lectores de pantalla y el nombre del autor de este libro, vea la hoja de cálculo Información.
Desplácese hacia abajo por la columna A para escuchar más instrucciones.</t>
  </si>
  <si>
    <t>CRONOGRAMA DE ACTIVIDADES</t>
  </si>
  <si>
    <t>NOTA: 
* Se deberá ingresar la fecha de inicio del proyecto en la casilla azul.
* El cronograma se deberá diligenciar en las casillas E y F respectivamente por cada actividad a realizar dentro del proyecto.</t>
  </si>
  <si>
    <t>Escriba el nombre de la compañía en la celda B2.</t>
  </si>
  <si>
    <t xml:space="preserve">PROGRAMACION DE OBRA  </t>
  </si>
  <si>
    <t>Escriba el nombre del responsable del proyecto en la celda B3. Escriba la fecha de comienzo del proyecto en la celda E3. Inicio del proyecto: la etiqueta se encuentra en la celda C3.</t>
  </si>
  <si>
    <t>Ingresar fecha de Inicio:</t>
  </si>
  <si>
    <t>La semana que se muestra en la celda E4 representa la semana inicial para mostrar en la programación del proyecto en la celda I4. La fecha de inicio del proyecto se considera la semana 1. Para cambiar semana que se muestra, simplemente escriba un número de semana nuevo en la celda E4.
La fecha de inicio de cada semana, comenzando por la semana mostrada en la celda E4, comienza en la celda I4 y se calcula automáticamente. Hay 8 semanas representadas en esta vista desde la celda I4 hasta la celda BF4.
No debería modificar estas celdas.
La etiqueta de la semana para mostrar se encuentra en la celda C4.</t>
  </si>
  <si>
    <t>Semana para mostrar:</t>
  </si>
  <si>
    <t>Las celdas I5 a BL5 contienen el número de días de la semana representado en el bloque de celdas encima de cada celda de fecha y se calculan automáticamente.
No debería modificar estas celdas.
La fecha actual está rodeada con una línea roja (hex. AD3815) desde la fecha actual en la fila 5 hasta toda la columna de fechas y el fin de la programación del proyecto.</t>
  </si>
  <si>
    <t>Esta fila contiene los encabezados de la programación del proyecto posterior debajo de estos. 
Navegue desde la celda B6 a BL 6 para escuchar el contenido. La primera letra de cada día de la semana de la fecha encima de ese encabezado empieza en la celda I6 y continúa hasta la celda BL6.
Todo el gráficos de escala de tiempo del proyecto está generados automáticamente en función de las fechas de inicio y finalización especificadas, con formatos condicionales.
No modifique el contenido de las celdas en las columnas después de la columna I comenzando por la celda I7.</t>
  </si>
  <si>
    <t>TAREA</t>
  </si>
  <si>
    <t>ASIGNADO
A</t>
  </si>
  <si>
    <t>% PROGRESO</t>
  </si>
  <si>
    <t>FECHA 
INICIO</t>
  </si>
  <si>
    <t>FECHA 
FIN</t>
  </si>
  <si>
    <t>DÍAS</t>
  </si>
  <si>
    <t xml:space="preserve">No elimine esta fila. Esta fila está oculta para conservar una fórmula que se usa para resaltar el día actual dentro de la programación del proyecto. </t>
  </si>
  <si>
    <t/>
  </si>
  <si>
    <t>La celda B8 contiene el título de ejemplo de la Fase 1. 
Escriba un nuevo título en la celda B8.
Escriba un nombre para asignar la fase, si se aplica para el proyecto, en la celda C8.
Escriba el progreso de la fase completa, si se aplica para el proyecto, en la celda D8.
Escriba las fechas de inicio y finalización de la fase completa, si se aplica para el proyecto, en las celdas E8 y F8. 
El gráfico de Gantt rellena automáticamente las fechas adecuadas y aplica un sombreado según el progreso especificado.
Para eliminar la fase y trabajar solo con las tareas, elimine esta fila.</t>
  </si>
  <si>
    <t xml:space="preserve">RESUMEN </t>
  </si>
  <si>
    <t>DURACIÓN TOTAL DEL PROYECTO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</si>
</sst>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3" formatCode="_-* #,##0.00_-;\-* #,##0.00_-;_-* &quot;-&quot;??_-;_-@_-"/>
    <numFmt numFmtId="164" formatCode="_-&quot;$&quot;\ * #,##0.00_-;\-&quot;$&quot;\ * #,##0.00_-;_-&quot;$&quot;\ * &quot;-&quot;??_-;_-@_-"/>
    <numFmt numFmtId="165" formatCode="0.000000"/>
    <numFmt numFmtId="166" formatCode="\$#,##0"/>
    <numFmt numFmtId="167" formatCode="0.0000"/>
    <numFmt numFmtId="168" formatCode="&quot;$&quot;#,##0"/>
    <numFmt numFmtId="169" formatCode="0.000%"/>
    <numFmt numFmtId="170" formatCode="0.0%"/>
    <numFmt numFmtId="171" formatCode="0.0000%"/>
    <numFmt numFmtId="172" formatCode="&quot;$&quot;#,##0.00"/>
    <numFmt numFmtId="173" formatCode="_-&quot;$&quot;\ * #,##0_-;\-&quot;$&quot;\ * #,##0_-;_-&quot;$&quot;\ * &quot;-&quot;??_-;_-@_-"/>
    <numFmt numFmtId="174" formatCode="ddd\,\ m/d/yyyy"/>
    <numFmt numFmtId="175" formatCode="[$-C0A]d\ &quot;de&quot;\ mmmm\ &quot;de&quot;\ yyyy;@"/>
    <numFmt numFmtId="176" formatCode="d"/>
    <numFmt numFmtId="177" formatCode="d\-m\-yy;@"/>
    <numFmt numFmtId="178" formatCode="_-&quot;$&quot;\ * #,##0.000_-;\-&quot;$&quot;\ * #,##0.000_-;_-&quot;$&quot;\ * &quot;-&quot;??_-;_-@_-"/>
    <numFmt numFmtId="179" formatCode="#,##0.0&quot; MESES&quot;"/>
    <numFmt numFmtId="180" formatCode="#,##0&quot; DÍAS&quot;"/>
    <numFmt numFmtId="181" formatCode="&quot;$&quot;\ #,##0"/>
    <numFmt numFmtId="182" formatCode="_-* #,##0_-;\-* #,##0_-;_-* &quot;-&quot;??_-;_-@_-"/>
    <numFmt numFmtId="183" formatCode="#,##0.00&quot; SMMLV&quot;"/>
    <numFmt numFmtId="184" formatCode="_-[$$-240A]\ * #,##0.00_-;\-[$$-240A]\ * #,##0.00_-;_-[$$-240A]\ * &quot;-&quot;??_-;_-@"/>
    <numFmt numFmtId="185" formatCode="_ &quot;$&quot;\ * #,##0_ ;_ &quot;$&quot;\ * \-#,##0_ ;_ &quot;$&quot;\ * &quot;-&quot;_ ;_ @_ "/>
    <numFmt numFmtId="186" formatCode="_-&quot;$&quot;* #,##0_-;\-&quot;$&quot;* #,##0_-;_-&quot;$&quot;* &quot;-&quot;??_-;_-@_-"/>
    <numFmt numFmtId="187" formatCode="_ &quot;$&quot;\ * #,##0.00_ ;_ &quot;$&quot;\ * \-#,##0.00_ ;_ &quot;$&quot;\ * &quot;-&quot;??_ ;_ @_ "/>
  </numFmts>
  <fonts count="92">
    <font>
      <sz val="11"/>
      <name val="Carlito"/>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rgb="FFFFFFFF"/>
      <name val="Aptos Display"/>
      <family val="2"/>
    </font>
    <font>
      <b/>
      <sz val="11"/>
      <color rgb="FFFFFFFF"/>
      <name val="Carlito"/>
    </font>
    <font>
      <b/>
      <sz val="9"/>
      <color rgb="FF1F1F1F"/>
      <name val="Aptos"/>
      <family val="2"/>
    </font>
    <font>
      <sz val="9"/>
      <color rgb="FF1F1F1F"/>
      <name val="Aptos"/>
      <family val="2"/>
    </font>
    <font>
      <b/>
      <sz val="9"/>
      <color rgb="FFFFFFFF"/>
      <name val="Aptos"/>
      <family val="2"/>
    </font>
    <font>
      <b/>
      <sz val="9"/>
      <color rgb="FF595959"/>
      <name val="Aptos"/>
      <family val="2"/>
    </font>
    <font>
      <b/>
      <sz val="9"/>
      <color rgb="FF1F4E3D"/>
      <name val="Aptos"/>
      <family val="2"/>
    </font>
    <font>
      <i/>
      <sz val="11"/>
      <color rgb="FF17483A"/>
      <name val="Carlito"/>
    </font>
    <font>
      <b/>
      <sz val="11"/>
      <color rgb="FF17483A"/>
      <name val="Carlito"/>
    </font>
    <font>
      <b/>
      <sz val="11"/>
      <color rgb="FF1F4E78"/>
      <name val="Carlito"/>
    </font>
    <font>
      <b/>
      <sz val="9"/>
      <color rgb="FFFFFFFF"/>
      <name val="Carlito"/>
    </font>
    <font>
      <sz val="11"/>
      <color rgb="FF1F4E78"/>
      <name val="Carlito"/>
    </font>
    <font>
      <b/>
      <sz val="10"/>
      <color rgb="FFFFFFFF"/>
      <name val="Carlito"/>
    </font>
    <font>
      <i/>
      <sz val="9"/>
      <color rgb="FF17483A"/>
      <name val="Carlito"/>
    </font>
    <font>
      <b/>
      <sz val="11"/>
      <color rgb="FF1F1F1F"/>
      <name val="Carlito"/>
    </font>
    <font>
      <sz val="11"/>
      <color rgb="FF17483A"/>
      <name val="Carlito"/>
    </font>
    <font>
      <b/>
      <i/>
      <sz val="9"/>
      <color rgb="FF1F4E78"/>
      <name val="Carlito"/>
    </font>
    <font>
      <b/>
      <sz val="10"/>
      <color rgb="FF24342E"/>
      <name val="Aptos"/>
      <family val="2"/>
    </font>
    <font>
      <sz val="10"/>
      <color rgb="FF24342E"/>
      <name val="Aptos"/>
      <family val="2"/>
    </font>
    <font>
      <sz val="10"/>
      <color rgb="FF24342E"/>
      <name val="Carlito"/>
    </font>
    <font>
      <sz val="10"/>
      <color rgb="FF1F4E78"/>
      <name val="Aptos"/>
      <family val="2"/>
    </font>
    <font>
      <b/>
      <sz val="10"/>
      <color rgb="FF174538"/>
      <name val="Aptos"/>
      <family val="2"/>
    </font>
    <font>
      <b/>
      <sz val="10"/>
      <color rgb="FFFFFFFF"/>
      <name val="Aptos"/>
      <family val="2"/>
    </font>
    <font>
      <b/>
      <sz val="10"/>
      <color rgb="FF174538"/>
      <name val="Carlito"/>
    </font>
    <font>
      <b/>
      <sz val="10"/>
      <color rgb="FF000000"/>
      <name val="Carlito"/>
    </font>
    <font>
      <b/>
      <sz val="9"/>
      <color rgb="FF000000"/>
      <name val="Carlito"/>
    </font>
    <font>
      <sz val="9"/>
      <name val="Aptos"/>
      <family val="2"/>
    </font>
    <font>
      <b/>
      <sz val="9"/>
      <color rgb="FF174538"/>
      <name val="Aptos"/>
      <family val="2"/>
    </font>
    <font>
      <sz val="11"/>
      <name val="Carlito"/>
    </font>
    <font>
      <b/>
      <sz val="10"/>
      <color theme="0"/>
      <name val="Aptos"/>
      <family val="2"/>
    </font>
    <font>
      <b/>
      <sz val="10"/>
      <color rgb="FFFFFFFF"/>
      <name val="Aptos Display"/>
      <family val="2"/>
    </font>
    <font>
      <sz val="10"/>
      <name val="Carlito"/>
    </font>
    <font>
      <sz val="10"/>
      <color rgb="FF1F1F1F"/>
      <name val="Aptos"/>
      <family val="2"/>
    </font>
    <font>
      <b/>
      <sz val="10"/>
      <color rgb="FF1F4E3D"/>
      <name val="Aptos"/>
      <family val="2"/>
    </font>
    <font>
      <b/>
      <sz val="11"/>
      <color theme="1"/>
      <name val="Calibri"/>
      <family val="2"/>
      <scheme val="minor"/>
    </font>
    <font>
      <sz val="11"/>
      <color theme="0"/>
      <name val="Calibri"/>
      <family val="2"/>
      <scheme val="minor"/>
    </font>
    <font>
      <b/>
      <sz val="22"/>
      <color theme="1" tint="0.34998626667073579"/>
      <name val="Calibri Light"/>
      <family val="2"/>
      <scheme val="major"/>
    </font>
    <font>
      <b/>
      <sz val="11"/>
      <name val="Calibri"/>
      <family val="2"/>
      <scheme val="minor"/>
    </font>
    <font>
      <sz val="18"/>
      <color rgb="FFFF0000"/>
      <name val="Calibri"/>
      <family val="2"/>
      <scheme val="minor"/>
    </font>
    <font>
      <sz val="14"/>
      <color theme="1"/>
      <name val="Calibri"/>
      <family val="2"/>
      <scheme val="minor"/>
    </font>
    <font>
      <b/>
      <sz val="14"/>
      <color theme="1"/>
      <name val="Calibri"/>
      <family val="2"/>
      <scheme val="minor"/>
    </font>
    <font>
      <u/>
      <sz val="11"/>
      <color indexed="12"/>
      <name val="Arial"/>
      <family val="2"/>
    </font>
    <font>
      <sz val="10"/>
      <name val="Arial"/>
      <family val="2"/>
    </font>
    <font>
      <b/>
      <sz val="16"/>
      <color theme="1"/>
      <name val="Calibri"/>
      <family val="2"/>
      <scheme val="minor"/>
    </font>
    <font>
      <sz val="9"/>
      <name val="Calibri"/>
      <family val="2"/>
      <scheme val="minor"/>
    </font>
    <font>
      <b/>
      <sz val="9"/>
      <color theme="0"/>
      <name val="Calibri"/>
      <family val="2"/>
      <scheme val="minor"/>
    </font>
    <font>
      <sz val="8"/>
      <color theme="0"/>
      <name val="Calibri"/>
      <family val="2"/>
      <scheme val="minor"/>
    </font>
    <font>
      <b/>
      <sz val="12"/>
      <color theme="1"/>
      <name val="Calibri"/>
      <family val="2"/>
      <scheme val="minor"/>
    </font>
    <font>
      <sz val="11"/>
      <name val="Calibri"/>
      <family val="2"/>
      <scheme val="minor"/>
    </font>
    <font>
      <b/>
      <sz val="12"/>
      <name val="Arial"/>
      <family val="2"/>
    </font>
    <font>
      <sz val="28"/>
      <color theme="0"/>
      <name val="Calibri"/>
      <family val="2"/>
      <scheme val="minor"/>
    </font>
    <font>
      <sz val="20"/>
      <color rgb="FFFF0000"/>
      <name val="Calibri"/>
      <family val="2"/>
      <scheme val="minor"/>
    </font>
    <font>
      <b/>
      <sz val="11"/>
      <color rgb="FFFF0000"/>
      <name val="Calibri"/>
      <family val="2"/>
      <scheme val="minor"/>
    </font>
    <font>
      <b/>
      <sz val="10"/>
      <color indexed="8"/>
      <name val="Calibri"/>
      <family val="2"/>
    </font>
    <font>
      <sz val="11"/>
      <color rgb="FF000000"/>
      <name val="Calibri"/>
      <family val="2"/>
    </font>
    <font>
      <b/>
      <sz val="11"/>
      <color rgb="FF000000"/>
      <name val="Calibri"/>
      <family val="2"/>
    </font>
    <font>
      <sz val="11"/>
      <name val="Calibri"/>
      <family val="2"/>
    </font>
    <font>
      <sz val="10"/>
      <color indexed="8"/>
      <name val="Calibri"/>
      <family val="2"/>
    </font>
    <font>
      <b/>
      <sz val="12"/>
      <color rgb="FFFF0000"/>
      <name val="Arial Narrow"/>
      <family val="2"/>
    </font>
    <font>
      <b/>
      <sz val="11"/>
      <color rgb="FFFF0000"/>
      <name val="Arial Narrow"/>
      <family val="2"/>
    </font>
    <font>
      <sz val="11"/>
      <color theme="1"/>
      <name val="Arial Narrow"/>
      <family val="2"/>
    </font>
    <font>
      <b/>
      <sz val="10"/>
      <name val="Franklin Gothic Book"/>
      <family val="2"/>
    </font>
    <font>
      <b/>
      <sz val="8"/>
      <name val="Arial"/>
      <family val="2"/>
    </font>
    <font>
      <sz val="12"/>
      <name val="Arial Narrow"/>
      <family val="2"/>
    </font>
    <font>
      <sz val="11"/>
      <name val="Arial Narrow"/>
      <family val="2"/>
    </font>
    <font>
      <sz val="11"/>
      <color theme="1"/>
      <name val="Calibri"/>
      <family val="2"/>
    </font>
    <font>
      <i/>
      <sz val="11"/>
      <color rgb="FF000000"/>
      <name val="Calibri"/>
      <family val="2"/>
    </font>
    <font>
      <sz val="11"/>
      <color theme="1"/>
      <name val="Arial"/>
      <family val="2"/>
    </font>
    <font>
      <b/>
      <sz val="10"/>
      <color rgb="FFFF0000"/>
      <name val="Arial Narrow"/>
      <family val="2"/>
    </font>
    <font>
      <b/>
      <sz val="10"/>
      <color theme="1"/>
      <name val="Calibri"/>
      <family val="2"/>
      <scheme val="minor"/>
    </font>
    <font>
      <b/>
      <sz val="11"/>
      <color theme="1"/>
      <name val="Arial Narrow"/>
      <family val="2"/>
    </font>
    <font>
      <sz val="12"/>
      <color theme="1"/>
      <name val="Arial Narrow"/>
      <family val="2"/>
    </font>
    <font>
      <b/>
      <sz val="10"/>
      <name val="Arial Narrow"/>
      <family val="2"/>
    </font>
    <font>
      <b/>
      <sz val="12"/>
      <name val="Eras Medium ITC"/>
      <family val="2"/>
    </font>
    <font>
      <sz val="12"/>
      <name val="Eras Medium ITC"/>
      <family val="2"/>
    </font>
    <font>
      <sz val="10"/>
      <color theme="0"/>
      <name val="Arial Narrow"/>
      <family val="2"/>
    </font>
    <font>
      <sz val="10"/>
      <color theme="1"/>
      <name val="Arial Narrow"/>
      <family val="2"/>
    </font>
    <font>
      <i/>
      <sz val="12"/>
      <color theme="1"/>
      <name val="Times New Roman"/>
      <family val="1"/>
    </font>
    <font>
      <b/>
      <sz val="10"/>
      <name val="Arial"/>
      <family val="2"/>
    </font>
    <font>
      <b/>
      <sz val="12"/>
      <color theme="1"/>
      <name val="Arial Narrow"/>
      <family val="2"/>
    </font>
    <font>
      <sz val="10"/>
      <color indexed="8"/>
      <name val="Arial Narrow"/>
      <family val="2"/>
    </font>
    <font>
      <sz val="10"/>
      <name val="Franklin Gothic Book"/>
      <family val="2"/>
    </font>
    <font>
      <sz val="9"/>
      <name val="Calibri"/>
      <family val="2"/>
    </font>
    <font>
      <b/>
      <i/>
      <sz val="10"/>
      <color rgb="FFFF0000"/>
      <name val="Calibri"/>
      <family val="2"/>
    </font>
    <font>
      <b/>
      <i/>
      <sz val="10"/>
      <name val="Calibri"/>
      <family val="2"/>
    </font>
    <font>
      <b/>
      <u/>
      <sz val="10"/>
      <color rgb="FFC00000"/>
      <name val="Arial"/>
      <family val="2"/>
    </font>
    <font>
      <sz val="11"/>
      <color theme="0"/>
      <name val="Arial"/>
      <family val="2"/>
    </font>
  </fonts>
  <fills count="43">
    <fill>
      <patternFill patternType="none"/>
    </fill>
    <fill>
      <patternFill patternType="gray125"/>
    </fill>
    <fill>
      <patternFill patternType="solid">
        <fgColor rgb="FF1F4E3D"/>
      </patternFill>
    </fill>
    <fill>
      <patternFill patternType="solid">
        <fgColor rgb="FFDDE8E2"/>
      </patternFill>
    </fill>
    <fill>
      <patternFill patternType="solid">
        <fgColor rgb="FF3E6B59"/>
      </patternFill>
    </fill>
    <fill>
      <patternFill patternType="solid">
        <fgColor rgb="FFFFF2CC"/>
      </patternFill>
    </fill>
    <fill>
      <patternFill patternType="solid">
        <fgColor rgb="FFE7E6E6"/>
      </patternFill>
    </fill>
    <fill>
      <patternFill patternType="solid">
        <fgColor rgb="FFEEF4F0"/>
      </patternFill>
    </fill>
    <fill>
      <patternFill patternType="solid">
        <fgColor rgb="FFDDEBF7"/>
      </patternFill>
    </fill>
    <fill>
      <patternFill patternType="solid">
        <fgColor rgb="FF17483A"/>
      </patternFill>
    </fill>
    <fill>
      <patternFill patternType="solid">
        <fgColor rgb="FFE2F0D9"/>
      </patternFill>
    </fill>
    <fill>
      <patternFill patternType="solid">
        <fgColor rgb="FFFCE4D6"/>
      </patternFill>
    </fill>
    <fill>
      <patternFill patternType="solid">
        <fgColor rgb="FF1F5A47"/>
      </patternFill>
    </fill>
    <fill>
      <patternFill patternType="solid">
        <fgColor rgb="FFD9EAF7"/>
      </patternFill>
    </fill>
    <fill>
      <patternFill patternType="solid">
        <fgColor rgb="FFDCEAE4"/>
      </patternFill>
    </fill>
    <fill>
      <patternFill patternType="solid">
        <fgColor rgb="FFEEF5F2"/>
      </patternFill>
    </fill>
    <fill>
      <patternFill patternType="solid">
        <fgColor rgb="FF1F5A49"/>
      </patternFill>
    </fill>
    <fill>
      <patternFill patternType="solid">
        <fgColor rgb="FFDDEBE5"/>
      </patternFill>
    </fill>
    <fill>
      <patternFill patternType="solid">
        <fgColor rgb="FFFFFFFF"/>
      </patternFill>
    </fill>
    <fill>
      <patternFill patternType="solid">
        <fgColor rgb="FF92D05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1" tint="0.34998626667073579"/>
        <bgColor theme="4"/>
      </patternFill>
    </fill>
    <fill>
      <patternFill patternType="solid">
        <fgColor theme="1" tint="0.34998626667073579"/>
        <bgColor indexed="64"/>
      </patternFill>
    </fill>
    <fill>
      <patternFill patternType="solid">
        <fgColor rgb="FF00B0F0"/>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rgb="FFA5A5A5"/>
        <bgColor rgb="FFA5A5A5"/>
      </patternFill>
    </fill>
    <fill>
      <patternFill patternType="solid">
        <fgColor theme="4" tint="0.79998168889431442"/>
        <bgColor indexed="64"/>
      </patternFill>
    </fill>
    <fill>
      <patternFill patternType="solid">
        <fgColor rgb="FFB4C6E7"/>
        <bgColor rgb="FFB4C6E7"/>
      </patternFill>
    </fill>
    <fill>
      <patternFill patternType="solid">
        <fgColor rgb="FFD8D8D8"/>
        <bgColor rgb="FFD8D8D8"/>
      </patternFill>
    </fill>
    <fill>
      <patternFill patternType="solid">
        <fgColor theme="0" tint="-0.14999847407452621"/>
        <bgColor rgb="FFFFFFFF"/>
      </patternFill>
    </fill>
    <fill>
      <patternFill patternType="solid">
        <fgColor theme="7" tint="0.59999389629810485"/>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rgb="FFC00000"/>
        <bgColor indexed="64"/>
      </patternFill>
    </fill>
  </fills>
  <borders count="64">
    <border>
      <left/>
      <right/>
      <top/>
      <bottom/>
      <diagonal/>
    </border>
    <border>
      <left style="thin">
        <color rgb="FF1F4E3D"/>
      </left>
      <right style="thin">
        <color rgb="FF1F4E3D"/>
      </right>
      <top style="thin">
        <color rgb="FF1F4E3D"/>
      </top>
      <bottom style="thin">
        <color rgb="FF1F4E3D"/>
      </bottom>
      <diagonal/>
    </border>
    <border>
      <left style="thin">
        <color rgb="FFFFFFFF"/>
      </left>
      <right style="thin">
        <color rgb="FFFFFFFF"/>
      </right>
      <top style="thin">
        <color rgb="FFFFFFFF"/>
      </top>
      <bottom style="thin">
        <color rgb="FFFFFFFF"/>
      </bottom>
      <diagonal/>
    </border>
    <border>
      <left style="thin">
        <color rgb="FFA6A6A6"/>
      </left>
      <right style="thin">
        <color rgb="FFA6A6A6"/>
      </right>
      <top style="thin">
        <color rgb="FFA6A6A6"/>
      </top>
      <bottom style="thin">
        <color rgb="FFA6A6A6"/>
      </bottom>
      <diagonal/>
    </border>
    <border>
      <left style="medium">
        <color rgb="FF1F4E3D"/>
      </left>
      <right style="medium">
        <color rgb="FF1F4E3D"/>
      </right>
      <top style="medium">
        <color rgb="FF1F4E3D"/>
      </top>
      <bottom style="medium">
        <color rgb="FF1F4E3D"/>
      </bottom>
      <diagonal/>
    </border>
    <border>
      <left style="thin">
        <color rgb="FF9EAAA5"/>
      </left>
      <right style="thin">
        <color rgb="FF9EAAA5"/>
      </right>
      <top style="thin">
        <color rgb="FF9EAAA5"/>
      </top>
      <bottom style="thin">
        <color rgb="FF9EAAA5"/>
      </bottom>
      <diagonal/>
    </border>
    <border>
      <left style="thin">
        <color rgb="FFAABAB3"/>
      </left>
      <right style="thin">
        <color rgb="FFAABAB3"/>
      </right>
      <top style="thin">
        <color rgb="FFAABAB3"/>
      </top>
      <bottom style="thin">
        <color rgb="FFAABAB3"/>
      </bottom>
      <diagonal/>
    </border>
    <border>
      <left style="thin">
        <color rgb="FFAABAB3"/>
      </left>
      <right/>
      <top style="thin">
        <color rgb="FFAABAB3"/>
      </top>
      <bottom style="thin">
        <color rgb="FFAABAB3"/>
      </bottom>
      <diagonal/>
    </border>
    <border>
      <left/>
      <right/>
      <top style="thin">
        <color rgb="FFAABAB3"/>
      </top>
      <bottom style="thin">
        <color rgb="FFAABAB3"/>
      </bottom>
      <diagonal/>
    </border>
    <border>
      <left/>
      <right style="thin">
        <color rgb="FFAABAB3"/>
      </right>
      <top style="thin">
        <color rgb="FFAABAB3"/>
      </top>
      <bottom style="thin">
        <color rgb="FFAABAB3"/>
      </bottom>
      <diagonal/>
    </border>
    <border>
      <left style="medium">
        <color rgb="FF1F4E3D"/>
      </left>
      <right/>
      <top style="medium">
        <color rgb="FF1F4E3D"/>
      </top>
      <bottom style="medium">
        <color rgb="FF1F4E3D"/>
      </bottom>
      <diagonal/>
    </border>
    <border>
      <left/>
      <right/>
      <top style="medium">
        <color rgb="FF1F4E3D"/>
      </top>
      <bottom style="medium">
        <color rgb="FF1F4E3D"/>
      </bottom>
      <diagonal/>
    </border>
    <border>
      <left/>
      <right style="medium">
        <color rgb="FF1F4E3D"/>
      </right>
      <top style="medium">
        <color rgb="FF1F4E3D"/>
      </top>
      <bottom style="medium">
        <color rgb="FF1F4E3D"/>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theme="0" tint="-0.34998626667073579"/>
      </top>
      <bottom/>
      <diagonal/>
    </border>
    <border>
      <left/>
      <right style="thin">
        <color theme="0" tint="-0.34998626667073579"/>
      </right>
      <top/>
      <bottom/>
      <diagonal/>
    </border>
    <border>
      <left style="thin">
        <color theme="0" tint="-0.34998626667073579"/>
      </left>
      <right/>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style="medium">
        <color theme="0" tint="-0.14996795556505021"/>
      </top>
      <bottom style="medium">
        <color theme="0" tint="-0.14996795556505021"/>
      </bottom>
      <diagonal/>
    </border>
    <border>
      <left/>
      <right style="thin">
        <color theme="0" tint="-0.14993743705557422"/>
      </right>
      <top style="medium">
        <color theme="0" tint="-0.14996795556505021"/>
      </top>
      <bottom style="medium">
        <color theme="0" tint="-0.1499679555650502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rgb="FF9EAAA5"/>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indexed="64"/>
      </left>
      <right style="medium">
        <color indexed="64"/>
      </right>
      <top style="medium">
        <color indexed="64"/>
      </top>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9">
    <xf numFmtId="0" fontId="0" fillId="0" borderId="0"/>
    <xf numFmtId="164" fontId="33" fillId="0" borderId="0" applyFont="0" applyFill="0" applyBorder="0" applyAlignment="0" applyProtection="0"/>
    <xf numFmtId="9" fontId="33" fillId="0" borderId="0" applyFont="0" applyFill="0" applyBorder="0" applyAlignment="0" applyProtection="0"/>
    <xf numFmtId="0" fontId="40" fillId="0" borderId="0"/>
    <xf numFmtId="0" fontId="41" fillId="0" borderId="0" applyNumberFormat="0" applyFill="0" applyBorder="0" applyAlignment="0" applyProtection="0"/>
    <xf numFmtId="0" fontId="4" fillId="0" borderId="0"/>
    <xf numFmtId="0" fontId="44" fillId="0" borderId="0" applyNumberFormat="0" applyFill="0" applyAlignment="0" applyProtection="0"/>
    <xf numFmtId="0" fontId="46" fillId="0" borderId="0" applyNumberFormat="0" applyFill="0" applyBorder="0" applyAlignment="0" applyProtection="0">
      <alignment vertical="top"/>
      <protection locked="0"/>
    </xf>
    <xf numFmtId="0" fontId="4" fillId="0" borderId="0" applyNumberFormat="0" applyFill="0" applyProtection="0">
      <alignment horizontal="right" indent="1"/>
    </xf>
    <xf numFmtId="174" fontId="4" fillId="0" borderId="19">
      <alignment horizontal="center" vertical="center"/>
    </xf>
    <xf numFmtId="0" fontId="4" fillId="0" borderId="32" applyFill="0">
      <alignment horizontal="center" vertical="center"/>
    </xf>
    <xf numFmtId="9" fontId="4" fillId="0" borderId="0" applyFont="0" applyFill="0" applyBorder="0" applyAlignment="0" applyProtection="0"/>
    <xf numFmtId="177" fontId="4" fillId="0" borderId="32" applyFill="0">
      <alignment horizontal="center" vertical="center"/>
    </xf>
    <xf numFmtId="0" fontId="3" fillId="0" borderId="0"/>
    <xf numFmtId="0" fontId="3" fillId="0" borderId="0" applyNumberFormat="0" applyFill="0" applyProtection="0">
      <alignment horizontal="right" indent="1"/>
    </xf>
    <xf numFmtId="174" fontId="3" fillId="0" borderId="19">
      <alignment horizontal="center" vertical="center"/>
    </xf>
    <xf numFmtId="0" fontId="3" fillId="0" borderId="32" applyFill="0">
      <alignment horizontal="center" vertical="center"/>
    </xf>
    <xf numFmtId="9" fontId="3" fillId="0" borderId="0" applyFont="0" applyFill="0" applyBorder="0" applyAlignment="0" applyProtection="0"/>
    <xf numFmtId="177" fontId="3" fillId="0" borderId="32" applyFill="0">
      <alignment horizontal="center" vertical="center"/>
    </xf>
    <xf numFmtId="0" fontId="2" fillId="0" borderId="0"/>
    <xf numFmtId="164"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47" fillId="0" borderId="0"/>
    <xf numFmtId="0" fontId="47" fillId="0" borderId="0"/>
    <xf numFmtId="0" fontId="47" fillId="0" borderId="0"/>
    <xf numFmtId="0" fontId="47" fillId="0" borderId="0"/>
    <xf numFmtId="0" fontId="72" fillId="0" borderId="0"/>
    <xf numFmtId="0" fontId="47" fillId="0" borderId="0"/>
    <xf numFmtId="185" fontId="47" fillId="0" borderId="0" applyFont="0" applyFill="0" applyBorder="0" applyAlignment="0" applyProtection="0"/>
    <xf numFmtId="9" fontId="47" fillId="0" borderId="0" applyFont="0" applyFill="0" applyBorder="0" applyAlignment="0" applyProtection="0"/>
    <xf numFmtId="0" fontId="1" fillId="0" borderId="0"/>
    <xf numFmtId="0" fontId="1" fillId="0" borderId="0"/>
    <xf numFmtId="0" fontId="47" fillId="0" borderId="0"/>
    <xf numFmtId="164" fontId="1" fillId="0" borderId="0" applyFont="0" applyFill="0" applyBorder="0" applyAlignment="0" applyProtection="0"/>
    <xf numFmtId="9" fontId="47" fillId="0" borderId="0" applyFont="0" applyFill="0" applyBorder="0" applyAlignment="0" applyProtection="0"/>
    <xf numFmtId="187" fontId="47" fillId="0" borderId="0" applyFont="0" applyFill="0" applyBorder="0" applyAlignment="0" applyProtection="0"/>
    <xf numFmtId="0" fontId="47" fillId="0" borderId="0"/>
  </cellStyleXfs>
  <cellXfs count="524">
    <xf numFmtId="0" fontId="0" fillId="0" borderId="0" xfId="0"/>
    <xf numFmtId="0" fontId="8" fillId="0" borderId="0" xfId="0" applyFont="1" applyAlignment="1">
      <alignment vertical="center"/>
    </xf>
    <xf numFmtId="0" fontId="9" fillId="4" borderId="2" xfId="0" applyFont="1" applyFill="1" applyBorder="1" applyAlignment="1">
      <alignment horizontal="center" vertical="center" wrapText="1"/>
    </xf>
    <xf numFmtId="0" fontId="8" fillId="0" borderId="3" xfId="0" applyFont="1" applyBorder="1" applyAlignment="1">
      <alignment vertical="center" wrapText="1"/>
    </xf>
    <xf numFmtId="0" fontId="8" fillId="0" borderId="3" xfId="0" applyFont="1" applyBorder="1" applyAlignment="1">
      <alignment horizontal="center" vertical="center" wrapText="1"/>
    </xf>
    <xf numFmtId="0" fontId="9" fillId="2" borderId="2" xfId="0" applyFont="1" applyFill="1" applyBorder="1" applyAlignment="1">
      <alignment vertical="center" wrapText="1"/>
    </xf>
    <xf numFmtId="165" fontId="8" fillId="0" borderId="3" xfId="0" applyNumberFormat="1" applyFont="1" applyBorder="1" applyAlignment="1">
      <alignment vertical="center" wrapText="1"/>
    </xf>
    <xf numFmtId="10" fontId="8" fillId="5" borderId="3" xfId="0" applyNumberFormat="1" applyFont="1" applyFill="1" applyBorder="1" applyAlignment="1">
      <alignment vertical="center" wrapText="1"/>
    </xf>
    <xf numFmtId="166" fontId="11" fillId="3" borderId="4" xfId="0" applyNumberFormat="1" applyFont="1" applyFill="1" applyBorder="1" applyAlignment="1">
      <alignment vertical="center"/>
    </xf>
    <xf numFmtId="10" fontId="8" fillId="0" borderId="3" xfId="0" applyNumberFormat="1" applyFont="1" applyBorder="1" applyAlignment="1">
      <alignment vertical="center" wrapText="1"/>
    </xf>
    <xf numFmtId="10" fontId="9" fillId="2" borderId="4" xfId="0" applyNumberFormat="1" applyFont="1" applyFill="1" applyBorder="1" applyAlignment="1">
      <alignment vertical="center" wrapText="1"/>
    </xf>
    <xf numFmtId="10" fontId="7" fillId="6" borderId="3" xfId="0" applyNumberFormat="1" applyFont="1" applyFill="1" applyBorder="1" applyAlignment="1">
      <alignment vertical="center" wrapText="1"/>
    </xf>
    <xf numFmtId="0" fontId="14" fillId="8" borderId="0" xfId="0" applyFont="1" applyFill="1"/>
    <xf numFmtId="0" fontId="0" fillId="0" borderId="5" xfId="0" applyBorder="1"/>
    <xf numFmtId="0" fontId="16" fillId="8" borderId="5" xfId="0" applyFont="1" applyFill="1" applyBorder="1"/>
    <xf numFmtId="167" fontId="16" fillId="8" borderId="5" xfId="0" applyNumberFormat="1" applyFont="1" applyFill="1" applyBorder="1"/>
    <xf numFmtId="168" fontId="0" fillId="0" borderId="5" xfId="0" applyNumberFormat="1" applyBorder="1"/>
    <xf numFmtId="167" fontId="0" fillId="0" borderId="5" xfId="0" applyNumberFormat="1" applyBorder="1"/>
    <xf numFmtId="10" fontId="0" fillId="0" borderId="5" xfId="0" applyNumberFormat="1" applyBorder="1"/>
    <xf numFmtId="10" fontId="16" fillId="8" borderId="5" xfId="0" applyNumberFormat="1" applyFont="1" applyFill="1" applyBorder="1"/>
    <xf numFmtId="169" fontId="16" fillId="8" borderId="5" xfId="0" applyNumberFormat="1" applyFont="1" applyFill="1" applyBorder="1"/>
    <xf numFmtId="2" fontId="16" fillId="8" borderId="5" xfId="0" applyNumberFormat="1" applyFont="1" applyFill="1" applyBorder="1"/>
    <xf numFmtId="168" fontId="0" fillId="0" borderId="0" xfId="0" applyNumberFormat="1"/>
    <xf numFmtId="0" fontId="0" fillId="0" borderId="5" xfId="0" applyBorder="1" applyAlignment="1">
      <alignment wrapText="1"/>
    </xf>
    <xf numFmtId="10" fontId="14" fillId="8" borderId="5" xfId="0" applyNumberFormat="1" applyFont="1" applyFill="1" applyBorder="1"/>
    <xf numFmtId="2" fontId="0" fillId="0" borderId="5" xfId="0" applyNumberFormat="1" applyBorder="1"/>
    <xf numFmtId="168" fontId="16" fillId="8" borderId="5" xfId="0" applyNumberFormat="1" applyFont="1" applyFill="1" applyBorder="1"/>
    <xf numFmtId="168" fontId="20" fillId="10" borderId="5" xfId="0" applyNumberFormat="1" applyFont="1" applyFill="1" applyBorder="1"/>
    <xf numFmtId="170" fontId="0" fillId="0" borderId="5" xfId="0" applyNumberFormat="1" applyBorder="1"/>
    <xf numFmtId="170" fontId="16" fillId="8" borderId="5" xfId="0" applyNumberFormat="1" applyFont="1" applyFill="1" applyBorder="1"/>
    <xf numFmtId="171" fontId="0" fillId="0" borderId="5" xfId="0" applyNumberFormat="1" applyBorder="1"/>
    <xf numFmtId="171" fontId="16" fillId="8" borderId="5" xfId="0" applyNumberFormat="1" applyFont="1" applyFill="1" applyBorder="1"/>
    <xf numFmtId="2" fontId="21" fillId="8" borderId="0" xfId="0" applyNumberFormat="1" applyFont="1" applyFill="1" applyAlignment="1">
      <alignment horizontal="center" vertical="center" wrapText="1"/>
    </xf>
    <xf numFmtId="10" fontId="21" fillId="8" borderId="0" xfId="0" applyNumberFormat="1" applyFont="1" applyFill="1" applyAlignment="1">
      <alignment horizontal="center" vertical="center" wrapText="1"/>
    </xf>
    <xf numFmtId="10" fontId="14" fillId="8" borderId="0" xfId="0" applyNumberFormat="1" applyFont="1" applyFill="1"/>
    <xf numFmtId="168" fontId="8" fillId="0" borderId="3" xfId="0" applyNumberFormat="1" applyFont="1" applyBorder="1" applyAlignment="1">
      <alignment vertical="center" wrapText="1"/>
    </xf>
    <xf numFmtId="168" fontId="9" fillId="2" borderId="4" xfId="0" applyNumberFormat="1" applyFont="1" applyFill="1" applyBorder="1" applyAlignment="1">
      <alignment vertical="center" wrapText="1"/>
    </xf>
    <xf numFmtId="168" fontId="7" fillId="6" borderId="3" xfId="0" applyNumberFormat="1" applyFont="1" applyFill="1" applyBorder="1" applyAlignment="1">
      <alignment vertical="center" wrapText="1"/>
    </xf>
    <xf numFmtId="0" fontId="22" fillId="3" borderId="6" xfId="0" applyFont="1" applyFill="1" applyBorder="1" applyAlignment="1">
      <alignment vertical="center" wrapText="1"/>
    </xf>
    <xf numFmtId="0" fontId="23" fillId="0" borderId="6" xfId="0" applyFont="1" applyBorder="1" applyAlignment="1">
      <alignment vertical="center" wrapText="1"/>
    </xf>
    <xf numFmtId="0" fontId="23" fillId="0" borderId="6" xfId="0" applyFont="1" applyBorder="1" applyAlignment="1">
      <alignment vertical="center"/>
    </xf>
    <xf numFmtId="0" fontId="24" fillId="0" borderId="6" xfId="0" applyFont="1" applyBorder="1" applyAlignment="1">
      <alignment wrapText="1"/>
    </xf>
    <xf numFmtId="168" fontId="22" fillId="3" borderId="6" xfId="0" applyNumberFormat="1" applyFont="1" applyFill="1" applyBorder="1" applyAlignment="1">
      <alignment vertical="center" wrapText="1"/>
    </xf>
    <xf numFmtId="168" fontId="23" fillId="0" borderId="6" xfId="0" applyNumberFormat="1" applyFont="1" applyBorder="1" applyAlignment="1">
      <alignment vertical="center" wrapText="1"/>
    </xf>
    <xf numFmtId="168" fontId="23" fillId="0" borderId="6" xfId="0" applyNumberFormat="1" applyFont="1" applyBorder="1" applyAlignment="1">
      <alignment vertical="center"/>
    </xf>
    <xf numFmtId="167" fontId="0" fillId="11" borderId="5" xfId="0" applyNumberFormat="1" applyFill="1" applyBorder="1"/>
    <xf numFmtId="10" fontId="23" fillId="0" borderId="6" xfId="0" applyNumberFormat="1" applyFont="1" applyBorder="1" applyAlignment="1">
      <alignment vertical="center" wrapText="1"/>
    </xf>
    <xf numFmtId="0" fontId="8" fillId="0" borderId="0" xfId="0" applyFont="1" applyAlignment="1">
      <alignment vertical="center" wrapText="1"/>
    </xf>
    <xf numFmtId="168" fontId="24" fillId="0" borderId="6" xfId="0" applyNumberFormat="1" applyFont="1" applyBorder="1" applyAlignment="1">
      <alignment wrapText="1"/>
    </xf>
    <xf numFmtId="10" fontId="24" fillId="0" borderId="6" xfId="0" applyNumberFormat="1" applyFont="1" applyBorder="1" applyAlignment="1">
      <alignment wrapText="1"/>
    </xf>
    <xf numFmtId="4" fontId="0" fillId="0" borderId="0" xfId="0" applyNumberFormat="1"/>
    <xf numFmtId="4" fontId="22" fillId="3" borderId="6" xfId="0" applyNumberFormat="1" applyFont="1" applyFill="1" applyBorder="1" applyAlignment="1">
      <alignment vertical="center" wrapText="1"/>
    </xf>
    <xf numFmtId="168" fontId="8" fillId="0" borderId="0" xfId="0" applyNumberFormat="1" applyFont="1" applyAlignment="1">
      <alignment vertical="center"/>
    </xf>
    <xf numFmtId="168" fontId="9" fillId="2" borderId="2" xfId="0" applyNumberFormat="1" applyFont="1" applyFill="1" applyBorder="1" applyAlignment="1">
      <alignment vertical="center" wrapText="1"/>
    </xf>
    <xf numFmtId="168" fontId="9" fillId="4" borderId="2" xfId="0" applyNumberFormat="1" applyFont="1" applyFill="1" applyBorder="1" applyAlignment="1">
      <alignment horizontal="center" vertical="center" wrapText="1"/>
    </xf>
    <xf numFmtId="168" fontId="11" fillId="7" borderId="3" xfId="0" applyNumberFormat="1" applyFont="1" applyFill="1" applyBorder="1" applyAlignment="1">
      <alignment vertical="center"/>
    </xf>
    <xf numFmtId="168" fontId="11" fillId="3" borderId="4" xfId="0" applyNumberFormat="1" applyFont="1" applyFill="1" applyBorder="1" applyAlignment="1">
      <alignment vertical="center"/>
    </xf>
    <xf numFmtId="168" fontId="14" fillId="8" borderId="0" xfId="0" applyNumberFormat="1" applyFont="1" applyFill="1"/>
    <xf numFmtId="4" fontId="0" fillId="0" borderId="5" xfId="0" applyNumberFormat="1" applyBorder="1"/>
    <xf numFmtId="4" fontId="16" fillId="8" borderId="5" xfId="0" applyNumberFormat="1" applyFont="1" applyFill="1" applyBorder="1"/>
    <xf numFmtId="0" fontId="0" fillId="0" borderId="5" xfId="0" applyBorder="1" applyAlignment="1">
      <alignment vertical="center"/>
    </xf>
    <xf numFmtId="171" fontId="0" fillId="0" borderId="5" xfId="0" applyNumberFormat="1" applyBorder="1" applyAlignment="1">
      <alignment vertical="center"/>
    </xf>
    <xf numFmtId="0" fontId="6" fillId="16" borderId="5" xfId="0" applyFont="1" applyFill="1" applyBorder="1" applyAlignment="1">
      <alignment horizontal="center" vertical="center" wrapText="1"/>
    </xf>
    <xf numFmtId="0" fontId="13" fillId="17" borderId="5" xfId="0" applyFont="1" applyFill="1" applyBorder="1" applyAlignment="1">
      <alignment vertical="center"/>
    </xf>
    <xf numFmtId="171" fontId="13" fillId="17" borderId="5" xfId="0" applyNumberFormat="1" applyFont="1" applyFill="1" applyBorder="1" applyAlignment="1">
      <alignment vertical="center"/>
    </xf>
    <xf numFmtId="0" fontId="29" fillId="18" borderId="0" xfId="0" applyFont="1" applyFill="1" applyAlignment="1">
      <alignment horizontal="center" vertical="center" wrapText="1"/>
    </xf>
    <xf numFmtId="0" fontId="30" fillId="18" borderId="5" xfId="0" applyFont="1" applyFill="1" applyBorder="1" applyAlignment="1">
      <alignment horizontal="center" vertical="center" wrapText="1"/>
    </xf>
    <xf numFmtId="0" fontId="0" fillId="0" borderId="5" xfId="0" applyBorder="1" applyAlignment="1">
      <alignment vertical="center" wrapText="1"/>
    </xf>
    <xf numFmtId="0" fontId="31" fillId="0" borderId="0" xfId="0" applyFont="1"/>
    <xf numFmtId="168" fontId="31" fillId="0" borderId="0" xfId="0" applyNumberFormat="1" applyFont="1"/>
    <xf numFmtId="0" fontId="31" fillId="0" borderId="6" xfId="0" applyFont="1" applyBorder="1" applyAlignment="1">
      <alignment wrapText="1"/>
    </xf>
    <xf numFmtId="167" fontId="31" fillId="13" borderId="6" xfId="0" applyNumberFormat="1" applyFont="1" applyFill="1" applyBorder="1" applyAlignment="1">
      <alignment wrapText="1"/>
    </xf>
    <xf numFmtId="168" fontId="31" fillId="0" borderId="6" xfId="0" applyNumberFormat="1" applyFont="1" applyBorder="1" applyAlignment="1">
      <alignment wrapText="1"/>
    </xf>
    <xf numFmtId="3" fontId="0" fillId="0" borderId="0" xfId="0" applyNumberFormat="1"/>
    <xf numFmtId="10" fontId="0" fillId="0" borderId="0" xfId="0" applyNumberFormat="1"/>
    <xf numFmtId="173" fontId="0" fillId="0" borderId="5" xfId="1" applyNumberFormat="1" applyFont="1" applyBorder="1"/>
    <xf numFmtId="168" fontId="22" fillId="0" borderId="6" xfId="0" applyNumberFormat="1" applyFont="1" applyBorder="1" applyAlignment="1">
      <alignment vertical="center" wrapText="1"/>
    </xf>
    <xf numFmtId="0" fontId="36" fillId="0" borderId="0" xfId="0" applyFont="1"/>
    <xf numFmtId="0" fontId="37" fillId="0" borderId="0" xfId="0" applyFont="1" applyAlignment="1">
      <alignment vertical="center"/>
    </xf>
    <xf numFmtId="0" fontId="27" fillId="4" borderId="2" xfId="0" applyFont="1" applyFill="1" applyBorder="1" applyAlignment="1">
      <alignment horizontal="center" vertical="center" wrapText="1"/>
    </xf>
    <xf numFmtId="0" fontId="27" fillId="2" borderId="2" xfId="0" applyFont="1" applyFill="1" applyBorder="1" applyAlignment="1">
      <alignment vertical="center" wrapText="1"/>
    </xf>
    <xf numFmtId="4" fontId="27" fillId="2" borderId="2" xfId="0" applyNumberFormat="1" applyFont="1" applyFill="1" applyBorder="1" applyAlignment="1">
      <alignment vertical="center" wrapText="1"/>
    </xf>
    <xf numFmtId="4" fontId="27" fillId="4" borderId="2" xfId="0" applyNumberFormat="1" applyFont="1" applyFill="1" applyBorder="1" applyAlignment="1">
      <alignment horizontal="center" vertical="center" wrapText="1"/>
    </xf>
    <xf numFmtId="0" fontId="37" fillId="0" borderId="3" xfId="0" applyFont="1" applyBorder="1" applyAlignment="1">
      <alignment vertical="center" wrapText="1"/>
    </xf>
    <xf numFmtId="4" fontId="37" fillId="0" borderId="3" xfId="0" applyNumberFormat="1" applyFont="1" applyBorder="1" applyAlignment="1">
      <alignment vertical="center" wrapText="1"/>
    </xf>
    <xf numFmtId="4" fontId="38" fillId="3" borderId="4" xfId="0" applyNumberFormat="1" applyFont="1" applyFill="1" applyBorder="1" applyAlignment="1">
      <alignment vertical="center"/>
    </xf>
    <xf numFmtId="4" fontId="37" fillId="0" borderId="0" xfId="0" applyNumberFormat="1" applyFont="1" applyAlignment="1">
      <alignment vertical="center"/>
    </xf>
    <xf numFmtId="0" fontId="17" fillId="12" borderId="6" xfId="0" applyFont="1" applyFill="1" applyBorder="1" applyAlignment="1">
      <alignment horizontal="center" wrapText="1"/>
    </xf>
    <xf numFmtId="0" fontId="36" fillId="0" borderId="6" xfId="0" applyFont="1" applyBorder="1" applyAlignment="1">
      <alignment wrapText="1"/>
    </xf>
    <xf numFmtId="4" fontId="36" fillId="0" borderId="6" xfId="0" applyNumberFormat="1" applyFont="1" applyBorder="1" applyAlignment="1">
      <alignment wrapText="1"/>
    </xf>
    <xf numFmtId="0" fontId="9" fillId="12" borderId="6" xfId="0" applyFont="1" applyFill="1" applyBorder="1" applyAlignment="1">
      <alignment vertical="center" wrapText="1"/>
    </xf>
    <xf numFmtId="0" fontId="9" fillId="12" borderId="6" xfId="0" applyFont="1" applyFill="1" applyBorder="1" applyAlignment="1">
      <alignment horizontal="center" wrapText="1"/>
    </xf>
    <xf numFmtId="164" fontId="0" fillId="0" borderId="0" xfId="1" applyFont="1"/>
    <xf numFmtId="9" fontId="16" fillId="8" borderId="5" xfId="2" applyFont="1" applyFill="1" applyBorder="1"/>
    <xf numFmtId="0" fontId="40" fillId="0" borderId="0" xfId="3" applyAlignment="1" applyProtection="1">
      <alignment wrapText="1"/>
      <protection locked="0"/>
    </xf>
    <xf numFmtId="0" fontId="40" fillId="0" borderId="0" xfId="3" applyProtection="1">
      <protection locked="0"/>
    </xf>
    <xf numFmtId="0" fontId="47" fillId="0" borderId="0" xfId="7" applyFont="1" applyProtection="1">
      <alignment vertical="top"/>
      <protection locked="0"/>
    </xf>
    <xf numFmtId="0" fontId="42" fillId="0" borderId="0" xfId="13" applyFont="1" applyProtection="1">
      <protection locked="0"/>
    </xf>
    <xf numFmtId="0" fontId="3" fillId="0" borderId="0" xfId="13" applyProtection="1">
      <protection locked="0"/>
    </xf>
    <xf numFmtId="176" fontId="49" fillId="22" borderId="0" xfId="13" applyNumberFormat="1" applyFont="1" applyFill="1" applyAlignment="1" applyProtection="1">
      <alignment horizontal="center" vertical="center"/>
      <protection locked="0"/>
    </xf>
    <xf numFmtId="176" fontId="49" fillId="22" borderId="27" xfId="13" applyNumberFormat="1" applyFont="1" applyFill="1" applyBorder="1" applyAlignment="1" applyProtection="1">
      <alignment horizontal="center" vertical="center"/>
      <protection locked="0"/>
    </xf>
    <xf numFmtId="176" fontId="49" fillId="22" borderId="28" xfId="13" applyNumberFormat="1" applyFont="1" applyFill="1" applyBorder="1" applyAlignment="1" applyProtection="1">
      <alignment horizontal="center" vertical="center"/>
      <protection locked="0"/>
    </xf>
    <xf numFmtId="0" fontId="50" fillId="23" borderId="0" xfId="13" applyFont="1" applyFill="1" applyAlignment="1" applyProtection="1">
      <alignment horizontal="center" vertical="center"/>
      <protection locked="0"/>
    </xf>
    <xf numFmtId="0" fontId="50" fillId="23" borderId="0" xfId="13" applyFont="1" applyFill="1" applyAlignment="1" applyProtection="1">
      <alignment horizontal="center" vertical="center" wrapText="1"/>
      <protection locked="0"/>
    </xf>
    <xf numFmtId="0" fontId="51" fillId="24" borderId="30" xfId="13" applyFont="1" applyFill="1" applyBorder="1" applyAlignment="1" applyProtection="1">
      <alignment horizontal="center" vertical="center" shrinkToFit="1"/>
      <protection locked="0"/>
    </xf>
    <xf numFmtId="0" fontId="3" fillId="0" borderId="0" xfId="13" applyAlignment="1" applyProtection="1">
      <alignment wrapText="1"/>
      <protection locked="0"/>
    </xf>
    <xf numFmtId="0" fontId="3" fillId="0" borderId="31" xfId="13" applyBorder="1" applyAlignment="1" applyProtection="1">
      <alignment vertical="center"/>
      <protection locked="0"/>
    </xf>
    <xf numFmtId="0" fontId="52" fillId="25" borderId="13" xfId="13" applyFont="1" applyFill="1" applyBorder="1" applyAlignment="1">
      <alignment horizontal="center" vertical="center"/>
    </xf>
    <xf numFmtId="0" fontId="3" fillId="25" borderId="13" xfId="16" applyFill="1" applyBorder="1" applyProtection="1">
      <alignment horizontal="center" vertical="center"/>
      <protection locked="0"/>
    </xf>
    <xf numFmtId="9" fontId="53" fillId="25" borderId="13" xfId="17" applyFont="1" applyFill="1" applyBorder="1" applyAlignment="1" applyProtection="1">
      <alignment horizontal="center" vertical="center"/>
      <protection locked="0"/>
    </xf>
    <xf numFmtId="177" fontId="3" fillId="25" borderId="13" xfId="18" applyFill="1" applyBorder="1" applyProtection="1">
      <alignment horizontal="center" vertical="center"/>
      <protection locked="0"/>
    </xf>
    <xf numFmtId="0" fontId="53" fillId="0" borderId="13" xfId="13" applyFont="1" applyBorder="1" applyAlignment="1" applyProtection="1">
      <alignment horizontal="center" vertical="center"/>
      <protection locked="0"/>
    </xf>
    <xf numFmtId="0" fontId="3" fillId="0" borderId="33" xfId="13" applyBorder="1" applyAlignment="1" applyProtection="1">
      <alignment vertical="center"/>
      <protection locked="0"/>
    </xf>
    <xf numFmtId="0" fontId="3" fillId="26" borderId="31" xfId="13" applyFill="1" applyBorder="1" applyAlignment="1" applyProtection="1">
      <alignment vertical="center"/>
      <protection locked="0"/>
    </xf>
    <xf numFmtId="0" fontId="53" fillId="27" borderId="31" xfId="13" applyFont="1" applyFill="1" applyBorder="1" applyAlignment="1" applyProtection="1">
      <alignment vertical="center"/>
      <protection locked="0"/>
    </xf>
    <xf numFmtId="0" fontId="3" fillId="27" borderId="31" xfId="13" applyFill="1" applyBorder="1" applyAlignment="1" applyProtection="1">
      <alignment vertical="center"/>
      <protection locked="0"/>
    </xf>
    <xf numFmtId="0" fontId="3" fillId="0" borderId="0" xfId="13" applyAlignment="1" applyProtection="1">
      <alignment vertical="center"/>
      <protection locked="0"/>
    </xf>
    <xf numFmtId="0" fontId="54" fillId="28" borderId="13" xfId="13" applyFont="1" applyFill="1" applyBorder="1" applyAlignment="1">
      <alignment vertical="center" wrapText="1"/>
    </xf>
    <xf numFmtId="0" fontId="3" fillId="28" borderId="13" xfId="16" applyFill="1" applyBorder="1" applyProtection="1">
      <alignment horizontal="center" vertical="center"/>
      <protection locked="0"/>
    </xf>
    <xf numFmtId="9" fontId="53" fillId="28" borderId="13" xfId="17" applyFont="1" applyFill="1" applyBorder="1" applyAlignment="1" applyProtection="1">
      <alignment horizontal="center" vertical="center"/>
      <protection locked="0"/>
    </xf>
    <xf numFmtId="177" fontId="3" fillId="28" borderId="13" xfId="18" applyFill="1" applyBorder="1" applyProtection="1">
      <alignment horizontal="center" vertical="center"/>
      <protection locked="0"/>
    </xf>
    <xf numFmtId="0" fontId="3" fillId="0" borderId="0" xfId="13"/>
    <xf numFmtId="0" fontId="3" fillId="0" borderId="0" xfId="13" applyAlignment="1" applyProtection="1">
      <alignment horizontal="center"/>
      <protection locked="0"/>
    </xf>
    <xf numFmtId="0" fontId="54" fillId="31" borderId="13" xfId="13" applyFont="1" applyFill="1" applyBorder="1" applyAlignment="1">
      <alignment vertical="center" wrapText="1"/>
    </xf>
    <xf numFmtId="0" fontId="3" fillId="31" borderId="13" xfId="16" applyFill="1" applyBorder="1" applyProtection="1">
      <alignment horizontal="center" vertical="center"/>
      <protection locked="0"/>
    </xf>
    <xf numFmtId="9" fontId="53" fillId="31" borderId="13" xfId="17" applyFont="1" applyFill="1" applyBorder="1" applyAlignment="1" applyProtection="1">
      <alignment horizontal="center" vertical="center"/>
      <protection locked="0"/>
    </xf>
    <xf numFmtId="177" fontId="3" fillId="31" borderId="13" xfId="18" applyFill="1" applyBorder="1" applyProtection="1">
      <alignment horizontal="center" vertical="center"/>
      <protection locked="0"/>
    </xf>
    <xf numFmtId="2" fontId="39" fillId="30" borderId="37" xfId="13" applyNumberFormat="1" applyFont="1" applyFill="1" applyBorder="1" applyAlignment="1">
      <alignment horizontal="center" vertical="center"/>
    </xf>
    <xf numFmtId="164" fontId="0" fillId="0" borderId="0" xfId="1" applyFont="1" applyFill="1"/>
    <xf numFmtId="168" fontId="0" fillId="0" borderId="0" xfId="0" applyNumberFormat="1" applyAlignment="1">
      <alignment vertical="center" wrapText="1"/>
    </xf>
    <xf numFmtId="168" fontId="0" fillId="0" borderId="5" xfId="0" applyNumberFormat="1" applyBorder="1" applyAlignment="1">
      <alignment vertical="center"/>
    </xf>
    <xf numFmtId="10" fontId="0" fillId="0" borderId="5" xfId="0" applyNumberFormat="1" applyBorder="1" applyAlignment="1">
      <alignment vertical="center"/>
    </xf>
    <xf numFmtId="164" fontId="0" fillId="0" borderId="0" xfId="0" applyNumberFormat="1"/>
    <xf numFmtId="0" fontId="57" fillId="0" borderId="13" xfId="19" applyFont="1" applyBorder="1" applyProtection="1">
      <protection hidden="1"/>
    </xf>
    <xf numFmtId="173" fontId="42" fillId="0" borderId="13" xfId="20" applyNumberFormat="1" applyFont="1" applyBorder="1" applyProtection="1">
      <protection hidden="1"/>
    </xf>
    <xf numFmtId="2" fontId="2" fillId="0" borderId="13" xfId="19" applyNumberFormat="1" applyBorder="1" applyProtection="1">
      <protection hidden="1"/>
    </xf>
    <xf numFmtId="178" fontId="42" fillId="0" borderId="0" xfId="20" applyNumberFormat="1" applyFont="1" applyProtection="1">
      <protection hidden="1"/>
    </xf>
    <xf numFmtId="178" fontId="2" fillId="0" borderId="0" xfId="19" applyNumberFormat="1" applyProtection="1">
      <protection hidden="1"/>
    </xf>
    <xf numFmtId="0" fontId="2" fillId="0" borderId="0" xfId="19" applyProtection="1">
      <protection hidden="1"/>
    </xf>
    <xf numFmtId="0" fontId="57" fillId="0" borderId="0" xfId="19" applyFont="1" applyProtection="1">
      <protection hidden="1"/>
    </xf>
    <xf numFmtId="0" fontId="58" fillId="0" borderId="13" xfId="21" applyFont="1" applyBorder="1" applyAlignment="1" applyProtection="1">
      <alignment horizontal="left" vertical="center" wrapText="1"/>
      <protection hidden="1"/>
    </xf>
    <xf numFmtId="179" fontId="59" fillId="0" borderId="13" xfId="0" applyNumberFormat="1" applyFont="1" applyBorder="1" applyAlignment="1" applyProtection="1">
      <alignment horizontal="center" vertical="center"/>
      <protection hidden="1"/>
    </xf>
    <xf numFmtId="180" fontId="59" fillId="0" borderId="39" xfId="0" applyNumberFormat="1" applyFont="1" applyBorder="1" applyAlignment="1" applyProtection="1">
      <alignment horizontal="center" vertical="center"/>
      <protection hidden="1"/>
    </xf>
    <xf numFmtId="178" fontId="57" fillId="0" borderId="0" xfId="20" applyNumberFormat="1" applyFont="1" applyProtection="1">
      <protection hidden="1"/>
    </xf>
    <xf numFmtId="178" fontId="57" fillId="0" borderId="0" xfId="20" applyNumberFormat="1" applyFont="1" applyBorder="1" applyProtection="1">
      <protection hidden="1"/>
    </xf>
    <xf numFmtId="9" fontId="57" fillId="0" borderId="0" xfId="19" applyNumberFormat="1" applyFont="1" applyProtection="1">
      <protection hidden="1"/>
    </xf>
    <xf numFmtId="9" fontId="39" fillId="32" borderId="13" xfId="2" applyFont="1" applyFill="1" applyBorder="1" applyAlignment="1" applyProtection="1">
      <alignment horizontal="center"/>
      <protection locked="0"/>
    </xf>
    <xf numFmtId="164" fontId="42" fillId="0" borderId="13" xfId="20" applyFont="1" applyBorder="1" applyAlignment="1" applyProtection="1">
      <alignment horizontal="center"/>
      <protection hidden="1"/>
    </xf>
    <xf numFmtId="173" fontId="57" fillId="0" borderId="0" xfId="20" applyNumberFormat="1" applyFont="1" applyBorder="1" applyProtection="1">
      <protection hidden="1"/>
    </xf>
    <xf numFmtId="0" fontId="60" fillId="33" borderId="39" xfId="0" applyFont="1" applyFill="1" applyBorder="1" applyAlignment="1" applyProtection="1">
      <alignment horizontal="center" vertical="center" wrapText="1"/>
      <protection hidden="1"/>
    </xf>
    <xf numFmtId="0" fontId="39" fillId="0" borderId="13" xfId="19" applyFont="1" applyBorder="1" applyProtection="1">
      <protection hidden="1"/>
    </xf>
    <xf numFmtId="0" fontId="2" fillId="0" borderId="13" xfId="19" applyBorder="1" applyProtection="1">
      <protection hidden="1"/>
    </xf>
    <xf numFmtId="178" fontId="2" fillId="0" borderId="13" xfId="19" applyNumberFormat="1" applyBorder="1" applyProtection="1">
      <protection hidden="1"/>
    </xf>
    <xf numFmtId="0" fontId="58" fillId="0" borderId="13" xfId="21" applyFont="1" applyBorder="1" applyAlignment="1" applyProtection="1">
      <alignment horizontal="justify" vertical="center" wrapText="1"/>
      <protection hidden="1"/>
    </xf>
    <xf numFmtId="9" fontId="2" fillId="27" borderId="13" xfId="19" applyNumberFormat="1" applyFill="1" applyBorder="1" applyAlignment="1" applyProtection="1">
      <alignment horizontal="center"/>
      <protection locked="0"/>
    </xf>
    <xf numFmtId="173" fontId="0" fillId="0" borderId="13" xfId="22" applyNumberFormat="1" applyFont="1" applyFill="1" applyBorder="1" applyProtection="1">
      <protection hidden="1"/>
    </xf>
    <xf numFmtId="164" fontId="0" fillId="0" borderId="13" xfId="20" applyFont="1" applyBorder="1" applyProtection="1">
      <protection hidden="1"/>
    </xf>
    <xf numFmtId="10" fontId="62" fillId="0" borderId="13" xfId="2" applyNumberFormat="1" applyFont="1" applyBorder="1" applyAlignment="1" applyProtection="1">
      <alignment horizontal="center" vertical="center"/>
      <protection hidden="1"/>
    </xf>
    <xf numFmtId="43" fontId="0" fillId="0" borderId="13" xfId="23" applyFont="1" applyBorder="1" applyProtection="1">
      <protection hidden="1"/>
    </xf>
    <xf numFmtId="9" fontId="2" fillId="27" borderId="13" xfId="19" applyNumberFormat="1" applyFill="1" applyBorder="1" applyAlignment="1" applyProtection="1">
      <alignment horizontal="center" vertical="center"/>
      <protection locked="0"/>
    </xf>
    <xf numFmtId="164" fontId="0" fillId="0" borderId="13" xfId="20" applyFont="1" applyFill="1" applyBorder="1" applyProtection="1">
      <protection hidden="1"/>
    </xf>
    <xf numFmtId="182" fontId="0" fillId="0" borderId="13" xfId="23" applyNumberFormat="1" applyFont="1" applyBorder="1" applyProtection="1">
      <protection hidden="1"/>
    </xf>
    <xf numFmtId="0" fontId="58" fillId="22" borderId="13" xfId="21" applyFont="1" applyFill="1" applyBorder="1" applyAlignment="1" applyProtection="1">
      <alignment horizontal="left" vertical="center" wrapText="1"/>
      <protection hidden="1"/>
    </xf>
    <xf numFmtId="0" fontId="58" fillId="22" borderId="13" xfId="21" applyFont="1" applyFill="1" applyBorder="1" applyAlignment="1" applyProtection="1">
      <alignment horizontal="center" vertical="center" wrapText="1"/>
      <protection hidden="1"/>
    </xf>
    <xf numFmtId="0" fontId="58" fillId="22" borderId="13" xfId="21" applyFont="1" applyFill="1" applyBorder="1" applyAlignment="1" applyProtection="1">
      <alignment horizontal="center" vertical="center"/>
      <protection hidden="1"/>
    </xf>
    <xf numFmtId="181" fontId="58" fillId="22" borderId="13" xfId="21" applyNumberFormat="1" applyFont="1" applyFill="1" applyBorder="1" applyAlignment="1" applyProtection="1">
      <alignment horizontal="center" vertical="center"/>
      <protection hidden="1"/>
    </xf>
    <xf numFmtId="0" fontId="2" fillId="0" borderId="13" xfId="19" applyBorder="1" applyAlignment="1" applyProtection="1">
      <alignment horizontal="center"/>
      <protection hidden="1"/>
    </xf>
    <xf numFmtId="164" fontId="2" fillId="0" borderId="13" xfId="20" applyBorder="1" applyProtection="1">
      <protection hidden="1"/>
    </xf>
    <xf numFmtId="164" fontId="2" fillId="0" borderId="23" xfId="20" applyBorder="1" applyAlignment="1" applyProtection="1">
      <alignment horizontal="centerContinuous"/>
      <protection hidden="1"/>
    </xf>
    <xf numFmtId="164" fontId="0" fillId="0" borderId="25" xfId="20" applyFont="1" applyBorder="1" applyAlignment="1" applyProtection="1">
      <alignment horizontal="centerContinuous"/>
      <protection hidden="1"/>
    </xf>
    <xf numFmtId="43" fontId="0" fillId="0" borderId="0" xfId="23" applyFont="1" applyBorder="1" applyProtection="1">
      <protection hidden="1"/>
    </xf>
    <xf numFmtId="182" fontId="0" fillId="0" borderId="0" xfId="23" applyNumberFormat="1" applyFont="1" applyBorder="1" applyProtection="1">
      <protection hidden="1"/>
    </xf>
    <xf numFmtId="0" fontId="2" fillId="0" borderId="23" xfId="19" applyBorder="1" applyProtection="1">
      <protection hidden="1"/>
    </xf>
    <xf numFmtId="164" fontId="61" fillId="0" borderId="25" xfId="20" applyFont="1" applyBorder="1" applyAlignment="1" applyProtection="1">
      <protection hidden="1"/>
    </xf>
    <xf numFmtId="0" fontId="61" fillId="0" borderId="0" xfId="0" applyFont="1" applyProtection="1">
      <protection hidden="1"/>
    </xf>
    <xf numFmtId="0" fontId="60" fillId="0" borderId="13" xfId="0" applyFont="1" applyBorder="1" applyAlignment="1" applyProtection="1">
      <alignment horizontal="centerContinuous" vertical="center" wrapText="1"/>
      <protection hidden="1"/>
    </xf>
    <xf numFmtId="0" fontId="2" fillId="0" borderId="13" xfId="19" applyBorder="1" applyAlignment="1" applyProtection="1">
      <alignment horizontal="centerContinuous"/>
      <protection hidden="1"/>
    </xf>
    <xf numFmtId="178" fontId="42" fillId="0" borderId="23" xfId="20" applyNumberFormat="1" applyFont="1" applyBorder="1" applyAlignment="1" applyProtection="1">
      <alignment horizontal="center"/>
      <protection hidden="1"/>
    </xf>
    <xf numFmtId="9" fontId="42" fillId="0" borderId="25" xfId="19" applyNumberFormat="1" applyFont="1" applyBorder="1" applyAlignment="1" applyProtection="1">
      <alignment horizontal="center"/>
      <protection hidden="1"/>
    </xf>
    <xf numFmtId="164" fontId="2" fillId="0" borderId="13" xfId="19" applyNumberFormat="1" applyBorder="1" applyProtection="1">
      <protection hidden="1"/>
    </xf>
    <xf numFmtId="178" fontId="57" fillId="0" borderId="0" xfId="19" applyNumberFormat="1" applyFont="1" applyProtection="1">
      <protection hidden="1"/>
    </xf>
    <xf numFmtId="164" fontId="57" fillId="0" borderId="13" xfId="19" applyNumberFormat="1" applyFont="1" applyBorder="1" applyProtection="1">
      <protection hidden="1"/>
    </xf>
    <xf numFmtId="49" fontId="63" fillId="0" borderId="34" xfId="19" applyNumberFormat="1" applyFont="1" applyBorder="1" applyAlignment="1" applyProtection="1">
      <alignment horizontal="centerContinuous"/>
      <protection hidden="1"/>
    </xf>
    <xf numFmtId="49" fontId="64" fillId="0" borderId="35" xfId="19" applyNumberFormat="1" applyFont="1" applyBorder="1" applyAlignment="1" applyProtection="1">
      <alignment horizontal="centerContinuous"/>
      <protection hidden="1"/>
    </xf>
    <xf numFmtId="49" fontId="64" fillId="0" borderId="36" xfId="19" applyNumberFormat="1" applyFont="1" applyBorder="1" applyAlignment="1" applyProtection="1">
      <alignment horizontal="centerContinuous"/>
      <protection hidden="1"/>
    </xf>
    <xf numFmtId="0" fontId="65" fillId="0" borderId="0" xfId="19" applyFont="1" applyProtection="1">
      <protection hidden="1"/>
    </xf>
    <xf numFmtId="10" fontId="65" fillId="0" borderId="0" xfId="22" applyNumberFormat="1" applyFont="1" applyProtection="1">
      <protection hidden="1"/>
    </xf>
    <xf numFmtId="182" fontId="65" fillId="0" borderId="0" xfId="23" applyNumberFormat="1" applyFont="1" applyProtection="1">
      <protection hidden="1"/>
    </xf>
    <xf numFmtId="0" fontId="66" fillId="26" borderId="13" xfId="24" applyFont="1" applyFill="1" applyBorder="1" applyAlignment="1" applyProtection="1">
      <alignment horizontal="left" vertical="center" wrapText="1"/>
      <protection hidden="1"/>
    </xf>
    <xf numFmtId="0" fontId="64" fillId="0" borderId="13" xfId="19" applyFont="1" applyBorder="1" applyProtection="1">
      <protection hidden="1"/>
    </xf>
    <xf numFmtId="164" fontId="64" fillId="0" borderId="13" xfId="20" applyFont="1" applyBorder="1" applyProtection="1">
      <protection hidden="1"/>
    </xf>
    <xf numFmtId="182" fontId="64" fillId="0" borderId="0" xfId="23" applyNumberFormat="1" applyFont="1" applyProtection="1">
      <protection hidden="1"/>
    </xf>
    <xf numFmtId="0" fontId="67" fillId="0" borderId="13" xfId="25" applyFont="1" applyBorder="1" applyAlignment="1" applyProtection="1">
      <alignment vertical="center" wrapText="1"/>
      <protection hidden="1"/>
    </xf>
    <xf numFmtId="0" fontId="67" fillId="0" borderId="13" xfId="26" applyFont="1" applyBorder="1" applyAlignment="1" applyProtection="1">
      <alignment vertical="center" wrapText="1"/>
      <protection hidden="1"/>
    </xf>
    <xf numFmtId="0" fontId="68" fillId="34" borderId="45" xfId="27" applyFont="1" applyFill="1" applyBorder="1" applyAlignment="1" applyProtection="1">
      <alignment horizontal="left" vertical="center" wrapText="1"/>
      <protection hidden="1"/>
    </xf>
    <xf numFmtId="0" fontId="65" fillId="0" borderId="46" xfId="19" applyFont="1" applyBorder="1" applyProtection="1">
      <protection hidden="1"/>
    </xf>
    <xf numFmtId="170" fontId="69" fillId="27" borderId="46" xfId="17" applyNumberFormat="1" applyFont="1" applyFill="1" applyBorder="1" applyAlignment="1" applyProtection="1">
      <alignment horizontal="center" vertical="center" wrapText="1"/>
      <protection locked="0"/>
    </xf>
    <xf numFmtId="182" fontId="65" fillId="0" borderId="46" xfId="23" applyNumberFormat="1" applyFont="1" applyBorder="1" applyProtection="1">
      <protection hidden="1"/>
    </xf>
    <xf numFmtId="182" fontId="65" fillId="0" borderId="47" xfId="23" applyNumberFormat="1" applyFont="1" applyBorder="1" applyProtection="1">
      <protection hidden="1"/>
    </xf>
    <xf numFmtId="0" fontId="68" fillId="34" borderId="48" xfId="27" applyFont="1" applyFill="1" applyBorder="1" applyAlignment="1" applyProtection="1">
      <alignment horizontal="left" vertical="center" wrapText="1"/>
      <protection hidden="1"/>
    </xf>
    <xf numFmtId="0" fontId="65" fillId="0" borderId="13" xfId="19" applyFont="1" applyBorder="1" applyProtection="1">
      <protection hidden="1"/>
    </xf>
    <xf numFmtId="170" fontId="69" fillId="27" borderId="13" xfId="17" applyNumberFormat="1" applyFont="1" applyFill="1" applyBorder="1" applyAlignment="1" applyProtection="1">
      <alignment horizontal="center" vertical="center" wrapText="1"/>
      <protection locked="0"/>
    </xf>
    <xf numFmtId="182" fontId="65" fillId="0" borderId="13" xfId="23" applyNumberFormat="1" applyFont="1" applyBorder="1" applyProtection="1">
      <protection hidden="1"/>
    </xf>
    <xf numFmtId="182" fontId="65" fillId="0" borderId="49" xfId="23" applyNumberFormat="1" applyFont="1" applyBorder="1" applyProtection="1">
      <protection hidden="1"/>
    </xf>
    <xf numFmtId="170" fontId="69" fillId="0" borderId="13" xfId="17" applyNumberFormat="1" applyFont="1" applyFill="1" applyBorder="1" applyAlignment="1" applyProtection="1">
      <alignment horizontal="center" vertical="center" wrapText="1"/>
      <protection hidden="1"/>
    </xf>
    <xf numFmtId="182" fontId="65" fillId="0" borderId="13" xfId="23" applyNumberFormat="1" applyFont="1" applyBorder="1" applyAlignment="1" applyProtection="1">
      <alignment vertical="center"/>
      <protection hidden="1"/>
    </xf>
    <xf numFmtId="0" fontId="68" fillId="27" borderId="48" xfId="27" applyFont="1" applyFill="1" applyBorder="1" applyAlignment="1" applyProtection="1">
      <alignment horizontal="left" vertical="center" wrapText="1"/>
      <protection locked="0"/>
    </xf>
    <xf numFmtId="0" fontId="68" fillId="27" borderId="50" xfId="27" applyFont="1" applyFill="1" applyBorder="1" applyAlignment="1" applyProtection="1">
      <alignment horizontal="left" vertical="center" wrapText="1"/>
      <protection locked="0"/>
    </xf>
    <xf numFmtId="0" fontId="65" fillId="0" borderId="51" xfId="19" applyFont="1" applyBorder="1" applyProtection="1">
      <protection hidden="1"/>
    </xf>
    <xf numFmtId="170" fontId="69" fillId="27" borderId="51" xfId="17" applyNumberFormat="1" applyFont="1" applyFill="1" applyBorder="1" applyAlignment="1" applyProtection="1">
      <alignment horizontal="center" vertical="center" wrapText="1"/>
      <protection locked="0"/>
    </xf>
    <xf numFmtId="182" fontId="65" fillId="0" borderId="51" xfId="23" applyNumberFormat="1" applyFont="1" applyBorder="1" applyProtection="1">
      <protection hidden="1"/>
    </xf>
    <xf numFmtId="182" fontId="65" fillId="0" borderId="52" xfId="23" applyNumberFormat="1" applyFont="1" applyBorder="1" applyProtection="1">
      <protection hidden="1"/>
    </xf>
    <xf numFmtId="0" fontId="64" fillId="0" borderId="35" xfId="19" applyFont="1" applyBorder="1" applyProtection="1">
      <protection hidden="1"/>
    </xf>
    <xf numFmtId="10" fontId="64" fillId="0" borderId="35" xfId="22" applyNumberFormat="1" applyFont="1" applyBorder="1" applyProtection="1">
      <protection hidden="1"/>
    </xf>
    <xf numFmtId="182" fontId="64" fillId="0" borderId="35" xfId="23" applyNumberFormat="1" applyFont="1" applyBorder="1" applyProtection="1">
      <protection hidden="1"/>
    </xf>
    <xf numFmtId="182" fontId="64" fillId="0" borderId="36" xfId="23" applyNumberFormat="1" applyFont="1" applyBorder="1" applyProtection="1">
      <protection hidden="1"/>
    </xf>
    <xf numFmtId="0" fontId="61" fillId="0" borderId="56" xfId="0" applyFont="1" applyBorder="1" applyProtection="1">
      <protection hidden="1"/>
    </xf>
    <xf numFmtId="0" fontId="61" fillId="0" borderId="57" xfId="0" applyFont="1" applyBorder="1" applyProtection="1">
      <protection hidden="1"/>
    </xf>
    <xf numFmtId="0" fontId="59" fillId="0" borderId="0" xfId="0" applyFont="1" applyAlignment="1" applyProtection="1">
      <alignment horizontal="center" vertical="center" wrapText="1"/>
      <protection hidden="1"/>
    </xf>
    <xf numFmtId="0" fontId="59" fillId="0" borderId="0" xfId="0" applyFont="1" applyAlignment="1" applyProtection="1">
      <alignment vertical="center"/>
      <protection hidden="1"/>
    </xf>
    <xf numFmtId="181" fontId="59" fillId="0" borderId="0" xfId="0" applyNumberFormat="1" applyFont="1" applyAlignment="1" applyProtection="1">
      <alignment vertical="center"/>
      <protection hidden="1"/>
    </xf>
    <xf numFmtId="0" fontId="60" fillId="0" borderId="39" xfId="0" applyFont="1" applyBorder="1" applyAlignment="1" applyProtection="1">
      <alignment horizontal="left" vertical="center" wrapText="1"/>
      <protection hidden="1"/>
    </xf>
    <xf numFmtId="181" fontId="59" fillId="0" borderId="39" xfId="0" applyNumberFormat="1" applyFont="1" applyBorder="1" applyAlignment="1" applyProtection="1">
      <alignment horizontal="center" vertical="center" wrapText="1"/>
      <protection hidden="1"/>
    </xf>
    <xf numFmtId="179" fontId="70" fillId="0" borderId="39" xfId="0" applyNumberFormat="1" applyFont="1" applyBorder="1" applyAlignment="1" applyProtection="1">
      <alignment horizontal="center" vertical="center"/>
      <protection hidden="1"/>
    </xf>
    <xf numFmtId="10" fontId="59" fillId="0" borderId="39" xfId="0" applyNumberFormat="1" applyFont="1" applyBorder="1" applyAlignment="1" applyProtection="1">
      <alignment horizontal="center" vertical="center" wrapText="1"/>
      <protection hidden="1"/>
    </xf>
    <xf numFmtId="0" fontId="60" fillId="0" borderId="0" xfId="0" applyFont="1" applyAlignment="1" applyProtection="1">
      <alignment horizontal="center" vertical="center" wrapText="1"/>
      <protection hidden="1"/>
    </xf>
    <xf numFmtId="181" fontId="59" fillId="0" borderId="0" xfId="0" applyNumberFormat="1" applyFont="1" applyAlignment="1" applyProtection="1">
      <alignment horizontal="center" vertical="center" wrapText="1"/>
      <protection hidden="1"/>
    </xf>
    <xf numFmtId="9" fontId="71" fillId="27" borderId="39" xfId="0" applyNumberFormat="1" applyFont="1" applyFill="1" applyBorder="1" applyAlignment="1" applyProtection="1">
      <alignment horizontal="center" vertical="center" wrapText="1"/>
      <protection locked="0"/>
    </xf>
    <xf numFmtId="184" fontId="71" fillId="0" borderId="39" xfId="0" applyNumberFormat="1" applyFont="1" applyBorder="1" applyAlignment="1" applyProtection="1">
      <alignment horizontal="center" vertical="center" wrapText="1"/>
      <protection hidden="1"/>
    </xf>
    <xf numFmtId="10" fontId="71" fillId="0" borderId="39" xfId="0" applyNumberFormat="1" applyFont="1" applyBorder="1" applyAlignment="1" applyProtection="1">
      <alignment horizontal="center" vertical="center"/>
      <protection hidden="1"/>
    </xf>
    <xf numFmtId="184" fontId="71" fillId="0" borderId="39" xfId="0" applyNumberFormat="1" applyFont="1" applyBorder="1" applyAlignment="1" applyProtection="1">
      <alignment vertical="center"/>
      <protection hidden="1"/>
    </xf>
    <xf numFmtId="0" fontId="60" fillId="27" borderId="39" xfId="0" applyFont="1" applyFill="1" applyBorder="1" applyAlignment="1" applyProtection="1">
      <alignment horizontal="left" vertical="center" wrapText="1"/>
      <protection locked="0"/>
    </xf>
    <xf numFmtId="184" fontId="71" fillId="27" borderId="39" xfId="0" applyNumberFormat="1" applyFont="1" applyFill="1" applyBorder="1" applyAlignment="1" applyProtection="1">
      <alignment horizontal="center" vertical="center" wrapText="1"/>
      <protection locked="0"/>
    </xf>
    <xf numFmtId="180" fontId="59" fillId="27" borderId="39" xfId="0" applyNumberFormat="1" applyFont="1" applyFill="1" applyBorder="1" applyAlignment="1" applyProtection="1">
      <alignment horizontal="center" vertical="center"/>
      <protection locked="0"/>
    </xf>
    <xf numFmtId="10" fontId="71" fillId="0" borderId="39" xfId="0" applyNumberFormat="1" applyFont="1" applyBorder="1" applyAlignment="1" applyProtection="1">
      <alignment horizontal="center" vertical="center"/>
      <protection locked="0"/>
    </xf>
    <xf numFmtId="0" fontId="60" fillId="36" borderId="39" xfId="0" applyFont="1" applyFill="1" applyBorder="1" applyAlignment="1" applyProtection="1">
      <alignment horizontal="left" vertical="center" wrapText="1"/>
      <protection hidden="1"/>
    </xf>
    <xf numFmtId="0" fontId="60" fillId="0" borderId="39" xfId="0" applyFont="1" applyBorder="1" applyAlignment="1" applyProtection="1">
      <alignment horizontal="center" vertical="center" wrapText="1"/>
      <protection hidden="1"/>
    </xf>
    <xf numFmtId="0" fontId="60" fillId="36" borderId="39" xfId="0" applyFont="1" applyFill="1" applyBorder="1" applyAlignment="1" applyProtection="1">
      <alignment horizontal="center" vertical="center"/>
      <protection hidden="1"/>
    </xf>
    <xf numFmtId="0" fontId="60" fillId="36" borderId="39" xfId="0" applyFont="1" applyFill="1" applyBorder="1" applyAlignment="1" applyProtection="1">
      <alignment horizontal="center" vertical="center" wrapText="1"/>
      <protection hidden="1"/>
    </xf>
    <xf numFmtId="181" fontId="60" fillId="36" borderId="39" xfId="0" applyNumberFormat="1" applyFont="1" applyFill="1" applyBorder="1" applyAlignment="1" applyProtection="1">
      <alignment horizontal="center" vertical="center"/>
      <protection hidden="1"/>
    </xf>
    <xf numFmtId="10" fontId="62" fillId="0" borderId="13" xfId="22" applyNumberFormat="1" applyFont="1" applyBorder="1" applyAlignment="1" applyProtection="1">
      <alignment horizontal="center" vertical="center"/>
      <protection hidden="1"/>
    </xf>
    <xf numFmtId="184" fontId="71" fillId="0" borderId="39" xfId="0" applyNumberFormat="1" applyFont="1" applyBorder="1" applyAlignment="1" applyProtection="1">
      <alignment horizontal="center" vertical="center"/>
      <protection hidden="1"/>
    </xf>
    <xf numFmtId="0" fontId="27" fillId="12" borderId="6" xfId="0" applyFont="1" applyFill="1" applyBorder="1" applyAlignment="1">
      <alignment horizontal="center" vertical="center" wrapText="1"/>
    </xf>
    <xf numFmtId="0" fontId="26" fillId="14" borderId="6" xfId="0" applyFont="1" applyFill="1" applyBorder="1" applyAlignment="1">
      <alignment vertical="center" wrapText="1"/>
    </xf>
    <xf numFmtId="168" fontId="26" fillId="14" borderId="6" xfId="0" applyNumberFormat="1" applyFont="1" applyFill="1" applyBorder="1" applyAlignment="1">
      <alignment vertical="center" wrapText="1"/>
    </xf>
    <xf numFmtId="10" fontId="26" fillId="14" borderId="6" xfId="0" applyNumberFormat="1" applyFont="1" applyFill="1" applyBorder="1" applyAlignment="1">
      <alignment vertical="center" wrapText="1"/>
    </xf>
    <xf numFmtId="168" fontId="17" fillId="12" borderId="6" xfId="0" applyNumberFormat="1" applyFont="1" applyFill="1" applyBorder="1" applyAlignment="1">
      <alignment wrapText="1"/>
    </xf>
    <xf numFmtId="10" fontId="17" fillId="12" borderId="6" xfId="0" applyNumberFormat="1" applyFont="1" applyFill="1" applyBorder="1" applyAlignment="1">
      <alignment wrapText="1"/>
    </xf>
    <xf numFmtId="168" fontId="28" fillId="15" borderId="6" xfId="0" applyNumberFormat="1" applyFont="1" applyFill="1" applyBorder="1" applyAlignment="1">
      <alignment wrapText="1"/>
    </xf>
    <xf numFmtId="10" fontId="28" fillId="15" borderId="6" xfId="0" applyNumberFormat="1" applyFont="1" applyFill="1" applyBorder="1" applyAlignment="1">
      <alignment wrapText="1"/>
    </xf>
    <xf numFmtId="4" fontId="23" fillId="13" borderId="6" xfId="0" applyNumberFormat="1" applyFont="1" applyFill="1" applyBorder="1" applyAlignment="1">
      <alignment vertical="center" wrapText="1"/>
    </xf>
    <xf numFmtId="168" fontId="23" fillId="13" borderId="6" xfId="0" applyNumberFormat="1" applyFont="1" applyFill="1" applyBorder="1" applyAlignment="1">
      <alignment vertical="center" wrapText="1"/>
    </xf>
    <xf numFmtId="0" fontId="26" fillId="14" borderId="6" xfId="0" applyFont="1" applyFill="1" applyBorder="1" applyAlignment="1">
      <alignment vertical="center"/>
    </xf>
    <xf numFmtId="4" fontId="26" fillId="14" borderId="6" xfId="0" applyNumberFormat="1" applyFont="1" applyFill="1" applyBorder="1" applyAlignment="1">
      <alignment vertical="center"/>
    </xf>
    <xf numFmtId="168" fontId="26" fillId="14" borderId="6" xfId="0" applyNumberFormat="1" applyFont="1" applyFill="1" applyBorder="1" applyAlignment="1">
      <alignment vertical="center"/>
    </xf>
    <xf numFmtId="4" fontId="25" fillId="13" borderId="6" xfId="0" applyNumberFormat="1" applyFont="1" applyFill="1" applyBorder="1" applyAlignment="1">
      <alignment vertical="center"/>
    </xf>
    <xf numFmtId="168" fontId="25" fillId="13" borderId="6" xfId="0" applyNumberFormat="1" applyFont="1" applyFill="1" applyBorder="1" applyAlignment="1">
      <alignment vertical="center"/>
    </xf>
    <xf numFmtId="168" fontId="17" fillId="12" borderId="6" xfId="0" applyNumberFormat="1" applyFont="1" applyFill="1" applyBorder="1"/>
    <xf numFmtId="4" fontId="37" fillId="13" borderId="3" xfId="0" applyNumberFormat="1" applyFont="1" applyFill="1" applyBorder="1" applyAlignment="1">
      <alignment vertical="center" wrapText="1"/>
    </xf>
    <xf numFmtId="4" fontId="17" fillId="12" borderId="6" xfId="0" applyNumberFormat="1" applyFont="1" applyFill="1" applyBorder="1" applyAlignment="1">
      <alignment horizontal="center" wrapText="1"/>
    </xf>
    <xf numFmtId="4" fontId="36" fillId="13" borderId="6" xfId="0" applyNumberFormat="1" applyFont="1" applyFill="1" applyBorder="1" applyAlignment="1">
      <alignment wrapText="1"/>
    </xf>
    <xf numFmtId="4" fontId="28" fillId="14" borderId="6" xfId="0" applyNumberFormat="1" applyFont="1" applyFill="1" applyBorder="1" applyAlignment="1">
      <alignment wrapText="1"/>
    </xf>
    <xf numFmtId="168" fontId="8" fillId="13" borderId="3" xfId="0" applyNumberFormat="1" applyFont="1" applyFill="1" applyBorder="1" applyAlignment="1">
      <alignment vertical="center" wrapText="1"/>
    </xf>
    <xf numFmtId="168" fontId="9" fillId="12" borderId="6" xfId="0" applyNumberFormat="1" applyFont="1" applyFill="1" applyBorder="1" applyAlignment="1">
      <alignment vertical="center" wrapText="1"/>
    </xf>
    <xf numFmtId="168" fontId="9" fillId="12" borderId="6" xfId="0" applyNumberFormat="1" applyFont="1" applyFill="1" applyBorder="1" applyAlignment="1">
      <alignment horizontal="center" wrapText="1"/>
    </xf>
    <xf numFmtId="168" fontId="31" fillId="13" borderId="6" xfId="0" applyNumberFormat="1" applyFont="1" applyFill="1" applyBorder="1" applyAlignment="1">
      <alignment wrapText="1"/>
    </xf>
    <xf numFmtId="168" fontId="32" fillId="15" borderId="6" xfId="0" applyNumberFormat="1" applyFont="1" applyFill="1" applyBorder="1" applyAlignment="1">
      <alignment wrapText="1"/>
    </xf>
    <xf numFmtId="0" fontId="13" fillId="17" borderId="0" xfId="0" applyFont="1" applyFill="1" applyAlignment="1">
      <alignment wrapText="1"/>
    </xf>
    <xf numFmtId="0" fontId="15" fillId="16" borderId="5" xfId="0" applyFont="1" applyFill="1" applyBorder="1" applyAlignment="1">
      <alignment horizontal="center" vertical="center" wrapText="1"/>
    </xf>
    <xf numFmtId="0" fontId="13" fillId="15" borderId="5" xfId="0" applyFont="1" applyFill="1" applyBorder="1"/>
    <xf numFmtId="4" fontId="13" fillId="15" borderId="5" xfId="0" applyNumberFormat="1" applyFont="1" applyFill="1" applyBorder="1"/>
    <xf numFmtId="168" fontId="13" fillId="15" borderId="5" xfId="0" applyNumberFormat="1" applyFont="1" applyFill="1" applyBorder="1"/>
    <xf numFmtId="167" fontId="13" fillId="15" borderId="5" xfId="0" applyNumberFormat="1" applyFont="1" applyFill="1" applyBorder="1"/>
    <xf numFmtId="170" fontId="13" fillId="15" borderId="5" xfId="0" applyNumberFormat="1" applyFont="1" applyFill="1" applyBorder="1"/>
    <xf numFmtId="10" fontId="13" fillId="15" borderId="5" xfId="0" applyNumberFormat="1" applyFont="1" applyFill="1" applyBorder="1"/>
    <xf numFmtId="168" fontId="0" fillId="11" borderId="5" xfId="0" applyNumberFormat="1" applyFill="1" applyBorder="1"/>
    <xf numFmtId="0" fontId="19" fillId="11" borderId="5" xfId="0" applyFont="1" applyFill="1" applyBorder="1"/>
    <xf numFmtId="4" fontId="19" fillId="11" borderId="5" xfId="0" applyNumberFormat="1" applyFont="1" applyFill="1" applyBorder="1"/>
    <xf numFmtId="168" fontId="19" fillId="11" borderId="5" xfId="0" applyNumberFormat="1" applyFont="1" applyFill="1" applyBorder="1"/>
    <xf numFmtId="167" fontId="19" fillId="11" borderId="5" xfId="0" applyNumberFormat="1" applyFont="1" applyFill="1" applyBorder="1"/>
    <xf numFmtId="170" fontId="19" fillId="11" borderId="5" xfId="0" applyNumberFormat="1" applyFont="1" applyFill="1" applyBorder="1"/>
    <xf numFmtId="10" fontId="19" fillId="11" borderId="5" xfId="0" applyNumberFormat="1" applyFont="1" applyFill="1" applyBorder="1"/>
    <xf numFmtId="0" fontId="6" fillId="16" borderId="5" xfId="0" applyFont="1" applyFill="1" applyBorder="1"/>
    <xf numFmtId="4" fontId="6" fillId="16" borderId="5" xfId="0" applyNumberFormat="1" applyFont="1" applyFill="1" applyBorder="1"/>
    <xf numFmtId="168" fontId="6" fillId="16" borderId="5" xfId="0" applyNumberFormat="1" applyFont="1" applyFill="1" applyBorder="1"/>
    <xf numFmtId="167" fontId="6" fillId="16" borderId="5" xfId="0" applyNumberFormat="1" applyFont="1" applyFill="1" applyBorder="1"/>
    <xf numFmtId="170" fontId="6" fillId="16" borderId="5" xfId="0" applyNumberFormat="1" applyFont="1" applyFill="1" applyBorder="1"/>
    <xf numFmtId="10" fontId="6" fillId="16" borderId="5" xfId="0" applyNumberFormat="1" applyFont="1" applyFill="1" applyBorder="1"/>
    <xf numFmtId="4" fontId="8" fillId="13" borderId="3" xfId="0" applyNumberFormat="1" applyFont="1" applyFill="1" applyBorder="1" applyAlignment="1">
      <alignment vertical="center" wrapText="1"/>
    </xf>
    <xf numFmtId="0" fontId="18" fillId="17" borderId="0" xfId="0" applyFont="1" applyFill="1" applyAlignment="1">
      <alignment horizontal="center" vertical="center" wrapText="1"/>
    </xf>
    <xf numFmtId="168" fontId="15" fillId="16" borderId="5" xfId="0" applyNumberFormat="1" applyFont="1" applyFill="1" applyBorder="1" applyAlignment="1">
      <alignment horizontal="center" vertical="center" wrapText="1"/>
    </xf>
    <xf numFmtId="0" fontId="72" fillId="0" borderId="0" xfId="28" applyProtection="1">
      <protection hidden="1"/>
    </xf>
    <xf numFmtId="0" fontId="65" fillId="0" borderId="0" xfId="28" applyFont="1" applyProtection="1">
      <protection hidden="1"/>
    </xf>
    <xf numFmtId="0" fontId="73" fillId="0" borderId="34" xfId="29" applyFont="1" applyBorder="1" applyAlignment="1" applyProtection="1">
      <alignment horizontal="right"/>
      <protection hidden="1"/>
    </xf>
    <xf numFmtId="173" fontId="73" fillId="0" borderId="36" xfId="30" applyNumberFormat="1" applyFont="1" applyBorder="1" applyProtection="1">
      <protection hidden="1"/>
    </xf>
    <xf numFmtId="0" fontId="74" fillId="0" borderId="34" xfId="27" applyFont="1" applyBorder="1" applyAlignment="1" applyProtection="1">
      <alignment horizontal="right" vertical="center"/>
      <protection hidden="1"/>
    </xf>
    <xf numFmtId="179" fontId="59" fillId="0" borderId="55" xfId="0" applyNumberFormat="1" applyFont="1" applyBorder="1" applyAlignment="1" applyProtection="1">
      <alignment horizontal="center" vertical="center"/>
      <protection hidden="1"/>
    </xf>
    <xf numFmtId="0" fontId="73" fillId="0" borderId="0" xfId="29" applyFont="1" applyProtection="1">
      <protection hidden="1"/>
    </xf>
    <xf numFmtId="173" fontId="73" fillId="0" borderId="0" xfId="30" applyNumberFormat="1" applyFont="1" applyBorder="1" applyProtection="1">
      <protection hidden="1"/>
    </xf>
    <xf numFmtId="0" fontId="75" fillId="32" borderId="37" xfId="28" applyFont="1" applyFill="1" applyBorder="1" applyAlignment="1" applyProtection="1">
      <alignment horizontal="center"/>
      <protection hidden="1"/>
    </xf>
    <xf numFmtId="0" fontId="76" fillId="37" borderId="42" xfId="28" applyFont="1" applyFill="1" applyBorder="1" applyAlignment="1" applyProtection="1">
      <alignment vertical="center"/>
      <protection hidden="1"/>
    </xf>
    <xf numFmtId="9" fontId="77" fillId="22" borderId="13" xfId="2" applyFont="1" applyFill="1" applyBorder="1" applyAlignment="1" applyProtection="1">
      <alignment horizontal="center"/>
      <protection hidden="1"/>
    </xf>
    <xf numFmtId="0" fontId="78" fillId="0" borderId="45" xfId="0" applyFont="1" applyBorder="1" applyAlignment="1" applyProtection="1">
      <alignment horizontal="center"/>
      <protection hidden="1"/>
    </xf>
    <xf numFmtId="0" fontId="78" fillId="0" borderId="46" xfId="0" applyFont="1" applyBorder="1" applyAlignment="1" applyProtection="1">
      <alignment horizontal="center"/>
      <protection hidden="1"/>
    </xf>
    <xf numFmtId="0" fontId="78" fillId="0" borderId="47" xfId="0" applyFont="1" applyBorder="1" applyAlignment="1" applyProtection="1">
      <alignment horizontal="center"/>
      <protection hidden="1"/>
    </xf>
    <xf numFmtId="10" fontId="79" fillId="0" borderId="50" xfId="31" applyNumberFormat="1" applyFont="1" applyBorder="1" applyProtection="1">
      <protection hidden="1"/>
    </xf>
    <xf numFmtId="0" fontId="79" fillId="0" borderId="52" xfId="0" applyFont="1" applyBorder="1" applyProtection="1">
      <protection hidden="1"/>
    </xf>
    <xf numFmtId="0" fontId="0" fillId="0" borderId="0" xfId="0" applyProtection="1">
      <protection hidden="1"/>
    </xf>
    <xf numFmtId="173" fontId="80" fillId="0" borderId="13" xfId="30" applyNumberFormat="1" applyFont="1" applyBorder="1" applyProtection="1">
      <protection hidden="1"/>
    </xf>
    <xf numFmtId="0" fontId="81" fillId="0" borderId="48" xfId="29" applyFont="1" applyBorder="1" applyProtection="1">
      <protection hidden="1"/>
    </xf>
    <xf numFmtId="0" fontId="47" fillId="0" borderId="13" xfId="0" applyFont="1" applyBorder="1" applyProtection="1">
      <protection hidden="1"/>
    </xf>
    <xf numFmtId="0" fontId="83" fillId="22" borderId="13" xfId="0" applyFont="1" applyFill="1" applyBorder="1" applyProtection="1">
      <protection hidden="1"/>
    </xf>
    <xf numFmtId="9" fontId="83" fillId="22" borderId="13" xfId="2" applyFont="1" applyFill="1" applyBorder="1" applyAlignment="1" applyProtection="1">
      <alignment horizontal="center"/>
      <protection hidden="1"/>
    </xf>
    <xf numFmtId="0" fontId="84" fillId="36" borderId="59" xfId="28" applyFont="1" applyFill="1" applyBorder="1" applyAlignment="1" applyProtection="1">
      <alignment vertical="center"/>
      <protection hidden="1"/>
    </xf>
    <xf numFmtId="9" fontId="83" fillId="22" borderId="13" xfId="2" applyFont="1" applyFill="1" applyBorder="1" applyAlignment="1" applyProtection="1">
      <alignment horizontal="center" vertical="center"/>
      <protection hidden="1"/>
    </xf>
    <xf numFmtId="0" fontId="39" fillId="27" borderId="13" xfId="0" applyFont="1" applyFill="1" applyBorder="1" applyAlignment="1" applyProtection="1">
      <alignment horizontal="center" vertical="center" wrapText="1"/>
      <protection hidden="1"/>
    </xf>
    <xf numFmtId="0" fontId="85" fillId="0" borderId="13" xfId="32" applyFont="1" applyBorder="1" applyProtection="1">
      <protection hidden="1"/>
    </xf>
    <xf numFmtId="9" fontId="65" fillId="0" borderId="13" xfId="2" applyFont="1" applyBorder="1" applyAlignment="1" applyProtection="1">
      <alignment horizontal="center"/>
      <protection hidden="1"/>
    </xf>
    <xf numFmtId="2" fontId="82" fillId="20" borderId="13" xfId="28" applyNumberFormat="1" applyFont="1" applyFill="1" applyBorder="1" applyAlignment="1" applyProtection="1">
      <alignment horizontal="center"/>
      <protection locked="0"/>
    </xf>
    <xf numFmtId="0" fontId="84" fillId="36" borderId="41" xfId="28" applyFont="1" applyFill="1" applyBorder="1" applyAlignment="1" applyProtection="1">
      <alignment vertical="center"/>
      <protection hidden="1"/>
    </xf>
    <xf numFmtId="0" fontId="75" fillId="0" borderId="0" xfId="28" applyFont="1" applyAlignment="1" applyProtection="1">
      <alignment horizontal="center"/>
      <protection hidden="1"/>
    </xf>
    <xf numFmtId="0" fontId="66" fillId="26" borderId="13" xfId="34" applyFont="1" applyFill="1" applyBorder="1" applyAlignment="1" applyProtection="1">
      <alignment horizontal="left" vertical="center" wrapText="1"/>
      <protection hidden="1"/>
    </xf>
    <xf numFmtId="164" fontId="86" fillId="32" borderId="23" xfId="35" applyFont="1" applyFill="1" applyBorder="1" applyAlignment="1" applyProtection="1">
      <alignment horizontal="center" vertical="center" wrapText="1"/>
      <protection hidden="1"/>
    </xf>
    <xf numFmtId="0" fontId="47" fillId="0" borderId="60" xfId="34" applyBorder="1" applyAlignment="1" applyProtection="1">
      <alignment horizontal="left" vertical="center" wrapText="1"/>
      <protection hidden="1"/>
    </xf>
    <xf numFmtId="173" fontId="87" fillId="39" borderId="60" xfId="21" applyNumberFormat="1" applyFont="1" applyFill="1" applyBorder="1" applyAlignment="1" applyProtection="1">
      <alignment horizontal="center" vertical="center"/>
      <protection hidden="1"/>
    </xf>
    <xf numFmtId="10" fontId="86" fillId="0" borderId="13" xfId="36" applyNumberFormat="1" applyFont="1" applyBorder="1" applyAlignment="1" applyProtection="1">
      <alignment vertical="center"/>
      <protection hidden="1"/>
    </xf>
    <xf numFmtId="0" fontId="83" fillId="0" borderId="23" xfId="25" applyFont="1" applyBorder="1" applyAlignment="1" applyProtection="1">
      <alignment vertical="center" wrapText="1"/>
      <protection hidden="1"/>
    </xf>
    <xf numFmtId="187" fontId="47" fillId="40" borderId="13" xfId="37" applyFont="1" applyFill="1" applyBorder="1" applyAlignment="1" applyProtection="1">
      <alignment horizontal="center" vertical="center"/>
      <protection hidden="1"/>
    </xf>
    <xf numFmtId="0" fontId="83" fillId="0" borderId="23" xfId="26" applyFont="1" applyBorder="1" applyAlignment="1" applyProtection="1">
      <alignment vertical="center" wrapText="1"/>
      <protection hidden="1"/>
    </xf>
    <xf numFmtId="10" fontId="86" fillId="0" borderId="13" xfId="36" applyNumberFormat="1" applyFont="1" applyBorder="1" applyAlignment="1" applyProtection="1">
      <alignment horizontal="center" vertical="center"/>
      <protection hidden="1"/>
    </xf>
    <xf numFmtId="164" fontId="89" fillId="0" borderId="13" xfId="21" applyNumberFormat="1" applyFont="1" applyBorder="1" applyAlignment="1" applyProtection="1">
      <alignment horizontal="left" vertical="center" wrapText="1"/>
      <protection hidden="1"/>
    </xf>
    <xf numFmtId="0" fontId="65" fillId="41" borderId="13" xfId="27" applyFont="1" applyFill="1" applyBorder="1" applyAlignment="1" applyProtection="1">
      <alignment horizontal="center" vertical="center"/>
      <protection hidden="1"/>
    </xf>
    <xf numFmtId="0" fontId="83" fillId="27" borderId="23" xfId="26" applyFont="1" applyFill="1" applyBorder="1" applyAlignment="1" applyProtection="1">
      <alignment horizontal="center" vertical="center" wrapText="1"/>
      <protection hidden="1"/>
    </xf>
    <xf numFmtId="0" fontId="88" fillId="0" borderId="0" xfId="21" applyFont="1" applyAlignment="1" applyProtection="1">
      <alignment horizontal="left" vertical="center" wrapText="1"/>
      <protection hidden="1"/>
    </xf>
    <xf numFmtId="0" fontId="65" fillId="0" borderId="13" xfId="28" applyFont="1" applyBorder="1" applyProtection="1">
      <protection hidden="1"/>
    </xf>
    <xf numFmtId="9" fontId="82" fillId="0" borderId="13" xfId="2" applyFont="1" applyBorder="1" applyAlignment="1" applyProtection="1">
      <alignment horizontal="center"/>
      <protection hidden="1"/>
    </xf>
    <xf numFmtId="187" fontId="72" fillId="0" borderId="13" xfId="28" applyNumberFormat="1" applyBorder="1" applyProtection="1">
      <protection hidden="1"/>
    </xf>
    <xf numFmtId="9" fontId="72" fillId="0" borderId="13" xfId="2" applyFont="1" applyBorder="1" applyAlignment="1" applyProtection="1">
      <alignment horizontal="center"/>
      <protection hidden="1"/>
    </xf>
    <xf numFmtId="0" fontId="75" fillId="20" borderId="13" xfId="28" applyFont="1" applyFill="1" applyBorder="1" applyAlignment="1" applyProtection="1">
      <alignment horizontal="center" vertical="center"/>
      <protection locked="0"/>
    </xf>
    <xf numFmtId="0" fontId="91" fillId="0" borderId="0" xfId="28" applyFont="1" applyProtection="1">
      <protection hidden="1"/>
    </xf>
    <xf numFmtId="0" fontId="65" fillId="0" borderId="13" xfId="28" applyFont="1" applyBorder="1" applyAlignment="1" applyProtection="1">
      <alignment vertical="center"/>
      <protection hidden="1"/>
    </xf>
    <xf numFmtId="9" fontId="82" fillId="0" borderId="13" xfId="2" applyFont="1" applyBorder="1" applyAlignment="1" applyProtection="1">
      <alignment horizontal="center" vertical="center"/>
      <protection hidden="1"/>
    </xf>
    <xf numFmtId="170" fontId="82" fillId="0" borderId="13" xfId="2" applyNumberFormat="1" applyFont="1" applyBorder="1" applyAlignment="1" applyProtection="1">
      <alignment horizontal="center" vertical="center"/>
      <protection hidden="1"/>
    </xf>
    <xf numFmtId="187" fontId="72" fillId="0" borderId="13" xfId="28" applyNumberFormat="1" applyBorder="1" applyAlignment="1" applyProtection="1">
      <alignment vertical="center"/>
      <protection hidden="1"/>
    </xf>
    <xf numFmtId="170" fontId="72" fillId="0" borderId="13" xfId="28" applyNumberFormat="1" applyBorder="1" applyAlignment="1" applyProtection="1">
      <alignment horizontal="center" vertical="center"/>
      <protection hidden="1"/>
    </xf>
    <xf numFmtId="0" fontId="85" fillId="26" borderId="23" xfId="32" applyFont="1" applyFill="1" applyBorder="1" applyAlignment="1" applyProtection="1">
      <alignment wrapText="1"/>
      <protection hidden="1"/>
    </xf>
    <xf numFmtId="0" fontId="85" fillId="20" borderId="13" xfId="32" applyFont="1" applyFill="1" applyBorder="1" applyProtection="1">
      <protection hidden="1"/>
    </xf>
    <xf numFmtId="0" fontId="88" fillId="0" borderId="0" xfId="21" applyFont="1" applyAlignment="1" applyProtection="1">
      <alignment horizontal="center" vertical="center" wrapText="1"/>
      <protection hidden="1"/>
    </xf>
    <xf numFmtId="0" fontId="65" fillId="0" borderId="23" xfId="28" applyFont="1" applyBorder="1" applyProtection="1">
      <protection hidden="1"/>
    </xf>
    <xf numFmtId="2" fontId="82" fillId="20" borderId="13" xfId="28" applyNumberFormat="1" applyFont="1" applyFill="1" applyBorder="1" applyAlignment="1" applyProtection="1">
      <alignment horizontal="center"/>
      <protection hidden="1"/>
    </xf>
    <xf numFmtId="0" fontId="84" fillId="36" borderId="62" xfId="28" applyFont="1" applyFill="1" applyBorder="1" applyAlignment="1" applyProtection="1">
      <alignment vertical="center"/>
      <protection hidden="1"/>
    </xf>
    <xf numFmtId="9" fontId="75" fillId="0" borderId="13" xfId="2" applyFont="1" applyBorder="1" applyAlignment="1" applyProtection="1">
      <alignment horizontal="center" vertical="center"/>
      <protection hidden="1"/>
    </xf>
    <xf numFmtId="9" fontId="84" fillId="0" borderId="0" xfId="28" applyNumberFormat="1" applyFont="1" applyAlignment="1" applyProtection="1">
      <alignment vertical="center"/>
      <protection hidden="1"/>
    </xf>
    <xf numFmtId="2" fontId="65" fillId="0" borderId="0" xfId="28" applyNumberFormat="1" applyFont="1" applyAlignment="1" applyProtection="1">
      <alignment horizontal="center"/>
      <protection hidden="1"/>
    </xf>
    <xf numFmtId="9" fontId="75" fillId="0" borderId="13" xfId="2" applyFont="1" applyBorder="1" applyAlignment="1" applyProtection="1">
      <alignment horizontal="center"/>
      <protection hidden="1"/>
    </xf>
    <xf numFmtId="2" fontId="75" fillId="32" borderId="13" xfId="28" applyNumberFormat="1" applyFont="1" applyFill="1" applyBorder="1" applyAlignment="1" applyProtection="1">
      <alignment horizontal="center"/>
      <protection hidden="1"/>
    </xf>
    <xf numFmtId="186" fontId="79" fillId="0" borderId="51" xfId="35" applyNumberFormat="1" applyFont="1" applyBorder="1" applyProtection="1">
      <protection hidden="1"/>
    </xf>
    <xf numFmtId="164" fontId="65" fillId="0" borderId="13" xfId="35" applyFont="1" applyBorder="1" applyProtection="1">
      <protection hidden="1"/>
    </xf>
    <xf numFmtId="164" fontId="65" fillId="0" borderId="0" xfId="35" applyFont="1" applyProtection="1">
      <protection hidden="1"/>
    </xf>
    <xf numFmtId="164" fontId="72" fillId="0" borderId="0" xfId="35" applyFont="1" applyProtection="1">
      <protection hidden="1"/>
    </xf>
    <xf numFmtId="10" fontId="82" fillId="0" borderId="43" xfId="2" applyNumberFormat="1" applyFont="1" applyBorder="1" applyAlignment="1" applyProtection="1">
      <alignment horizontal="center"/>
      <protection hidden="1"/>
    </xf>
    <xf numFmtId="9" fontId="0" fillId="0" borderId="0" xfId="2" applyFont="1"/>
    <xf numFmtId="9" fontId="0" fillId="0" borderId="0" xfId="0" applyNumberFormat="1"/>
    <xf numFmtId="2" fontId="13" fillId="10" borderId="0" xfId="0" applyNumberFormat="1" applyFont="1" applyFill="1" applyAlignment="1">
      <alignment horizontal="center"/>
    </xf>
    <xf numFmtId="2" fontId="0" fillId="0" borderId="0" xfId="0" applyNumberFormat="1"/>
    <xf numFmtId="3" fontId="8" fillId="13" borderId="3" xfId="0" applyNumberFormat="1" applyFont="1" applyFill="1" applyBorder="1" applyAlignment="1">
      <alignment vertical="center" wrapText="1"/>
    </xf>
    <xf numFmtId="0" fontId="17" fillId="12" borderId="6" xfId="0" applyFont="1" applyFill="1" applyBorder="1" applyAlignment="1">
      <alignment wrapText="1"/>
    </xf>
    <xf numFmtId="0" fontId="22" fillId="6" borderId="6" xfId="0" applyFont="1" applyFill="1" applyBorder="1" applyAlignment="1">
      <alignment vertical="center"/>
    </xf>
    <xf numFmtId="0" fontId="22" fillId="6" borderId="6" xfId="0" applyFont="1" applyFill="1" applyBorder="1" applyAlignment="1">
      <alignment vertical="center" wrapText="1"/>
    </xf>
    <xf numFmtId="4" fontId="22" fillId="6" borderId="6" xfId="0" applyNumberFormat="1" applyFont="1" applyFill="1" applyBorder="1" applyAlignment="1">
      <alignment vertical="center"/>
    </xf>
    <xf numFmtId="168" fontId="22" fillId="6" borderId="6" xfId="0" applyNumberFormat="1" applyFont="1" applyFill="1" applyBorder="1" applyAlignment="1">
      <alignment vertical="center"/>
    </xf>
    <xf numFmtId="0" fontId="17" fillId="12" borderId="6" xfId="0" applyFont="1" applyFill="1" applyBorder="1"/>
    <xf numFmtId="4" fontId="17" fillId="12" borderId="6" xfId="0" applyNumberFormat="1" applyFont="1" applyFill="1" applyBorder="1"/>
    <xf numFmtId="0" fontId="27" fillId="12" borderId="6" xfId="0" applyFont="1" applyFill="1" applyBorder="1" applyAlignment="1">
      <alignment vertical="center" wrapText="1"/>
    </xf>
    <xf numFmtId="4" fontId="27" fillId="12" borderId="6" xfId="0" applyNumberFormat="1" applyFont="1" applyFill="1" applyBorder="1" applyAlignment="1">
      <alignment vertical="center" wrapText="1"/>
    </xf>
    <xf numFmtId="168" fontId="27" fillId="12" borderId="6" xfId="0" applyNumberFormat="1" applyFont="1" applyFill="1" applyBorder="1" applyAlignment="1">
      <alignment vertical="center" wrapText="1"/>
    </xf>
    <xf numFmtId="0" fontId="26" fillId="15" borderId="6" xfId="0" applyFont="1" applyFill="1" applyBorder="1" applyAlignment="1">
      <alignment vertical="center"/>
    </xf>
    <xf numFmtId="0" fontId="26" fillId="15" borderId="6" xfId="0" applyFont="1" applyFill="1" applyBorder="1" applyAlignment="1">
      <alignment vertical="center" wrapText="1"/>
    </xf>
    <xf numFmtId="4" fontId="26" fillId="15" borderId="6" xfId="0" applyNumberFormat="1" applyFont="1" applyFill="1" applyBorder="1" applyAlignment="1">
      <alignment vertical="center"/>
    </xf>
    <xf numFmtId="168" fontId="26" fillId="15" borderId="6" xfId="0" applyNumberFormat="1" applyFont="1" applyFill="1" applyBorder="1" applyAlignment="1">
      <alignment vertical="center"/>
    </xf>
    <xf numFmtId="0" fontId="34" fillId="2" borderId="6" xfId="0" applyFont="1" applyFill="1" applyBorder="1" applyAlignment="1">
      <alignment vertical="center"/>
    </xf>
    <xf numFmtId="0" fontId="34" fillId="2" borderId="6" xfId="0" applyFont="1" applyFill="1" applyBorder="1" applyAlignment="1">
      <alignment vertical="center" wrapText="1"/>
    </xf>
    <xf numFmtId="4" fontId="34" fillId="2" borderId="6" xfId="0" applyNumberFormat="1" applyFont="1" applyFill="1" applyBorder="1" applyAlignment="1">
      <alignment vertical="center"/>
    </xf>
    <xf numFmtId="168" fontId="34" fillId="2" borderId="6" xfId="0" applyNumberFormat="1" applyFont="1" applyFill="1" applyBorder="1" applyAlignment="1">
      <alignment vertical="center"/>
    </xf>
    <xf numFmtId="0" fontId="27" fillId="0" borderId="7" xfId="0" applyFont="1" applyBorder="1" applyAlignment="1">
      <alignment vertical="center" wrapText="1"/>
    </xf>
    <xf numFmtId="0" fontId="27" fillId="0" borderId="8" xfId="0" applyFont="1" applyBorder="1" applyAlignment="1">
      <alignment vertical="center" wrapText="1"/>
    </xf>
    <xf numFmtId="0" fontId="27" fillId="0" borderId="9" xfId="0" applyFont="1" applyBorder="1" applyAlignment="1">
      <alignment vertical="center" wrapText="1"/>
    </xf>
    <xf numFmtId="0" fontId="35" fillId="2" borderId="1" xfId="0" applyFont="1" applyFill="1" applyBorder="1" applyAlignment="1">
      <alignment vertical="center" wrapText="1"/>
    </xf>
    <xf numFmtId="164" fontId="0" fillId="42" borderId="0" xfId="1" applyFont="1" applyFill="1"/>
    <xf numFmtId="0" fontId="5" fillId="2" borderId="1" xfId="0" applyFont="1" applyFill="1" applyBorder="1" applyAlignment="1">
      <alignment horizontal="center" vertical="center" wrapText="1"/>
    </xf>
    <xf numFmtId="0" fontId="17" fillId="12" borderId="6" xfId="0" applyFont="1" applyFill="1" applyBorder="1" applyAlignment="1">
      <alignment wrapText="1"/>
    </xf>
    <xf numFmtId="0" fontId="28" fillId="15" borderId="6" xfId="0" applyFont="1" applyFill="1" applyBorder="1" applyAlignment="1">
      <alignment wrapText="1"/>
    </xf>
    <xf numFmtId="4" fontId="27" fillId="2" borderId="2" xfId="0" applyNumberFormat="1" applyFont="1" applyFill="1" applyBorder="1" applyAlignment="1">
      <alignment vertical="center" wrapText="1"/>
    </xf>
    <xf numFmtId="0" fontId="38" fillId="3" borderId="4" xfId="0" applyFont="1" applyFill="1" applyBorder="1" applyAlignment="1">
      <alignment vertical="center"/>
    </xf>
    <xf numFmtId="4" fontId="38" fillId="3" borderId="4" xfId="0" applyNumberFormat="1" applyFont="1" applyFill="1" applyBorder="1" applyAlignment="1">
      <alignment vertical="center"/>
    </xf>
    <xf numFmtId="0" fontId="35" fillId="2" borderId="1" xfId="0" applyFont="1" applyFill="1" applyBorder="1" applyAlignment="1">
      <alignment horizontal="center" vertical="center" wrapText="1"/>
    </xf>
    <xf numFmtId="0" fontId="28" fillId="14" borderId="6" xfId="0" applyFont="1" applyFill="1" applyBorder="1" applyAlignment="1">
      <alignment wrapText="1"/>
    </xf>
    <xf numFmtId="4" fontId="28" fillId="14" borderId="6" xfId="0" applyNumberFormat="1" applyFont="1" applyFill="1" applyBorder="1" applyAlignment="1">
      <alignment wrapText="1"/>
    </xf>
    <xf numFmtId="0" fontId="9" fillId="2" borderId="1" xfId="0" applyFont="1" applyFill="1" applyBorder="1" applyAlignment="1">
      <alignment horizontal="center" vertical="center" wrapText="1"/>
    </xf>
    <xf numFmtId="168" fontId="9" fillId="2" borderId="1" xfId="0" applyNumberFormat="1" applyFont="1" applyFill="1" applyBorder="1" applyAlignment="1">
      <alignment horizontal="center" vertical="center" wrapText="1"/>
    </xf>
    <xf numFmtId="0" fontId="10" fillId="6" borderId="3" xfId="0" applyFont="1" applyFill="1" applyBorder="1" applyAlignment="1">
      <alignment vertical="center"/>
    </xf>
    <xf numFmtId="168" fontId="10" fillId="6" borderId="3" xfId="0" applyNumberFormat="1" applyFont="1" applyFill="1" applyBorder="1" applyAlignment="1">
      <alignment vertical="center"/>
    </xf>
    <xf numFmtId="0" fontId="11" fillId="7" borderId="3" xfId="0" applyFont="1" applyFill="1" applyBorder="1" applyAlignment="1">
      <alignment vertical="center"/>
    </xf>
    <xf numFmtId="168" fontId="11" fillId="7" borderId="3" xfId="0" applyNumberFormat="1" applyFont="1" applyFill="1" applyBorder="1" applyAlignment="1">
      <alignment vertical="center"/>
    </xf>
    <xf numFmtId="0" fontId="11" fillId="3" borderId="10" xfId="0" applyFont="1" applyFill="1" applyBorder="1" applyAlignment="1">
      <alignment vertical="center"/>
    </xf>
    <xf numFmtId="0" fontId="11" fillId="3" borderId="11" xfId="0" applyFont="1" applyFill="1" applyBorder="1" applyAlignment="1">
      <alignment vertical="center"/>
    </xf>
    <xf numFmtId="0" fontId="11" fillId="3" borderId="12" xfId="0" applyFont="1" applyFill="1" applyBorder="1" applyAlignment="1">
      <alignment vertical="center"/>
    </xf>
    <xf numFmtId="0" fontId="9" fillId="2" borderId="2" xfId="0" applyFont="1" applyFill="1" applyBorder="1" applyAlignment="1">
      <alignment vertical="center" wrapText="1"/>
    </xf>
    <xf numFmtId="168" fontId="9" fillId="2" borderId="2" xfId="0" applyNumberFormat="1" applyFont="1" applyFill="1" applyBorder="1" applyAlignment="1">
      <alignment vertical="center" wrapText="1"/>
    </xf>
    <xf numFmtId="0" fontId="32" fillId="15" borderId="6" xfId="0" applyFont="1" applyFill="1" applyBorder="1" applyAlignment="1">
      <alignment wrapText="1"/>
    </xf>
    <xf numFmtId="168" fontId="32" fillId="15" borderId="6" xfId="0" applyNumberFormat="1" applyFont="1" applyFill="1" applyBorder="1" applyAlignment="1">
      <alignment wrapText="1"/>
    </xf>
    <xf numFmtId="172" fontId="32" fillId="15" borderId="6" xfId="0" applyNumberFormat="1" applyFont="1" applyFill="1" applyBorder="1" applyAlignment="1">
      <alignment wrapText="1"/>
    </xf>
    <xf numFmtId="167" fontId="32" fillId="15" borderId="6" xfId="0" applyNumberFormat="1" applyFont="1" applyFill="1" applyBorder="1" applyAlignment="1">
      <alignment wrapText="1"/>
    </xf>
    <xf numFmtId="168" fontId="5" fillId="2" borderId="1" xfId="0" applyNumberFormat="1" applyFont="1" applyFill="1" applyBorder="1" applyAlignment="1">
      <alignment horizontal="center" vertical="center" wrapText="1"/>
    </xf>
    <xf numFmtId="0" fontId="11" fillId="3" borderId="4" xfId="0" applyFont="1" applyFill="1" applyBorder="1" applyAlignment="1">
      <alignment vertical="center"/>
    </xf>
    <xf numFmtId="168" fontId="11" fillId="3" borderId="4" xfId="0" applyNumberFormat="1" applyFont="1" applyFill="1" applyBorder="1" applyAlignment="1">
      <alignment vertical="center"/>
    </xf>
    <xf numFmtId="0" fontId="6" fillId="9" borderId="0" xfId="0" applyFont="1" applyFill="1" applyAlignment="1">
      <alignment horizontal="left"/>
    </xf>
    <xf numFmtId="0" fontId="6" fillId="16" borderId="0" xfId="0" applyFont="1" applyFill="1" applyAlignment="1">
      <alignment horizontal="center"/>
    </xf>
    <xf numFmtId="0" fontId="6" fillId="16" borderId="0" xfId="0" applyFont="1" applyFill="1" applyAlignment="1">
      <alignment horizontal="center" vertical="center" wrapText="1"/>
    </xf>
    <xf numFmtId="0" fontId="12" fillId="17" borderId="0" xfId="0" applyFont="1" applyFill="1" applyAlignment="1">
      <alignment horizontal="center" wrapText="1"/>
    </xf>
    <xf numFmtId="0" fontId="17" fillId="16" borderId="0" xfId="0" applyFont="1" applyFill="1" applyAlignment="1">
      <alignment horizontal="center" vertical="center" wrapText="1"/>
    </xf>
    <xf numFmtId="0" fontId="13" fillId="17" borderId="5" xfId="0" applyFont="1" applyFill="1" applyBorder="1" applyAlignment="1">
      <alignment vertical="center" wrapText="1"/>
    </xf>
    <xf numFmtId="4" fontId="13" fillId="17" borderId="5" xfId="0" applyNumberFormat="1" applyFont="1" applyFill="1" applyBorder="1" applyAlignment="1">
      <alignment vertical="center" wrapText="1"/>
    </xf>
    <xf numFmtId="168" fontId="13" fillId="17" borderId="5" xfId="0" applyNumberFormat="1" applyFont="1" applyFill="1" applyBorder="1" applyAlignment="1">
      <alignment vertical="center" wrapText="1"/>
    </xf>
    <xf numFmtId="167" fontId="13" fillId="17" borderId="5" xfId="0" applyNumberFormat="1" applyFont="1" applyFill="1" applyBorder="1" applyAlignment="1">
      <alignment vertical="center" wrapText="1"/>
    </xf>
    <xf numFmtId="170" fontId="13" fillId="17" borderId="5" xfId="0" applyNumberFormat="1" applyFont="1" applyFill="1" applyBorder="1" applyAlignment="1">
      <alignment vertical="center" wrapText="1"/>
    </xf>
    <xf numFmtId="10" fontId="13" fillId="17" borderId="5" xfId="0" applyNumberFormat="1" applyFont="1" applyFill="1" applyBorder="1" applyAlignment="1">
      <alignment vertical="center" wrapText="1"/>
    </xf>
    <xf numFmtId="0" fontId="11" fillId="3" borderId="3" xfId="0" applyFont="1" applyFill="1" applyBorder="1" applyAlignment="1">
      <alignment vertical="center" wrapText="1"/>
    </xf>
    <xf numFmtId="4" fontId="11" fillId="3" borderId="3" xfId="0" applyNumberFormat="1" applyFont="1" applyFill="1" applyBorder="1" applyAlignment="1">
      <alignment vertical="center" wrapText="1"/>
    </xf>
    <xf numFmtId="168" fontId="11" fillId="3" borderId="3" xfId="0" applyNumberFormat="1" applyFont="1" applyFill="1" applyBorder="1" applyAlignment="1">
      <alignment vertical="center" wrapText="1"/>
    </xf>
    <xf numFmtId="10" fontId="11" fillId="3" borderId="3" xfId="0" applyNumberFormat="1" applyFont="1" applyFill="1" applyBorder="1" applyAlignment="1">
      <alignment vertical="center" wrapText="1"/>
    </xf>
    <xf numFmtId="0" fontId="7" fillId="6" borderId="3" xfId="0" applyFont="1" applyFill="1" applyBorder="1" applyAlignment="1">
      <alignment vertical="center" wrapText="1"/>
    </xf>
    <xf numFmtId="4" fontId="7" fillId="6" borderId="3" xfId="0" applyNumberFormat="1" applyFont="1" applyFill="1" applyBorder="1" applyAlignment="1">
      <alignment vertical="center" wrapText="1"/>
    </xf>
    <xf numFmtId="168" fontId="7" fillId="6" borderId="3" xfId="0" applyNumberFormat="1" applyFont="1" applyFill="1" applyBorder="1" applyAlignment="1">
      <alignment vertical="center" wrapText="1"/>
    </xf>
    <xf numFmtId="0" fontId="9" fillId="2" borderId="4" xfId="0" applyFont="1" applyFill="1" applyBorder="1" applyAlignment="1">
      <alignment vertical="center" wrapText="1"/>
    </xf>
    <xf numFmtId="4" fontId="9" fillId="2" borderId="4" xfId="0" applyNumberFormat="1" applyFont="1" applyFill="1" applyBorder="1" applyAlignment="1">
      <alignment vertical="center" wrapText="1"/>
    </xf>
    <xf numFmtId="168" fontId="9" fillId="2" borderId="4" xfId="0" applyNumberFormat="1" applyFont="1" applyFill="1" applyBorder="1" applyAlignment="1">
      <alignment vertical="center" wrapText="1"/>
    </xf>
    <xf numFmtId="0" fontId="58" fillId="22" borderId="23" xfId="21" applyFont="1" applyFill="1" applyBorder="1" applyAlignment="1" applyProtection="1">
      <alignment horizontal="center" vertical="center" wrapText="1"/>
      <protection hidden="1"/>
    </xf>
    <xf numFmtId="0" fontId="58" fillId="22" borderId="25" xfId="21" applyFont="1" applyFill="1" applyBorder="1" applyAlignment="1" applyProtection="1">
      <alignment horizontal="center" vertical="center" wrapText="1"/>
      <protection hidden="1"/>
    </xf>
    <xf numFmtId="0" fontId="60" fillId="33" borderId="40" xfId="0" applyFont="1" applyFill="1" applyBorder="1" applyAlignment="1" applyProtection="1">
      <alignment horizontal="center" vertical="center" wrapText="1"/>
      <protection hidden="1"/>
    </xf>
    <xf numFmtId="0" fontId="60" fillId="33" borderId="41" xfId="0" applyFont="1" applyFill="1" applyBorder="1" applyAlignment="1" applyProtection="1">
      <alignment horizontal="center" vertical="center" wrapText="1"/>
      <protection hidden="1"/>
    </xf>
    <xf numFmtId="181" fontId="60" fillId="33" borderId="40" xfId="0" applyNumberFormat="1" applyFont="1" applyFill="1" applyBorder="1" applyAlignment="1" applyProtection="1">
      <alignment horizontal="center" vertical="center"/>
      <protection hidden="1"/>
    </xf>
    <xf numFmtId="0" fontId="65" fillId="0" borderId="14" xfId="19" applyFont="1" applyBorder="1" applyAlignment="1" applyProtection="1">
      <alignment horizontal="left" vertical="center" wrapText="1"/>
      <protection hidden="1"/>
    </xf>
    <xf numFmtId="0" fontId="65" fillId="0" borderId="15" xfId="19" applyFont="1" applyBorder="1" applyAlignment="1" applyProtection="1">
      <alignment horizontal="left" vertical="center" wrapText="1"/>
      <protection hidden="1"/>
    </xf>
    <xf numFmtId="0" fontId="65" fillId="0" borderId="16" xfId="19" applyFont="1" applyBorder="1" applyAlignment="1" applyProtection="1">
      <alignment horizontal="left" vertical="center" wrapText="1"/>
      <protection hidden="1"/>
    </xf>
    <xf numFmtId="0" fontId="65" fillId="0" borderId="17" xfId="19" applyFont="1" applyBorder="1" applyAlignment="1" applyProtection="1">
      <alignment horizontal="left" vertical="center" wrapText="1"/>
      <protection hidden="1"/>
    </xf>
    <xf numFmtId="0" fontId="65" fillId="0" borderId="0" xfId="19" applyFont="1" applyAlignment="1" applyProtection="1">
      <alignment horizontal="left" vertical="center" wrapText="1"/>
      <protection hidden="1"/>
    </xf>
    <xf numFmtId="0" fontId="65" fillId="0" borderId="18" xfId="19" applyFont="1" applyBorder="1" applyAlignment="1" applyProtection="1">
      <alignment horizontal="left" vertical="center" wrapText="1"/>
      <protection hidden="1"/>
    </xf>
    <xf numFmtId="0" fontId="65" fillId="0" borderId="20" xfId="19" applyFont="1" applyBorder="1" applyAlignment="1" applyProtection="1">
      <alignment horizontal="left" vertical="center" wrapText="1"/>
      <protection hidden="1"/>
    </xf>
    <xf numFmtId="0" fontId="65" fillId="0" borderId="21" xfId="19" applyFont="1" applyBorder="1" applyAlignment="1" applyProtection="1">
      <alignment horizontal="left" vertical="center" wrapText="1"/>
      <protection hidden="1"/>
    </xf>
    <xf numFmtId="0" fontId="65" fillId="0" borderId="22" xfId="19" applyFont="1" applyBorder="1" applyAlignment="1" applyProtection="1">
      <alignment horizontal="left" vertical="center" wrapText="1"/>
      <protection hidden="1"/>
    </xf>
    <xf numFmtId="0" fontId="0" fillId="0" borderId="38" xfId="0" applyBorder="1" applyAlignment="1">
      <alignment horizontal="left" vertical="top" wrapText="1"/>
    </xf>
    <xf numFmtId="0" fontId="64" fillId="0" borderId="53" xfId="19" applyFont="1" applyBorder="1" applyAlignment="1" applyProtection="1">
      <alignment horizontal="center"/>
      <protection hidden="1"/>
    </xf>
    <xf numFmtId="0" fontId="64" fillId="0" borderId="54" xfId="19" applyFont="1" applyBorder="1" applyAlignment="1" applyProtection="1">
      <alignment horizontal="center"/>
      <protection hidden="1"/>
    </xf>
    <xf numFmtId="0" fontId="64" fillId="0" borderId="55" xfId="19" applyFont="1" applyBorder="1" applyAlignment="1" applyProtection="1">
      <alignment horizontal="center"/>
      <protection hidden="1"/>
    </xf>
    <xf numFmtId="0" fontId="18" fillId="17" borderId="0" xfId="0" applyFont="1" applyFill="1" applyAlignment="1">
      <alignment horizontal="center" vertical="center" wrapText="1"/>
    </xf>
    <xf numFmtId="0" fontId="17" fillId="16" borderId="5" xfId="0" applyFont="1" applyFill="1" applyBorder="1" applyAlignment="1">
      <alignment horizontal="center" vertical="center" wrapText="1"/>
    </xf>
    <xf numFmtId="0" fontId="78" fillId="0" borderId="58" xfId="0" applyFont="1" applyBorder="1" applyAlignment="1" applyProtection="1">
      <alignment horizontal="center" vertical="center"/>
      <protection hidden="1"/>
    </xf>
    <xf numFmtId="0" fontId="78" fillId="0" borderId="17" xfId="0" applyFont="1" applyBorder="1" applyAlignment="1" applyProtection="1">
      <alignment horizontal="center" vertical="center"/>
      <protection hidden="1"/>
    </xf>
    <xf numFmtId="0" fontId="78" fillId="0" borderId="20" xfId="0" applyFont="1" applyBorder="1" applyAlignment="1" applyProtection="1">
      <alignment horizontal="center" vertical="center"/>
      <protection hidden="1"/>
    </xf>
    <xf numFmtId="0" fontId="78" fillId="0" borderId="34" xfId="0" applyFont="1" applyBorder="1" applyAlignment="1" applyProtection="1">
      <alignment horizontal="center" vertical="center"/>
      <protection hidden="1"/>
    </xf>
    <xf numFmtId="0" fontId="78" fillId="0" borderId="35" xfId="0" applyFont="1" applyBorder="1" applyAlignment="1" applyProtection="1">
      <alignment horizontal="center" vertical="center"/>
      <protection hidden="1"/>
    </xf>
    <xf numFmtId="0" fontId="78" fillId="0" borderId="36" xfId="0" applyFont="1" applyBorder="1" applyAlignment="1" applyProtection="1">
      <alignment horizontal="center" vertical="center"/>
      <protection hidden="1"/>
    </xf>
    <xf numFmtId="181" fontId="90" fillId="0" borderId="61" xfId="38" applyNumberFormat="1" applyFont="1" applyBorder="1" applyAlignment="1" applyProtection="1">
      <alignment horizontal="center" vertical="center" wrapText="1"/>
      <protection hidden="1"/>
    </xf>
    <xf numFmtId="181" fontId="90" fillId="0" borderId="0" xfId="38" applyNumberFormat="1" applyFont="1" applyAlignment="1" applyProtection="1">
      <alignment horizontal="center" vertical="center" wrapText="1"/>
      <protection hidden="1"/>
    </xf>
    <xf numFmtId="0" fontId="88" fillId="0" borderId="61" xfId="21" applyFont="1" applyBorder="1" applyAlignment="1" applyProtection="1">
      <alignment horizontal="center" vertical="center" wrapText="1"/>
      <protection hidden="1"/>
    </xf>
    <xf numFmtId="0" fontId="88" fillId="0" borderId="0" xfId="21" applyFont="1" applyAlignment="1" applyProtection="1">
      <alignment horizontal="center" vertical="center" wrapText="1"/>
      <protection hidden="1"/>
    </xf>
    <xf numFmtId="0" fontId="75" fillId="32" borderId="14" xfId="28" applyFont="1" applyFill="1" applyBorder="1" applyAlignment="1" applyProtection="1">
      <alignment horizontal="center" vertical="center"/>
      <protection hidden="1"/>
    </xf>
    <xf numFmtId="0" fontId="75" fillId="32" borderId="17" xfId="28" applyFont="1" applyFill="1" applyBorder="1" applyAlignment="1" applyProtection="1">
      <alignment horizontal="center" vertical="center"/>
      <protection hidden="1"/>
    </xf>
    <xf numFmtId="0" fontId="75" fillId="32" borderId="20" xfId="28" applyFont="1" applyFill="1" applyBorder="1" applyAlignment="1" applyProtection="1">
      <alignment horizontal="center" vertical="center"/>
      <protection hidden="1"/>
    </xf>
    <xf numFmtId="0" fontId="0" fillId="38" borderId="23" xfId="33" applyFont="1" applyFill="1" applyBorder="1" applyAlignment="1" applyProtection="1">
      <alignment horizontal="center" vertical="center"/>
      <protection hidden="1"/>
    </xf>
    <xf numFmtId="0" fontId="0" fillId="38" borderId="24" xfId="33" applyFont="1" applyFill="1" applyBorder="1" applyAlignment="1" applyProtection="1">
      <alignment horizontal="center" vertical="center"/>
      <protection hidden="1"/>
    </xf>
    <xf numFmtId="0" fontId="0" fillId="38" borderId="25" xfId="33" applyFont="1" applyFill="1" applyBorder="1" applyAlignment="1" applyProtection="1">
      <alignment horizontal="center" vertical="center"/>
      <protection hidden="1"/>
    </xf>
    <xf numFmtId="0" fontId="47" fillId="22" borderId="62" xfId="34" applyFill="1" applyBorder="1" applyAlignment="1" applyProtection="1">
      <alignment horizontal="center" vertical="center" wrapText="1"/>
      <protection hidden="1"/>
    </xf>
    <xf numFmtId="0" fontId="47" fillId="22" borderId="63" xfId="34" applyFill="1" applyBorder="1" applyAlignment="1" applyProtection="1">
      <alignment horizontal="center" vertical="center" wrapText="1"/>
      <protection hidden="1"/>
    </xf>
    <xf numFmtId="0" fontId="47" fillId="22" borderId="60" xfId="34" applyFill="1" applyBorder="1" applyAlignment="1" applyProtection="1">
      <alignment horizontal="center" vertical="center" wrapText="1"/>
      <protection hidden="1"/>
    </xf>
    <xf numFmtId="0" fontId="0" fillId="0" borderId="0" xfId="0" applyAlignment="1">
      <alignment wrapText="1"/>
    </xf>
    <xf numFmtId="0" fontId="60" fillId="35" borderId="41" xfId="0" applyFont="1" applyFill="1" applyBorder="1" applyAlignment="1" applyProtection="1">
      <alignment horizontal="center" vertical="center"/>
      <protection hidden="1"/>
    </xf>
    <xf numFmtId="0" fontId="60" fillId="36" borderId="41" xfId="0" applyFont="1" applyFill="1" applyBorder="1" applyAlignment="1" applyProtection="1">
      <alignment horizontal="center" vertical="center" wrapText="1"/>
      <protection hidden="1"/>
    </xf>
    <xf numFmtId="0" fontId="60" fillId="0" borderId="41" xfId="0" applyFont="1" applyBorder="1" applyAlignment="1" applyProtection="1">
      <alignment horizontal="right" vertical="center" wrapText="1"/>
      <protection hidden="1"/>
    </xf>
    <xf numFmtId="183" fontId="59" fillId="0" borderId="41" xfId="0" applyNumberFormat="1" applyFont="1" applyBorder="1" applyAlignment="1" applyProtection="1">
      <alignment horizontal="center" vertical="center" wrapText="1"/>
      <protection hidden="1"/>
    </xf>
    <xf numFmtId="180" fontId="70" fillId="0" borderId="41" xfId="0" applyNumberFormat="1" applyFont="1" applyBorder="1" applyAlignment="1" applyProtection="1">
      <alignment horizontal="center" vertical="center"/>
      <protection hidden="1"/>
    </xf>
    <xf numFmtId="181" fontId="59" fillId="0" borderId="41" xfId="0" applyNumberFormat="1" applyFont="1" applyBorder="1" applyAlignment="1" applyProtection="1">
      <alignment horizontal="center" vertical="center" wrapText="1"/>
      <protection hidden="1"/>
    </xf>
    <xf numFmtId="175" fontId="3" fillId="22" borderId="28" xfId="13" applyNumberFormat="1" applyFill="1" applyBorder="1" applyAlignment="1" applyProtection="1">
      <alignment horizontal="left" vertical="center" wrapText="1" indent="1"/>
      <protection locked="0"/>
    </xf>
    <xf numFmtId="175" fontId="3" fillId="22" borderId="0" xfId="13" applyNumberFormat="1" applyFill="1" applyAlignment="1" applyProtection="1">
      <alignment horizontal="left" vertical="center" wrapText="1" indent="1"/>
      <protection locked="0"/>
    </xf>
    <xf numFmtId="175" fontId="3" fillId="22" borderId="27" xfId="13" applyNumberFormat="1" applyFill="1" applyBorder="1" applyAlignment="1" applyProtection="1">
      <alignment horizontal="left" vertical="center" wrapText="1" indent="1"/>
      <protection locked="0"/>
    </xf>
    <xf numFmtId="175" fontId="3" fillId="22" borderId="26" xfId="13" applyNumberFormat="1" applyFill="1" applyBorder="1" applyAlignment="1" applyProtection="1">
      <alignment horizontal="left" vertical="center" wrapText="1" indent="1"/>
      <protection locked="0"/>
    </xf>
    <xf numFmtId="175" fontId="3" fillId="22" borderId="29" xfId="13" applyNumberFormat="1" applyFill="1" applyBorder="1" applyAlignment="1" applyProtection="1">
      <alignment horizontal="left" vertical="center" wrapText="1" indent="1"/>
      <protection locked="0"/>
    </xf>
    <xf numFmtId="0" fontId="3" fillId="22" borderId="23" xfId="13" applyFill="1" applyBorder="1" applyAlignment="1" applyProtection="1">
      <alignment horizontal="center"/>
      <protection locked="0"/>
    </xf>
    <xf numFmtId="0" fontId="3" fillId="22" borderId="24" xfId="13" applyFill="1" applyBorder="1" applyAlignment="1" applyProtection="1">
      <alignment horizontal="center"/>
      <protection locked="0"/>
    </xf>
    <xf numFmtId="0" fontId="3" fillId="22" borderId="25" xfId="13" applyFill="1" applyBorder="1" applyAlignment="1" applyProtection="1">
      <alignment horizontal="center"/>
      <protection locked="0"/>
    </xf>
    <xf numFmtId="0" fontId="41" fillId="19" borderId="13" xfId="4" applyFill="1" applyBorder="1" applyAlignment="1" applyProtection="1">
      <alignment horizontal="center"/>
      <protection locked="0"/>
    </xf>
    <xf numFmtId="0" fontId="43" fillId="0" borderId="14" xfId="13" applyFont="1" applyBorder="1" applyAlignment="1">
      <alignment horizontal="left" vertical="center" wrapText="1"/>
    </xf>
    <xf numFmtId="0" fontId="43" fillId="0" borderId="15" xfId="13" applyFont="1" applyBorder="1" applyAlignment="1">
      <alignment horizontal="left" vertical="center" wrapText="1"/>
    </xf>
    <xf numFmtId="0" fontId="43" fillId="0" borderId="16" xfId="13" applyFont="1" applyBorder="1" applyAlignment="1">
      <alignment horizontal="left" vertical="center" wrapText="1"/>
    </xf>
    <xf numFmtId="0" fontId="43" fillId="0" borderId="17" xfId="13" applyFont="1" applyBorder="1" applyAlignment="1">
      <alignment horizontal="left" vertical="center" wrapText="1"/>
    </xf>
    <xf numFmtId="0" fontId="43" fillId="0" borderId="0" xfId="13" applyFont="1" applyAlignment="1">
      <alignment horizontal="left" vertical="center" wrapText="1"/>
    </xf>
    <xf numFmtId="0" fontId="43" fillId="0" borderId="18" xfId="13" applyFont="1" applyBorder="1" applyAlignment="1">
      <alignment horizontal="left" vertical="center" wrapText="1"/>
    </xf>
    <xf numFmtId="0" fontId="43" fillId="0" borderId="20" xfId="13" applyFont="1" applyBorder="1" applyAlignment="1">
      <alignment horizontal="left" vertical="center" wrapText="1"/>
    </xf>
    <xf numFmtId="0" fontId="43" fillId="0" borderId="21" xfId="13" applyFont="1" applyBorder="1" applyAlignment="1">
      <alignment horizontal="left" vertical="center" wrapText="1"/>
    </xf>
    <xf numFmtId="0" fontId="43" fillId="0" borderId="22" xfId="13" applyFont="1" applyBorder="1" applyAlignment="1">
      <alignment horizontal="left" vertical="center" wrapText="1"/>
    </xf>
    <xf numFmtId="0" fontId="45" fillId="20" borderId="13" xfId="6" applyFont="1" applyFill="1" applyBorder="1" applyAlignment="1" applyProtection="1">
      <alignment horizontal="center" vertical="center"/>
      <protection locked="0"/>
    </xf>
    <xf numFmtId="0" fontId="48" fillId="0" borderId="13" xfId="14" applyFont="1" applyBorder="1" applyAlignment="1" applyProtection="1">
      <alignment horizontal="center" vertical="center"/>
      <protection locked="0"/>
    </xf>
    <xf numFmtId="0" fontId="3" fillId="0" borderId="23" xfId="14" applyBorder="1" applyAlignment="1" applyProtection="1">
      <alignment horizontal="center" vertical="center" wrapText="1"/>
      <protection locked="0"/>
    </xf>
    <xf numFmtId="0" fontId="3" fillId="0" borderId="24" xfId="14" applyBorder="1" applyAlignment="1" applyProtection="1">
      <alignment horizontal="center" vertical="center" wrapText="1"/>
      <protection locked="0"/>
    </xf>
    <xf numFmtId="0" fontId="3" fillId="0" borderId="25" xfId="14" applyBorder="1" applyAlignment="1" applyProtection="1">
      <alignment horizontal="center" vertical="center" wrapText="1"/>
      <protection locked="0"/>
    </xf>
    <xf numFmtId="0" fontId="3" fillId="0" borderId="23" xfId="13" applyBorder="1" applyAlignment="1" applyProtection="1">
      <alignment horizontal="center" vertical="center"/>
      <protection locked="0"/>
    </xf>
    <xf numFmtId="0" fontId="3" fillId="0" borderId="24" xfId="13" applyBorder="1" applyAlignment="1" applyProtection="1">
      <alignment horizontal="center" vertical="center"/>
      <protection locked="0"/>
    </xf>
    <xf numFmtId="0" fontId="3" fillId="0" borderId="25" xfId="13" applyBorder="1" applyAlignment="1" applyProtection="1">
      <alignment horizontal="center" vertical="center"/>
      <protection locked="0"/>
    </xf>
    <xf numFmtId="0" fontId="55" fillId="29" borderId="34" xfId="13" applyFont="1" applyFill="1" applyBorder="1" applyAlignment="1">
      <alignment horizontal="center" vertical="center"/>
    </xf>
    <xf numFmtId="0" fontId="55" fillId="29" borderId="35" xfId="13" applyFont="1" applyFill="1" applyBorder="1" applyAlignment="1">
      <alignment horizontal="center" vertical="center"/>
    </xf>
    <xf numFmtId="0" fontId="55" fillId="29" borderId="36" xfId="13" applyFont="1" applyFill="1" applyBorder="1" applyAlignment="1">
      <alignment horizontal="center" vertical="center"/>
    </xf>
    <xf numFmtId="0" fontId="56" fillId="29" borderId="14" xfId="13" applyFont="1" applyFill="1" applyBorder="1" applyAlignment="1">
      <alignment horizontal="center" vertical="center" wrapText="1"/>
    </xf>
    <xf numFmtId="0" fontId="56" fillId="29" borderId="15" xfId="13" applyFont="1" applyFill="1" applyBorder="1" applyAlignment="1">
      <alignment horizontal="center" vertical="center" wrapText="1"/>
    </xf>
    <xf numFmtId="0" fontId="56" fillId="29" borderId="16" xfId="13" applyFont="1" applyFill="1" applyBorder="1" applyAlignment="1">
      <alignment horizontal="center" vertical="center" wrapText="1"/>
    </xf>
    <xf numFmtId="0" fontId="56" fillId="29" borderId="20" xfId="13" applyFont="1" applyFill="1" applyBorder="1" applyAlignment="1">
      <alignment horizontal="center" vertical="center" wrapText="1"/>
    </xf>
    <xf numFmtId="0" fontId="56" fillId="29" borderId="21" xfId="13" applyFont="1" applyFill="1" applyBorder="1" applyAlignment="1">
      <alignment horizontal="center" vertical="center" wrapText="1"/>
    </xf>
    <xf numFmtId="0" fontId="56" fillId="29" borderId="22" xfId="13" applyFont="1" applyFill="1" applyBorder="1" applyAlignment="1">
      <alignment horizontal="center" vertical="center" wrapText="1"/>
    </xf>
    <xf numFmtId="0" fontId="44" fillId="0" borderId="0" xfId="13" applyFont="1" applyAlignment="1" applyProtection="1">
      <alignment horizontal="center" wrapText="1"/>
      <protection locked="0"/>
    </xf>
    <xf numFmtId="0" fontId="0" fillId="0" borderId="0" xfId="0" applyAlignment="1"/>
    <xf numFmtId="0" fontId="61" fillId="0" borderId="42" xfId="0" applyFont="1" applyBorder="1" applyAlignment="1" applyProtection="1">
      <protection hidden="1"/>
    </xf>
    <xf numFmtId="0" fontId="61" fillId="0" borderId="43" xfId="0" applyFont="1" applyBorder="1" applyAlignment="1" applyProtection="1">
      <protection hidden="1"/>
    </xf>
    <xf numFmtId="0" fontId="61" fillId="0" borderId="44" xfId="0" applyFont="1" applyBorder="1" applyAlignment="1" applyProtection="1">
      <protection hidden="1"/>
    </xf>
    <xf numFmtId="174" fontId="3" fillId="21" borderId="13" xfId="15" applyFill="1" applyBorder="1" applyAlignment="1" applyProtection="1">
      <alignment horizontal="center" vertical="center"/>
      <protection locked="0"/>
    </xf>
  </cellXfs>
  <cellStyles count="39">
    <cellStyle name="Encabezado 1 2" xfId="6" xr:uid="{AA0B3902-780B-40CB-A7BA-9547810B5234}"/>
    <cellStyle name="Fecha" xfId="12" xr:uid="{A2DBEA44-E55E-42D5-81F2-FA63D1D0571C}"/>
    <cellStyle name="Fecha 2" xfId="18" xr:uid="{7A2DE140-4B84-4257-AB2F-4777AECDCE65}"/>
    <cellStyle name="Hipervínculo" xfId="7" builtinId="8"/>
    <cellStyle name="Inicio del proyecto" xfId="9" xr:uid="{AA0E9462-BEFD-4C40-BC3E-252758141DDB}"/>
    <cellStyle name="Inicio del proyecto 2" xfId="15" xr:uid="{5E511BBF-82D0-4138-8758-6BD2290546DB}"/>
    <cellStyle name="Millares 2" xfId="23" xr:uid="{490F3D35-3E05-4C41-9EE5-7A9D61883F3D}"/>
    <cellStyle name="Moneda" xfId="1" builtinId="4"/>
    <cellStyle name="Moneda 2" xfId="20" xr:uid="{31F88117-6240-48DC-83B7-22683810A6DF}"/>
    <cellStyle name="Moneda 2 2 2" xfId="37" xr:uid="{18C21ED2-9183-42DC-8F08-FB9C558E1303}"/>
    <cellStyle name="Moneda 3 2" xfId="30" xr:uid="{AA745A87-FE30-434B-963D-376E8C7F673D}"/>
    <cellStyle name="Moneda 8" xfId="35" xr:uid="{614DAF8D-A370-4708-BE10-322B102576BB}"/>
    <cellStyle name="Nombre" xfId="10" xr:uid="{2A93DFF7-BF03-4059-9141-BA402ACDF4F9}"/>
    <cellStyle name="Nombre 2" xfId="16" xr:uid="{7A067341-2EBB-4506-9AEF-1EEBB27128DD}"/>
    <cellStyle name="Normal" xfId="0" builtinId="0"/>
    <cellStyle name="Normal 14" xfId="33" xr:uid="{6022D6A1-99F5-43FB-AE98-A1ECDEA14304}"/>
    <cellStyle name="Normal 2" xfId="5" xr:uid="{B0C35CBE-8A0B-4D37-83DD-42DE5AD4668C}"/>
    <cellStyle name="Normal 2 2 2 2 2" xfId="38" xr:uid="{15C90E42-F9EE-4F07-9B0E-10A970513A71}"/>
    <cellStyle name="Normal 2 5" xfId="32" xr:uid="{20C2E906-8B89-46DC-8BF2-A63ABEF3D1C1}"/>
    <cellStyle name="Normal 2 52 2 2" xfId="24" xr:uid="{547C5742-6BCA-43DE-80F8-9EA03452698E}"/>
    <cellStyle name="Normal 2 52 2 2 2" xfId="34" xr:uid="{B3F02997-F60A-4957-8645-EC63C3148248}"/>
    <cellStyle name="Normal 2_FORMATOS_PARA_ENTREGAR 2 2" xfId="25" xr:uid="{5B1B233B-E517-4E89-8C20-49B67AF52196}"/>
    <cellStyle name="Normal 2_FORMATOS_PARA_ENTREGAR 2 2 2" xfId="26" xr:uid="{F3C87120-D2D0-4AE2-9BB7-F88FD7D6E846}"/>
    <cellStyle name="Normal 3" xfId="13" xr:uid="{B1F30F56-99D0-4D64-8B60-75B490348D68}"/>
    <cellStyle name="Normal 3 3 2" xfId="19" xr:uid="{1E475238-BB20-4E35-BB46-D96C2BEEDD47}"/>
    <cellStyle name="Normal 4 2" xfId="28" xr:uid="{EB9DE27A-5A0F-4561-ACC9-9EB7E98668CF}"/>
    <cellStyle name="Normal 4 2 2" xfId="27" xr:uid="{55D79BA2-ED2B-4505-AAC2-DA25F4931C95}"/>
    <cellStyle name="Normal 4 3" xfId="29" xr:uid="{5ADD8888-C462-40C7-B50F-203483A0D617}"/>
    <cellStyle name="Normal 6 2" xfId="21" xr:uid="{D582BAAE-8A11-4CDD-B20D-E518E74113FF}"/>
    <cellStyle name="Porcentaje" xfId="2" builtinId="5"/>
    <cellStyle name="Porcentaje 2" xfId="11" xr:uid="{CE873D04-9837-4AF2-BE57-5A908F7D3D11}"/>
    <cellStyle name="Porcentaje 2 2" xfId="22" xr:uid="{9B3D9C7F-8ECD-4502-B6CF-FCF9D56ADC0A}"/>
    <cellStyle name="Porcentaje 2 2 2" xfId="31" xr:uid="{191712D2-B813-4A99-92A0-7F41405456DE}"/>
    <cellStyle name="Porcentaje 3" xfId="17" xr:uid="{45136BC5-193D-4263-994D-EE6843B32AE6}"/>
    <cellStyle name="Porcentual 2 2 5 2 2 2" xfId="36" xr:uid="{131D2361-2B26-4D01-9CEE-15A91D92EA7D}"/>
    <cellStyle name="Título 3 2" xfId="8" xr:uid="{A16697EB-4A49-4E5E-8F3C-A961B8541ACA}"/>
    <cellStyle name="Título 3 2 2" xfId="14" xr:uid="{642210B5-EA95-4C33-BF1B-2F9C42705ECE}"/>
    <cellStyle name="Título 4" xfId="4" xr:uid="{9CA2810E-0E78-4895-9755-A853E206B95A}"/>
    <cellStyle name="zTextoOculto" xfId="3" xr:uid="{48160C23-46AF-42AC-8BE5-8215DE5337EE}"/>
  </cellStyles>
  <dxfs count="4">
    <dxf>
      <fill>
        <patternFill>
          <bgColor rgb="FF92D050"/>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_rels/drawing2.xml.rels><?xml version="1.0" encoding="UTF-8" standalone="yes"?>
<Relationships xmlns="http://schemas.openxmlformats.org/package/2006/relationships"><Relationship Id="rId1" Type="http://schemas.openxmlformats.org/officeDocument/2006/relationships/image" Target="../media/image3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2.png"/><Relationship Id="rId1" Type="http://schemas.openxmlformats.org/officeDocument/2006/relationships/hyperlink" Target="#INDICE!A1"/></Relationships>
</file>

<file path=xl/drawings/drawing1.xml><?xml version="1.0" encoding="utf-8"?>
<xdr:wsDr xmlns:xdr="http://schemas.openxmlformats.org/drawingml/2006/spreadsheetDrawing" xmlns:a="http://schemas.openxmlformats.org/drawingml/2006/main">
  <xdr:twoCellAnchor editAs="oneCell">
    <xdr:from>
      <xdr:col>7</xdr:col>
      <xdr:colOff>31148</xdr:colOff>
      <xdr:row>22</xdr:row>
      <xdr:rowOff>14600</xdr:rowOff>
    </xdr:from>
    <xdr:to>
      <xdr:col>9</xdr:col>
      <xdr:colOff>524714</xdr:colOff>
      <xdr:row>30</xdr:row>
      <xdr:rowOff>8468</xdr:rowOff>
    </xdr:to>
    <xdr:pic>
      <xdr:nvPicPr>
        <xdr:cNvPr id="3" name="Imagen 2">
          <a:extLst>
            <a:ext uri="{FF2B5EF4-FFF2-40B4-BE49-F238E27FC236}">
              <a16:creationId xmlns:a16="http://schemas.microsoft.com/office/drawing/2014/main" id="{B52DA352-7C7C-489B-D6C0-D7CC46986338}"/>
            </a:ext>
          </a:extLst>
        </xdr:cNvPr>
        <xdr:cNvPicPr>
          <a:picLocks noChangeAspect="1"/>
        </xdr:cNvPicPr>
      </xdr:nvPicPr>
      <xdr:blipFill>
        <a:blip xmlns:r="http://schemas.openxmlformats.org/officeDocument/2006/relationships" r:embed="rId1"/>
        <a:stretch>
          <a:fillRect/>
        </a:stretch>
      </xdr:blipFill>
      <xdr:spPr>
        <a:xfrm>
          <a:off x="11173281" y="4967600"/>
          <a:ext cx="1831300" cy="2152868"/>
        </a:xfrm>
        <a:prstGeom prst="rect">
          <a:avLst/>
        </a:prstGeom>
      </xdr:spPr>
    </xdr:pic>
    <xdr:clientData/>
  </xdr:twoCellAnchor>
  <xdr:twoCellAnchor editAs="oneCell">
    <xdr:from>
      <xdr:col>7</xdr:col>
      <xdr:colOff>76201</xdr:colOff>
      <xdr:row>31</xdr:row>
      <xdr:rowOff>25400</xdr:rowOff>
    </xdr:from>
    <xdr:to>
      <xdr:col>9</xdr:col>
      <xdr:colOff>402135</xdr:colOff>
      <xdr:row>39</xdr:row>
      <xdr:rowOff>0</xdr:rowOff>
    </xdr:to>
    <xdr:pic>
      <xdr:nvPicPr>
        <xdr:cNvPr id="4" name="Imagen 3">
          <a:extLst>
            <a:ext uri="{FF2B5EF4-FFF2-40B4-BE49-F238E27FC236}">
              <a16:creationId xmlns:a16="http://schemas.microsoft.com/office/drawing/2014/main" id="{009CF39A-ABDD-4BFB-A6D4-26A59D712F76}"/>
            </a:ext>
          </a:extLst>
        </xdr:cNvPr>
        <xdr:cNvPicPr>
          <a:picLocks noChangeAspect="1"/>
        </xdr:cNvPicPr>
      </xdr:nvPicPr>
      <xdr:blipFill>
        <a:blip xmlns:r="http://schemas.openxmlformats.org/officeDocument/2006/relationships" r:embed="rId1"/>
        <a:stretch>
          <a:fillRect/>
        </a:stretch>
      </xdr:blipFill>
      <xdr:spPr>
        <a:xfrm>
          <a:off x="11218334" y="7315200"/>
          <a:ext cx="1663668" cy="1955800"/>
        </a:xfrm>
        <a:prstGeom prst="rect">
          <a:avLst/>
        </a:prstGeom>
      </xdr:spPr>
    </xdr:pic>
    <xdr:clientData/>
  </xdr:twoCellAnchor>
  <xdr:twoCellAnchor editAs="oneCell">
    <xdr:from>
      <xdr:col>7</xdr:col>
      <xdr:colOff>42334</xdr:colOff>
      <xdr:row>40</xdr:row>
      <xdr:rowOff>16933</xdr:rowOff>
    </xdr:from>
    <xdr:to>
      <xdr:col>9</xdr:col>
      <xdr:colOff>404278</xdr:colOff>
      <xdr:row>48</xdr:row>
      <xdr:rowOff>16933</xdr:rowOff>
    </xdr:to>
    <xdr:pic>
      <xdr:nvPicPr>
        <xdr:cNvPr id="5" name="Imagen 4">
          <a:extLst>
            <a:ext uri="{FF2B5EF4-FFF2-40B4-BE49-F238E27FC236}">
              <a16:creationId xmlns:a16="http://schemas.microsoft.com/office/drawing/2014/main" id="{0A576C0D-6E69-40EC-AB62-6D8D63E8C6BF}"/>
            </a:ext>
          </a:extLst>
        </xdr:cNvPr>
        <xdr:cNvPicPr>
          <a:picLocks noChangeAspect="1"/>
        </xdr:cNvPicPr>
      </xdr:nvPicPr>
      <xdr:blipFill>
        <a:blip xmlns:r="http://schemas.openxmlformats.org/officeDocument/2006/relationships" r:embed="rId1"/>
        <a:stretch>
          <a:fillRect/>
        </a:stretch>
      </xdr:blipFill>
      <xdr:spPr>
        <a:xfrm>
          <a:off x="11184467" y="9465733"/>
          <a:ext cx="1699678" cy="1998133"/>
        </a:xfrm>
        <a:prstGeom prst="rect">
          <a:avLst/>
        </a:prstGeom>
      </xdr:spPr>
    </xdr:pic>
    <xdr:clientData/>
  </xdr:twoCellAnchor>
  <xdr:twoCellAnchor editAs="oneCell">
    <xdr:from>
      <xdr:col>7</xdr:col>
      <xdr:colOff>59267</xdr:colOff>
      <xdr:row>49</xdr:row>
      <xdr:rowOff>16933</xdr:rowOff>
    </xdr:from>
    <xdr:to>
      <xdr:col>9</xdr:col>
      <xdr:colOff>222803</xdr:colOff>
      <xdr:row>54</xdr:row>
      <xdr:rowOff>65307</xdr:rowOff>
    </xdr:to>
    <xdr:pic>
      <xdr:nvPicPr>
        <xdr:cNvPr id="6" name="Imagen 5">
          <a:extLst>
            <a:ext uri="{FF2B5EF4-FFF2-40B4-BE49-F238E27FC236}">
              <a16:creationId xmlns:a16="http://schemas.microsoft.com/office/drawing/2014/main" id="{9B03C8FA-6C8D-3BE1-B4E6-EE025F0C9137}"/>
            </a:ext>
          </a:extLst>
        </xdr:cNvPr>
        <xdr:cNvPicPr>
          <a:picLocks noChangeAspect="1"/>
        </xdr:cNvPicPr>
      </xdr:nvPicPr>
      <xdr:blipFill>
        <a:blip xmlns:r="http://schemas.openxmlformats.org/officeDocument/2006/relationships" r:embed="rId2"/>
        <a:stretch>
          <a:fillRect/>
        </a:stretch>
      </xdr:blipFill>
      <xdr:spPr>
        <a:xfrm>
          <a:off x="11201400" y="11641666"/>
          <a:ext cx="1501270" cy="1318374"/>
        </a:xfrm>
        <a:prstGeom prst="rect">
          <a:avLst/>
        </a:prstGeom>
      </xdr:spPr>
    </xdr:pic>
    <xdr:clientData/>
  </xdr:twoCellAnchor>
  <xdr:twoCellAnchor editAs="oneCell">
    <xdr:from>
      <xdr:col>9</xdr:col>
      <xdr:colOff>254000</xdr:colOff>
      <xdr:row>49</xdr:row>
      <xdr:rowOff>16933</xdr:rowOff>
    </xdr:from>
    <xdr:to>
      <xdr:col>11</xdr:col>
      <xdr:colOff>457501</xdr:colOff>
      <xdr:row>57</xdr:row>
      <xdr:rowOff>25400</xdr:rowOff>
    </xdr:to>
    <xdr:pic>
      <xdr:nvPicPr>
        <xdr:cNvPr id="7" name="Imagen 6">
          <a:extLst>
            <a:ext uri="{FF2B5EF4-FFF2-40B4-BE49-F238E27FC236}">
              <a16:creationId xmlns:a16="http://schemas.microsoft.com/office/drawing/2014/main" id="{E8D09B0D-C637-4638-8C78-2488D4869B42}"/>
            </a:ext>
          </a:extLst>
        </xdr:cNvPr>
        <xdr:cNvPicPr>
          <a:picLocks noChangeAspect="1"/>
        </xdr:cNvPicPr>
      </xdr:nvPicPr>
      <xdr:blipFill>
        <a:blip xmlns:r="http://schemas.openxmlformats.org/officeDocument/2006/relationships" r:embed="rId1"/>
        <a:stretch>
          <a:fillRect/>
        </a:stretch>
      </xdr:blipFill>
      <xdr:spPr>
        <a:xfrm>
          <a:off x="12733867" y="11641666"/>
          <a:ext cx="1541234" cy="1811867"/>
        </a:xfrm>
        <a:prstGeom prst="rect">
          <a:avLst/>
        </a:prstGeom>
      </xdr:spPr>
    </xdr:pic>
    <xdr:clientData/>
  </xdr:twoCellAnchor>
  <xdr:twoCellAnchor editAs="oneCell">
    <xdr:from>
      <xdr:col>7</xdr:col>
      <xdr:colOff>50800</xdr:colOff>
      <xdr:row>58</xdr:row>
      <xdr:rowOff>10993</xdr:rowOff>
    </xdr:from>
    <xdr:to>
      <xdr:col>11</xdr:col>
      <xdr:colOff>499532</xdr:colOff>
      <xdr:row>66</xdr:row>
      <xdr:rowOff>1844</xdr:rowOff>
    </xdr:to>
    <xdr:pic>
      <xdr:nvPicPr>
        <xdr:cNvPr id="9" name="Imagen 8">
          <a:extLst>
            <a:ext uri="{FF2B5EF4-FFF2-40B4-BE49-F238E27FC236}">
              <a16:creationId xmlns:a16="http://schemas.microsoft.com/office/drawing/2014/main" id="{EE90CB95-DA5B-22CD-DF31-6B48A0661869}"/>
            </a:ext>
          </a:extLst>
        </xdr:cNvPr>
        <xdr:cNvPicPr>
          <a:picLocks noChangeAspect="1"/>
        </xdr:cNvPicPr>
      </xdr:nvPicPr>
      <xdr:blipFill>
        <a:blip xmlns:r="http://schemas.openxmlformats.org/officeDocument/2006/relationships" r:embed="rId3"/>
        <a:stretch>
          <a:fillRect/>
        </a:stretch>
      </xdr:blipFill>
      <xdr:spPr>
        <a:xfrm>
          <a:off x="11192933" y="13616926"/>
          <a:ext cx="3124199" cy="1794251"/>
        </a:xfrm>
        <a:prstGeom prst="rect">
          <a:avLst/>
        </a:prstGeom>
      </xdr:spPr>
    </xdr:pic>
    <xdr:clientData/>
  </xdr:twoCellAnchor>
  <xdr:twoCellAnchor editAs="oneCell">
    <xdr:from>
      <xdr:col>11</xdr:col>
      <xdr:colOff>550333</xdr:colOff>
      <xdr:row>58</xdr:row>
      <xdr:rowOff>8466</xdr:rowOff>
    </xdr:from>
    <xdr:to>
      <xdr:col>14</xdr:col>
      <xdr:colOff>84967</xdr:colOff>
      <xdr:row>66</xdr:row>
      <xdr:rowOff>16933</xdr:rowOff>
    </xdr:to>
    <xdr:pic>
      <xdr:nvPicPr>
        <xdr:cNvPr id="10" name="Imagen 9">
          <a:extLst>
            <a:ext uri="{FF2B5EF4-FFF2-40B4-BE49-F238E27FC236}">
              <a16:creationId xmlns:a16="http://schemas.microsoft.com/office/drawing/2014/main" id="{F2EC56F2-7C6F-414E-BD6B-582E48A73007}"/>
            </a:ext>
          </a:extLst>
        </xdr:cNvPr>
        <xdr:cNvPicPr>
          <a:picLocks noChangeAspect="1"/>
        </xdr:cNvPicPr>
      </xdr:nvPicPr>
      <xdr:blipFill>
        <a:blip xmlns:r="http://schemas.openxmlformats.org/officeDocument/2006/relationships" r:embed="rId1"/>
        <a:stretch>
          <a:fillRect/>
        </a:stretch>
      </xdr:blipFill>
      <xdr:spPr>
        <a:xfrm>
          <a:off x="14367933" y="13614399"/>
          <a:ext cx="1541234" cy="1811867"/>
        </a:xfrm>
        <a:prstGeom prst="rect">
          <a:avLst/>
        </a:prstGeom>
      </xdr:spPr>
    </xdr:pic>
    <xdr:clientData/>
  </xdr:twoCellAnchor>
  <xdr:twoCellAnchor editAs="oneCell">
    <xdr:from>
      <xdr:col>7</xdr:col>
      <xdr:colOff>76201</xdr:colOff>
      <xdr:row>67</xdr:row>
      <xdr:rowOff>0</xdr:rowOff>
    </xdr:from>
    <xdr:to>
      <xdr:col>9</xdr:col>
      <xdr:colOff>279701</xdr:colOff>
      <xdr:row>75</xdr:row>
      <xdr:rowOff>25400</xdr:rowOff>
    </xdr:to>
    <xdr:pic>
      <xdr:nvPicPr>
        <xdr:cNvPr id="11" name="Imagen 10">
          <a:extLst>
            <a:ext uri="{FF2B5EF4-FFF2-40B4-BE49-F238E27FC236}">
              <a16:creationId xmlns:a16="http://schemas.microsoft.com/office/drawing/2014/main" id="{8C17669C-C561-424A-A791-D07B03AB3BF3}"/>
            </a:ext>
          </a:extLst>
        </xdr:cNvPr>
        <xdr:cNvPicPr>
          <a:picLocks noChangeAspect="1"/>
        </xdr:cNvPicPr>
      </xdr:nvPicPr>
      <xdr:blipFill>
        <a:blip xmlns:r="http://schemas.openxmlformats.org/officeDocument/2006/relationships" r:embed="rId1"/>
        <a:stretch>
          <a:fillRect/>
        </a:stretch>
      </xdr:blipFill>
      <xdr:spPr>
        <a:xfrm>
          <a:off x="11218334" y="15587133"/>
          <a:ext cx="1541234" cy="1811867"/>
        </a:xfrm>
        <a:prstGeom prst="rect">
          <a:avLst/>
        </a:prstGeom>
      </xdr:spPr>
    </xdr:pic>
    <xdr:clientData/>
  </xdr:twoCellAnchor>
  <xdr:twoCellAnchor editAs="oneCell">
    <xdr:from>
      <xdr:col>7</xdr:col>
      <xdr:colOff>143935</xdr:colOff>
      <xdr:row>76</xdr:row>
      <xdr:rowOff>42333</xdr:rowOff>
    </xdr:from>
    <xdr:to>
      <xdr:col>9</xdr:col>
      <xdr:colOff>314773</xdr:colOff>
      <xdr:row>84</xdr:row>
      <xdr:rowOff>8467</xdr:rowOff>
    </xdr:to>
    <xdr:pic>
      <xdr:nvPicPr>
        <xdr:cNvPr id="12" name="Imagen 11">
          <a:extLst>
            <a:ext uri="{FF2B5EF4-FFF2-40B4-BE49-F238E27FC236}">
              <a16:creationId xmlns:a16="http://schemas.microsoft.com/office/drawing/2014/main" id="{0E6B5975-0034-489E-C306-AD531FE25ED5}"/>
            </a:ext>
          </a:extLst>
        </xdr:cNvPr>
        <xdr:cNvPicPr>
          <a:picLocks noChangeAspect="1"/>
        </xdr:cNvPicPr>
      </xdr:nvPicPr>
      <xdr:blipFill>
        <a:blip xmlns:r="http://schemas.openxmlformats.org/officeDocument/2006/relationships" r:embed="rId4"/>
        <a:stretch>
          <a:fillRect/>
        </a:stretch>
      </xdr:blipFill>
      <xdr:spPr>
        <a:xfrm>
          <a:off x="11286068" y="17593733"/>
          <a:ext cx="1508572" cy="1786467"/>
        </a:xfrm>
        <a:prstGeom prst="rect">
          <a:avLst/>
        </a:prstGeom>
      </xdr:spPr>
    </xdr:pic>
    <xdr:clientData/>
  </xdr:twoCellAnchor>
  <xdr:twoCellAnchor editAs="oneCell">
    <xdr:from>
      <xdr:col>7</xdr:col>
      <xdr:colOff>59267</xdr:colOff>
      <xdr:row>85</xdr:row>
      <xdr:rowOff>16934</xdr:rowOff>
    </xdr:from>
    <xdr:to>
      <xdr:col>9</xdr:col>
      <xdr:colOff>381000</xdr:colOff>
      <xdr:row>92</xdr:row>
      <xdr:rowOff>158189</xdr:rowOff>
    </xdr:to>
    <xdr:pic>
      <xdr:nvPicPr>
        <xdr:cNvPr id="13" name="Imagen 12">
          <a:extLst>
            <a:ext uri="{FF2B5EF4-FFF2-40B4-BE49-F238E27FC236}">
              <a16:creationId xmlns:a16="http://schemas.microsoft.com/office/drawing/2014/main" id="{D42995DF-CDCD-0923-453B-A40B7E258FDD}"/>
            </a:ext>
          </a:extLst>
        </xdr:cNvPr>
        <xdr:cNvPicPr>
          <a:picLocks noChangeAspect="1"/>
        </xdr:cNvPicPr>
      </xdr:nvPicPr>
      <xdr:blipFill>
        <a:blip xmlns:r="http://schemas.openxmlformats.org/officeDocument/2006/relationships" r:embed="rId5"/>
        <a:stretch>
          <a:fillRect/>
        </a:stretch>
      </xdr:blipFill>
      <xdr:spPr>
        <a:xfrm>
          <a:off x="11201400" y="19566467"/>
          <a:ext cx="1659467" cy="1760505"/>
        </a:xfrm>
        <a:prstGeom prst="rect">
          <a:avLst/>
        </a:prstGeom>
      </xdr:spPr>
    </xdr:pic>
    <xdr:clientData/>
  </xdr:twoCellAnchor>
  <xdr:twoCellAnchor editAs="oneCell">
    <xdr:from>
      <xdr:col>7</xdr:col>
      <xdr:colOff>118534</xdr:colOff>
      <xdr:row>94</xdr:row>
      <xdr:rowOff>321734</xdr:rowOff>
    </xdr:from>
    <xdr:to>
      <xdr:col>13</xdr:col>
      <xdr:colOff>456731</xdr:colOff>
      <xdr:row>100</xdr:row>
      <xdr:rowOff>38202</xdr:rowOff>
    </xdr:to>
    <xdr:pic>
      <xdr:nvPicPr>
        <xdr:cNvPr id="14" name="Imagen 13">
          <a:extLst>
            <a:ext uri="{FF2B5EF4-FFF2-40B4-BE49-F238E27FC236}">
              <a16:creationId xmlns:a16="http://schemas.microsoft.com/office/drawing/2014/main" id="{E88DBD3F-3694-B868-6FAA-711DC8C9F645}"/>
            </a:ext>
          </a:extLst>
        </xdr:cNvPr>
        <xdr:cNvPicPr>
          <a:picLocks noChangeAspect="1"/>
        </xdr:cNvPicPr>
      </xdr:nvPicPr>
      <xdr:blipFill>
        <a:blip xmlns:r="http://schemas.openxmlformats.org/officeDocument/2006/relationships" r:embed="rId6"/>
        <a:stretch>
          <a:fillRect/>
        </a:stretch>
      </xdr:blipFill>
      <xdr:spPr>
        <a:xfrm>
          <a:off x="11260667" y="21827067"/>
          <a:ext cx="4351397" cy="1181202"/>
        </a:xfrm>
        <a:prstGeom prst="rect">
          <a:avLst/>
        </a:prstGeom>
      </xdr:spPr>
    </xdr:pic>
    <xdr:clientData/>
  </xdr:twoCellAnchor>
  <xdr:twoCellAnchor editAs="oneCell">
    <xdr:from>
      <xdr:col>7</xdr:col>
      <xdr:colOff>135467</xdr:colOff>
      <xdr:row>103</xdr:row>
      <xdr:rowOff>8469</xdr:rowOff>
    </xdr:from>
    <xdr:to>
      <xdr:col>8</xdr:col>
      <xdr:colOff>53450</xdr:colOff>
      <xdr:row>111</xdr:row>
      <xdr:rowOff>28071</xdr:rowOff>
    </xdr:to>
    <xdr:pic>
      <xdr:nvPicPr>
        <xdr:cNvPr id="15" name="Imagen 14">
          <a:extLst>
            <a:ext uri="{FF2B5EF4-FFF2-40B4-BE49-F238E27FC236}">
              <a16:creationId xmlns:a16="http://schemas.microsoft.com/office/drawing/2014/main" id="{4815B0C4-31AB-3C01-2BAA-32CD0F3BCDD8}"/>
            </a:ext>
          </a:extLst>
        </xdr:cNvPr>
        <xdr:cNvPicPr>
          <a:picLocks noChangeAspect="1"/>
        </xdr:cNvPicPr>
      </xdr:nvPicPr>
      <xdr:blipFill>
        <a:blip xmlns:r="http://schemas.openxmlformats.org/officeDocument/2006/relationships" r:embed="rId7"/>
        <a:stretch>
          <a:fillRect/>
        </a:stretch>
      </xdr:blipFill>
      <xdr:spPr>
        <a:xfrm>
          <a:off x="11277600" y="23511936"/>
          <a:ext cx="586850" cy="1848402"/>
        </a:xfrm>
        <a:prstGeom prst="rect">
          <a:avLst/>
        </a:prstGeom>
      </xdr:spPr>
    </xdr:pic>
    <xdr:clientData/>
  </xdr:twoCellAnchor>
  <xdr:twoCellAnchor editAs="oneCell">
    <xdr:from>
      <xdr:col>8</xdr:col>
      <xdr:colOff>160867</xdr:colOff>
      <xdr:row>103</xdr:row>
      <xdr:rowOff>19208</xdr:rowOff>
    </xdr:from>
    <xdr:to>
      <xdr:col>12</xdr:col>
      <xdr:colOff>446990</xdr:colOff>
      <xdr:row>111</xdr:row>
      <xdr:rowOff>59266</xdr:rowOff>
    </xdr:to>
    <xdr:pic>
      <xdr:nvPicPr>
        <xdr:cNvPr id="16" name="Imagen 15">
          <a:extLst>
            <a:ext uri="{FF2B5EF4-FFF2-40B4-BE49-F238E27FC236}">
              <a16:creationId xmlns:a16="http://schemas.microsoft.com/office/drawing/2014/main" id="{42447E56-8EF9-6CEA-CC3B-CF67C73C7F95}"/>
            </a:ext>
          </a:extLst>
        </xdr:cNvPr>
        <xdr:cNvPicPr>
          <a:picLocks noChangeAspect="1"/>
        </xdr:cNvPicPr>
      </xdr:nvPicPr>
      <xdr:blipFill>
        <a:blip xmlns:r="http://schemas.openxmlformats.org/officeDocument/2006/relationships" r:embed="rId8"/>
        <a:stretch>
          <a:fillRect/>
        </a:stretch>
      </xdr:blipFill>
      <xdr:spPr>
        <a:xfrm>
          <a:off x="11971867" y="23522675"/>
          <a:ext cx="2961590" cy="1868858"/>
        </a:xfrm>
        <a:prstGeom prst="rect">
          <a:avLst/>
        </a:prstGeom>
      </xdr:spPr>
    </xdr:pic>
    <xdr:clientData/>
  </xdr:twoCellAnchor>
  <xdr:twoCellAnchor editAs="oneCell">
    <xdr:from>
      <xdr:col>7</xdr:col>
      <xdr:colOff>254000</xdr:colOff>
      <xdr:row>112</xdr:row>
      <xdr:rowOff>273957</xdr:rowOff>
    </xdr:from>
    <xdr:to>
      <xdr:col>12</xdr:col>
      <xdr:colOff>490915</xdr:colOff>
      <xdr:row>118</xdr:row>
      <xdr:rowOff>67733</xdr:rowOff>
    </xdr:to>
    <xdr:pic>
      <xdr:nvPicPr>
        <xdr:cNvPr id="17" name="Imagen 16">
          <a:extLst>
            <a:ext uri="{FF2B5EF4-FFF2-40B4-BE49-F238E27FC236}">
              <a16:creationId xmlns:a16="http://schemas.microsoft.com/office/drawing/2014/main" id="{43766870-6183-8D37-B39A-B1A40575672E}"/>
            </a:ext>
          </a:extLst>
        </xdr:cNvPr>
        <xdr:cNvPicPr>
          <a:picLocks noChangeAspect="1"/>
        </xdr:cNvPicPr>
      </xdr:nvPicPr>
      <xdr:blipFill>
        <a:blip xmlns:r="http://schemas.openxmlformats.org/officeDocument/2006/relationships" r:embed="rId9"/>
        <a:stretch>
          <a:fillRect/>
        </a:stretch>
      </xdr:blipFill>
      <xdr:spPr>
        <a:xfrm>
          <a:off x="11396133" y="25784024"/>
          <a:ext cx="3581249" cy="1224642"/>
        </a:xfrm>
        <a:prstGeom prst="rect">
          <a:avLst/>
        </a:prstGeom>
      </xdr:spPr>
    </xdr:pic>
    <xdr:clientData/>
  </xdr:twoCellAnchor>
  <xdr:twoCellAnchor editAs="oneCell">
    <xdr:from>
      <xdr:col>7</xdr:col>
      <xdr:colOff>84666</xdr:colOff>
      <xdr:row>120</xdr:row>
      <xdr:rowOff>160867</xdr:rowOff>
    </xdr:from>
    <xdr:to>
      <xdr:col>9</xdr:col>
      <xdr:colOff>511806</xdr:colOff>
      <xdr:row>129</xdr:row>
      <xdr:rowOff>33868</xdr:rowOff>
    </xdr:to>
    <xdr:pic>
      <xdr:nvPicPr>
        <xdr:cNvPr id="20" name="Imagen 19">
          <a:extLst>
            <a:ext uri="{FF2B5EF4-FFF2-40B4-BE49-F238E27FC236}">
              <a16:creationId xmlns:a16="http://schemas.microsoft.com/office/drawing/2014/main" id="{E483ACCD-7465-FF1F-ED5B-92CE3B023407}"/>
            </a:ext>
          </a:extLst>
        </xdr:cNvPr>
        <xdr:cNvPicPr>
          <a:picLocks noChangeAspect="1"/>
        </xdr:cNvPicPr>
      </xdr:nvPicPr>
      <xdr:blipFill>
        <a:blip xmlns:r="http://schemas.openxmlformats.org/officeDocument/2006/relationships" r:embed="rId10"/>
        <a:stretch>
          <a:fillRect/>
        </a:stretch>
      </xdr:blipFill>
      <xdr:spPr>
        <a:xfrm>
          <a:off x="11226799" y="27457400"/>
          <a:ext cx="1764874" cy="2192868"/>
        </a:xfrm>
        <a:prstGeom prst="rect">
          <a:avLst/>
        </a:prstGeom>
      </xdr:spPr>
    </xdr:pic>
    <xdr:clientData/>
  </xdr:twoCellAnchor>
  <xdr:twoCellAnchor editAs="oneCell">
    <xdr:from>
      <xdr:col>7</xdr:col>
      <xdr:colOff>110066</xdr:colOff>
      <xdr:row>130</xdr:row>
      <xdr:rowOff>6227</xdr:rowOff>
    </xdr:from>
    <xdr:to>
      <xdr:col>14</xdr:col>
      <xdr:colOff>457200</xdr:colOff>
      <xdr:row>138</xdr:row>
      <xdr:rowOff>29108</xdr:rowOff>
    </xdr:to>
    <xdr:pic>
      <xdr:nvPicPr>
        <xdr:cNvPr id="21" name="Imagen 20">
          <a:extLst>
            <a:ext uri="{FF2B5EF4-FFF2-40B4-BE49-F238E27FC236}">
              <a16:creationId xmlns:a16="http://schemas.microsoft.com/office/drawing/2014/main" id="{70B169BF-2BA0-5DA2-EAD6-5F01BCC4A404}"/>
            </a:ext>
          </a:extLst>
        </xdr:cNvPr>
        <xdr:cNvPicPr>
          <a:picLocks noChangeAspect="1"/>
        </xdr:cNvPicPr>
      </xdr:nvPicPr>
      <xdr:blipFill>
        <a:blip xmlns:r="http://schemas.openxmlformats.org/officeDocument/2006/relationships" r:embed="rId11"/>
        <a:stretch>
          <a:fillRect/>
        </a:stretch>
      </xdr:blipFill>
      <xdr:spPr>
        <a:xfrm>
          <a:off x="11252199" y="29800427"/>
          <a:ext cx="5029201" cy="1987148"/>
        </a:xfrm>
        <a:prstGeom prst="rect">
          <a:avLst/>
        </a:prstGeom>
      </xdr:spPr>
    </xdr:pic>
    <xdr:clientData/>
  </xdr:twoCellAnchor>
  <xdr:twoCellAnchor editAs="oneCell">
    <xdr:from>
      <xdr:col>7</xdr:col>
      <xdr:colOff>279400</xdr:colOff>
      <xdr:row>139</xdr:row>
      <xdr:rowOff>469016</xdr:rowOff>
    </xdr:from>
    <xdr:to>
      <xdr:col>15</xdr:col>
      <xdr:colOff>364066</xdr:colOff>
      <xdr:row>144</xdr:row>
      <xdr:rowOff>28037</xdr:rowOff>
    </xdr:to>
    <xdr:pic>
      <xdr:nvPicPr>
        <xdr:cNvPr id="22" name="Imagen 21">
          <a:extLst>
            <a:ext uri="{FF2B5EF4-FFF2-40B4-BE49-F238E27FC236}">
              <a16:creationId xmlns:a16="http://schemas.microsoft.com/office/drawing/2014/main" id="{D209CE67-F4FA-2234-A187-E885085B1744}"/>
            </a:ext>
          </a:extLst>
        </xdr:cNvPr>
        <xdr:cNvPicPr>
          <a:picLocks noChangeAspect="1"/>
        </xdr:cNvPicPr>
      </xdr:nvPicPr>
      <xdr:blipFill>
        <a:blip xmlns:r="http://schemas.openxmlformats.org/officeDocument/2006/relationships" r:embed="rId12"/>
        <a:stretch>
          <a:fillRect/>
        </a:stretch>
      </xdr:blipFill>
      <xdr:spPr>
        <a:xfrm>
          <a:off x="11421533" y="32405283"/>
          <a:ext cx="5435600" cy="862887"/>
        </a:xfrm>
        <a:prstGeom prst="rect">
          <a:avLst/>
        </a:prstGeom>
      </xdr:spPr>
    </xdr:pic>
    <xdr:clientData/>
  </xdr:twoCellAnchor>
  <xdr:twoCellAnchor editAs="oneCell">
    <xdr:from>
      <xdr:col>7</xdr:col>
      <xdr:colOff>152399</xdr:colOff>
      <xdr:row>147</xdr:row>
      <xdr:rowOff>175100</xdr:rowOff>
    </xdr:from>
    <xdr:to>
      <xdr:col>9</xdr:col>
      <xdr:colOff>431800</xdr:colOff>
      <xdr:row>156</xdr:row>
      <xdr:rowOff>16934</xdr:rowOff>
    </xdr:to>
    <xdr:pic>
      <xdr:nvPicPr>
        <xdr:cNvPr id="23" name="Imagen 22">
          <a:extLst>
            <a:ext uri="{FF2B5EF4-FFF2-40B4-BE49-F238E27FC236}">
              <a16:creationId xmlns:a16="http://schemas.microsoft.com/office/drawing/2014/main" id="{D1F4222D-39E7-4466-B384-29FAC56533BA}"/>
            </a:ext>
          </a:extLst>
        </xdr:cNvPr>
        <xdr:cNvPicPr>
          <a:picLocks noChangeAspect="1"/>
        </xdr:cNvPicPr>
      </xdr:nvPicPr>
      <xdr:blipFill>
        <a:blip xmlns:r="http://schemas.openxmlformats.org/officeDocument/2006/relationships" r:embed="rId10"/>
        <a:stretch>
          <a:fillRect/>
        </a:stretch>
      </xdr:blipFill>
      <xdr:spPr>
        <a:xfrm>
          <a:off x="11294532" y="33948633"/>
          <a:ext cx="1617135" cy="2009301"/>
        </a:xfrm>
        <a:prstGeom prst="rect">
          <a:avLst/>
        </a:prstGeom>
      </xdr:spPr>
    </xdr:pic>
    <xdr:clientData/>
  </xdr:twoCellAnchor>
  <xdr:twoCellAnchor editAs="oneCell">
    <xdr:from>
      <xdr:col>7</xdr:col>
      <xdr:colOff>93134</xdr:colOff>
      <xdr:row>157</xdr:row>
      <xdr:rowOff>19208</xdr:rowOff>
    </xdr:from>
    <xdr:to>
      <xdr:col>11</xdr:col>
      <xdr:colOff>191417</xdr:colOff>
      <xdr:row>164</xdr:row>
      <xdr:rowOff>159808</xdr:rowOff>
    </xdr:to>
    <xdr:pic>
      <xdr:nvPicPr>
        <xdr:cNvPr id="24" name="Imagen 23">
          <a:extLst>
            <a:ext uri="{FF2B5EF4-FFF2-40B4-BE49-F238E27FC236}">
              <a16:creationId xmlns:a16="http://schemas.microsoft.com/office/drawing/2014/main" id="{E17D61F2-F5D8-45D8-904F-7544CA29C27E}"/>
            </a:ext>
          </a:extLst>
        </xdr:cNvPr>
        <xdr:cNvPicPr>
          <a:picLocks noChangeAspect="1"/>
        </xdr:cNvPicPr>
      </xdr:nvPicPr>
      <xdr:blipFill>
        <a:blip xmlns:r="http://schemas.openxmlformats.org/officeDocument/2006/relationships" r:embed="rId8"/>
        <a:stretch>
          <a:fillRect/>
        </a:stretch>
      </xdr:blipFill>
      <xdr:spPr>
        <a:xfrm>
          <a:off x="11235267" y="36138008"/>
          <a:ext cx="2773750" cy="1750325"/>
        </a:xfrm>
        <a:prstGeom prst="rect">
          <a:avLst/>
        </a:prstGeom>
      </xdr:spPr>
    </xdr:pic>
    <xdr:clientData/>
  </xdr:twoCellAnchor>
  <xdr:twoCellAnchor editAs="oneCell">
    <xdr:from>
      <xdr:col>11</xdr:col>
      <xdr:colOff>279401</xdr:colOff>
      <xdr:row>157</xdr:row>
      <xdr:rowOff>4078</xdr:rowOff>
    </xdr:from>
    <xdr:to>
      <xdr:col>12</xdr:col>
      <xdr:colOff>186266</xdr:colOff>
      <xdr:row>165</xdr:row>
      <xdr:rowOff>995</xdr:rowOff>
    </xdr:to>
    <xdr:pic>
      <xdr:nvPicPr>
        <xdr:cNvPr id="25" name="Imagen 24">
          <a:extLst>
            <a:ext uri="{FF2B5EF4-FFF2-40B4-BE49-F238E27FC236}">
              <a16:creationId xmlns:a16="http://schemas.microsoft.com/office/drawing/2014/main" id="{B5CF4CA7-55E0-F8A5-4671-30E54C2B312E}"/>
            </a:ext>
          </a:extLst>
        </xdr:cNvPr>
        <xdr:cNvPicPr>
          <a:picLocks noChangeAspect="1"/>
        </xdr:cNvPicPr>
      </xdr:nvPicPr>
      <xdr:blipFill>
        <a:blip xmlns:r="http://schemas.openxmlformats.org/officeDocument/2006/relationships" r:embed="rId13"/>
        <a:stretch>
          <a:fillRect/>
        </a:stretch>
      </xdr:blipFill>
      <xdr:spPr>
        <a:xfrm>
          <a:off x="14097001" y="36122878"/>
          <a:ext cx="575732" cy="1768567"/>
        </a:xfrm>
        <a:prstGeom prst="rect">
          <a:avLst/>
        </a:prstGeom>
      </xdr:spPr>
    </xdr:pic>
    <xdr:clientData/>
  </xdr:twoCellAnchor>
  <xdr:twoCellAnchor editAs="oneCell">
    <xdr:from>
      <xdr:col>7</xdr:col>
      <xdr:colOff>76200</xdr:colOff>
      <xdr:row>4</xdr:row>
      <xdr:rowOff>37721</xdr:rowOff>
    </xdr:from>
    <xdr:to>
      <xdr:col>10</xdr:col>
      <xdr:colOff>162418</xdr:colOff>
      <xdr:row>11</xdr:row>
      <xdr:rowOff>168276</xdr:rowOff>
    </xdr:to>
    <xdr:pic>
      <xdr:nvPicPr>
        <xdr:cNvPr id="26" name="Imagen 25">
          <a:extLst>
            <a:ext uri="{FF2B5EF4-FFF2-40B4-BE49-F238E27FC236}">
              <a16:creationId xmlns:a16="http://schemas.microsoft.com/office/drawing/2014/main" id="{8E988410-C7E5-465C-D584-DB1D22589461}"/>
            </a:ext>
          </a:extLst>
        </xdr:cNvPr>
        <xdr:cNvPicPr>
          <a:picLocks noChangeAspect="1"/>
        </xdr:cNvPicPr>
      </xdr:nvPicPr>
      <xdr:blipFill>
        <a:blip xmlns:r="http://schemas.openxmlformats.org/officeDocument/2006/relationships" r:embed="rId14"/>
        <a:stretch>
          <a:fillRect/>
        </a:stretch>
      </xdr:blipFill>
      <xdr:spPr>
        <a:xfrm>
          <a:off x="11218333" y="723521"/>
          <a:ext cx="2092818" cy="1638680"/>
        </a:xfrm>
        <a:prstGeom prst="rect">
          <a:avLst/>
        </a:prstGeom>
      </xdr:spPr>
    </xdr:pic>
    <xdr:clientData/>
  </xdr:twoCellAnchor>
  <xdr:twoCellAnchor editAs="oneCell">
    <xdr:from>
      <xdr:col>7</xdr:col>
      <xdr:colOff>33867</xdr:colOff>
      <xdr:row>13</xdr:row>
      <xdr:rowOff>46187</xdr:rowOff>
    </xdr:from>
    <xdr:to>
      <xdr:col>11</xdr:col>
      <xdr:colOff>110814</xdr:colOff>
      <xdr:row>20</xdr:row>
      <xdr:rowOff>160866</xdr:rowOff>
    </xdr:to>
    <xdr:pic>
      <xdr:nvPicPr>
        <xdr:cNvPr id="27" name="Imagen 26">
          <a:extLst>
            <a:ext uri="{FF2B5EF4-FFF2-40B4-BE49-F238E27FC236}">
              <a16:creationId xmlns:a16="http://schemas.microsoft.com/office/drawing/2014/main" id="{CE3F286B-C2CC-4B7A-B1AA-DD642FCE5109}"/>
            </a:ext>
          </a:extLst>
        </xdr:cNvPr>
        <xdr:cNvPicPr>
          <a:picLocks noChangeAspect="1"/>
        </xdr:cNvPicPr>
      </xdr:nvPicPr>
      <xdr:blipFill>
        <a:blip xmlns:r="http://schemas.openxmlformats.org/officeDocument/2006/relationships" r:embed="rId14"/>
        <a:stretch>
          <a:fillRect/>
        </a:stretch>
      </xdr:blipFill>
      <xdr:spPr>
        <a:xfrm>
          <a:off x="11176000" y="2594654"/>
          <a:ext cx="2752414" cy="2155145"/>
        </a:xfrm>
        <a:prstGeom prst="rect">
          <a:avLst/>
        </a:prstGeom>
      </xdr:spPr>
    </xdr:pic>
    <xdr:clientData/>
  </xdr:twoCellAnchor>
  <xdr:twoCellAnchor editAs="oneCell">
    <xdr:from>
      <xdr:col>7</xdr:col>
      <xdr:colOff>118533</xdr:colOff>
      <xdr:row>166</xdr:row>
      <xdr:rowOff>8467</xdr:rowOff>
    </xdr:from>
    <xdr:to>
      <xdr:col>9</xdr:col>
      <xdr:colOff>354875</xdr:colOff>
      <xdr:row>173</xdr:row>
      <xdr:rowOff>159809</xdr:rowOff>
    </xdr:to>
    <xdr:pic>
      <xdr:nvPicPr>
        <xdr:cNvPr id="28" name="Imagen 27">
          <a:extLst>
            <a:ext uri="{FF2B5EF4-FFF2-40B4-BE49-F238E27FC236}">
              <a16:creationId xmlns:a16="http://schemas.microsoft.com/office/drawing/2014/main" id="{52A2AD8B-8C6F-48C0-8467-918E5A3DBC5E}"/>
            </a:ext>
          </a:extLst>
        </xdr:cNvPr>
        <xdr:cNvPicPr>
          <a:picLocks noChangeAspect="1"/>
        </xdr:cNvPicPr>
      </xdr:nvPicPr>
      <xdr:blipFill>
        <a:blip xmlns:r="http://schemas.openxmlformats.org/officeDocument/2006/relationships" r:embed="rId10"/>
        <a:stretch>
          <a:fillRect/>
        </a:stretch>
      </xdr:blipFill>
      <xdr:spPr>
        <a:xfrm>
          <a:off x="11260666" y="38083067"/>
          <a:ext cx="1574076" cy="1955800"/>
        </a:xfrm>
        <a:prstGeom prst="rect">
          <a:avLst/>
        </a:prstGeom>
      </xdr:spPr>
    </xdr:pic>
    <xdr:clientData/>
  </xdr:twoCellAnchor>
  <xdr:twoCellAnchor editAs="oneCell">
    <xdr:from>
      <xdr:col>7</xdr:col>
      <xdr:colOff>16933</xdr:colOff>
      <xdr:row>174</xdr:row>
      <xdr:rowOff>101601</xdr:rowOff>
    </xdr:from>
    <xdr:to>
      <xdr:col>10</xdr:col>
      <xdr:colOff>67928</xdr:colOff>
      <xdr:row>182</xdr:row>
      <xdr:rowOff>143933</xdr:rowOff>
    </xdr:to>
    <xdr:pic>
      <xdr:nvPicPr>
        <xdr:cNvPr id="29" name="Imagen 28">
          <a:extLst>
            <a:ext uri="{FF2B5EF4-FFF2-40B4-BE49-F238E27FC236}">
              <a16:creationId xmlns:a16="http://schemas.microsoft.com/office/drawing/2014/main" id="{B5B7EBD6-64DD-5347-051C-F1B16ADA5F5E}"/>
            </a:ext>
          </a:extLst>
        </xdr:cNvPr>
        <xdr:cNvPicPr>
          <a:picLocks noChangeAspect="1"/>
        </xdr:cNvPicPr>
      </xdr:nvPicPr>
      <xdr:blipFill>
        <a:blip xmlns:r="http://schemas.openxmlformats.org/officeDocument/2006/relationships" r:embed="rId15"/>
        <a:stretch>
          <a:fillRect/>
        </a:stretch>
      </xdr:blipFill>
      <xdr:spPr>
        <a:xfrm>
          <a:off x="11159066" y="40148934"/>
          <a:ext cx="2057595" cy="1862666"/>
        </a:xfrm>
        <a:prstGeom prst="rect">
          <a:avLst/>
        </a:prstGeom>
      </xdr:spPr>
    </xdr:pic>
    <xdr:clientData/>
  </xdr:twoCellAnchor>
  <xdr:twoCellAnchor editAs="oneCell">
    <xdr:from>
      <xdr:col>7</xdr:col>
      <xdr:colOff>237068</xdr:colOff>
      <xdr:row>202</xdr:row>
      <xdr:rowOff>76200</xdr:rowOff>
    </xdr:from>
    <xdr:to>
      <xdr:col>9</xdr:col>
      <xdr:colOff>577154</xdr:colOff>
      <xdr:row>210</xdr:row>
      <xdr:rowOff>25401</xdr:rowOff>
    </xdr:to>
    <xdr:pic>
      <xdr:nvPicPr>
        <xdr:cNvPr id="30" name="Imagen 29">
          <a:extLst>
            <a:ext uri="{FF2B5EF4-FFF2-40B4-BE49-F238E27FC236}">
              <a16:creationId xmlns:a16="http://schemas.microsoft.com/office/drawing/2014/main" id="{4710340E-66EE-B139-05CB-E9EC919E5143}"/>
            </a:ext>
          </a:extLst>
        </xdr:cNvPr>
        <xdr:cNvPicPr>
          <a:picLocks noChangeAspect="1"/>
        </xdr:cNvPicPr>
      </xdr:nvPicPr>
      <xdr:blipFill>
        <a:blip xmlns:r="http://schemas.openxmlformats.org/officeDocument/2006/relationships" r:embed="rId16"/>
        <a:stretch>
          <a:fillRect/>
        </a:stretch>
      </xdr:blipFill>
      <xdr:spPr>
        <a:xfrm>
          <a:off x="11379201" y="46228000"/>
          <a:ext cx="1677820" cy="1769534"/>
        </a:xfrm>
        <a:prstGeom prst="rect">
          <a:avLst/>
        </a:prstGeom>
      </xdr:spPr>
    </xdr:pic>
    <xdr:clientData/>
  </xdr:twoCellAnchor>
  <xdr:twoCellAnchor editAs="oneCell">
    <xdr:from>
      <xdr:col>7</xdr:col>
      <xdr:colOff>76201</xdr:colOff>
      <xdr:row>210</xdr:row>
      <xdr:rowOff>110067</xdr:rowOff>
    </xdr:from>
    <xdr:to>
      <xdr:col>10</xdr:col>
      <xdr:colOff>33670</xdr:colOff>
      <xdr:row>218</xdr:row>
      <xdr:rowOff>110067</xdr:rowOff>
    </xdr:to>
    <xdr:pic>
      <xdr:nvPicPr>
        <xdr:cNvPr id="31" name="Imagen 30">
          <a:extLst>
            <a:ext uri="{FF2B5EF4-FFF2-40B4-BE49-F238E27FC236}">
              <a16:creationId xmlns:a16="http://schemas.microsoft.com/office/drawing/2014/main" id="{6C64EC93-A10E-4838-A527-3AE1840A5551}"/>
            </a:ext>
          </a:extLst>
        </xdr:cNvPr>
        <xdr:cNvPicPr>
          <a:picLocks noChangeAspect="1"/>
        </xdr:cNvPicPr>
      </xdr:nvPicPr>
      <xdr:blipFill>
        <a:blip xmlns:r="http://schemas.openxmlformats.org/officeDocument/2006/relationships" r:embed="rId15"/>
        <a:stretch>
          <a:fillRect/>
        </a:stretch>
      </xdr:blipFill>
      <xdr:spPr>
        <a:xfrm>
          <a:off x="11218334" y="48082200"/>
          <a:ext cx="1964069" cy="1778000"/>
        </a:xfrm>
        <a:prstGeom prst="rect">
          <a:avLst/>
        </a:prstGeom>
      </xdr:spPr>
    </xdr:pic>
    <xdr:clientData/>
  </xdr:twoCellAnchor>
  <xdr:twoCellAnchor editAs="oneCell">
    <xdr:from>
      <xdr:col>7</xdr:col>
      <xdr:colOff>84666</xdr:colOff>
      <xdr:row>220</xdr:row>
      <xdr:rowOff>33867</xdr:rowOff>
    </xdr:from>
    <xdr:to>
      <xdr:col>11</xdr:col>
      <xdr:colOff>40062</xdr:colOff>
      <xdr:row>227</xdr:row>
      <xdr:rowOff>159809</xdr:rowOff>
    </xdr:to>
    <xdr:pic>
      <xdr:nvPicPr>
        <xdr:cNvPr id="32" name="Imagen 31">
          <a:extLst>
            <a:ext uri="{FF2B5EF4-FFF2-40B4-BE49-F238E27FC236}">
              <a16:creationId xmlns:a16="http://schemas.microsoft.com/office/drawing/2014/main" id="{7DD9D56D-78F3-697D-A65B-D1F598B19317}"/>
            </a:ext>
          </a:extLst>
        </xdr:cNvPr>
        <xdr:cNvPicPr>
          <a:picLocks noChangeAspect="1"/>
        </xdr:cNvPicPr>
      </xdr:nvPicPr>
      <xdr:blipFill>
        <a:blip xmlns:r="http://schemas.openxmlformats.org/officeDocument/2006/relationships" r:embed="rId17"/>
        <a:stretch>
          <a:fillRect/>
        </a:stretch>
      </xdr:blipFill>
      <xdr:spPr>
        <a:xfrm>
          <a:off x="11226799" y="50139600"/>
          <a:ext cx="2630863" cy="1938867"/>
        </a:xfrm>
        <a:prstGeom prst="rect">
          <a:avLst/>
        </a:prstGeom>
      </xdr:spPr>
    </xdr:pic>
    <xdr:clientData/>
  </xdr:twoCellAnchor>
  <xdr:twoCellAnchor editAs="oneCell">
    <xdr:from>
      <xdr:col>7</xdr:col>
      <xdr:colOff>118532</xdr:colOff>
      <xdr:row>229</xdr:row>
      <xdr:rowOff>25400</xdr:rowOff>
    </xdr:from>
    <xdr:to>
      <xdr:col>9</xdr:col>
      <xdr:colOff>393596</xdr:colOff>
      <xdr:row>236</xdr:row>
      <xdr:rowOff>135466</xdr:rowOff>
    </xdr:to>
    <xdr:pic>
      <xdr:nvPicPr>
        <xdr:cNvPr id="34" name="Imagen 33">
          <a:extLst>
            <a:ext uri="{FF2B5EF4-FFF2-40B4-BE49-F238E27FC236}">
              <a16:creationId xmlns:a16="http://schemas.microsoft.com/office/drawing/2014/main" id="{6822CCAC-861A-C2CB-9B94-F58B26E6C07B}"/>
            </a:ext>
          </a:extLst>
        </xdr:cNvPr>
        <xdr:cNvPicPr>
          <a:picLocks noChangeAspect="1"/>
        </xdr:cNvPicPr>
      </xdr:nvPicPr>
      <xdr:blipFill>
        <a:blip xmlns:r="http://schemas.openxmlformats.org/officeDocument/2006/relationships" r:embed="rId18"/>
        <a:stretch>
          <a:fillRect/>
        </a:stretch>
      </xdr:blipFill>
      <xdr:spPr>
        <a:xfrm>
          <a:off x="11260665" y="52290133"/>
          <a:ext cx="1612798" cy="1744133"/>
        </a:xfrm>
        <a:prstGeom prst="rect">
          <a:avLst/>
        </a:prstGeom>
      </xdr:spPr>
    </xdr:pic>
    <xdr:clientData/>
  </xdr:twoCellAnchor>
  <xdr:twoCellAnchor editAs="oneCell">
    <xdr:from>
      <xdr:col>7</xdr:col>
      <xdr:colOff>42334</xdr:colOff>
      <xdr:row>237</xdr:row>
      <xdr:rowOff>110065</xdr:rowOff>
    </xdr:from>
    <xdr:to>
      <xdr:col>10</xdr:col>
      <xdr:colOff>121389</xdr:colOff>
      <xdr:row>245</xdr:row>
      <xdr:rowOff>152399</xdr:rowOff>
    </xdr:to>
    <xdr:pic>
      <xdr:nvPicPr>
        <xdr:cNvPr id="35" name="Imagen 34">
          <a:extLst>
            <a:ext uri="{FF2B5EF4-FFF2-40B4-BE49-F238E27FC236}">
              <a16:creationId xmlns:a16="http://schemas.microsoft.com/office/drawing/2014/main" id="{152F5E70-0295-4293-9DDF-5100B46B7B7D}"/>
            </a:ext>
          </a:extLst>
        </xdr:cNvPr>
        <xdr:cNvPicPr>
          <a:picLocks noChangeAspect="1"/>
        </xdr:cNvPicPr>
      </xdr:nvPicPr>
      <xdr:blipFill>
        <a:blip xmlns:r="http://schemas.openxmlformats.org/officeDocument/2006/relationships" r:embed="rId15"/>
        <a:stretch>
          <a:fillRect/>
        </a:stretch>
      </xdr:blipFill>
      <xdr:spPr>
        <a:xfrm>
          <a:off x="11184467" y="54186665"/>
          <a:ext cx="2085655" cy="1888067"/>
        </a:xfrm>
        <a:prstGeom prst="rect">
          <a:avLst/>
        </a:prstGeom>
      </xdr:spPr>
    </xdr:pic>
    <xdr:clientData/>
  </xdr:twoCellAnchor>
  <xdr:twoCellAnchor editAs="oneCell">
    <xdr:from>
      <xdr:col>7</xdr:col>
      <xdr:colOff>118534</xdr:colOff>
      <xdr:row>256</xdr:row>
      <xdr:rowOff>42333</xdr:rowOff>
    </xdr:from>
    <xdr:to>
      <xdr:col>13</xdr:col>
      <xdr:colOff>40316</xdr:colOff>
      <xdr:row>263</xdr:row>
      <xdr:rowOff>93133</xdr:rowOff>
    </xdr:to>
    <xdr:pic>
      <xdr:nvPicPr>
        <xdr:cNvPr id="36" name="Imagen 35">
          <a:extLst>
            <a:ext uri="{FF2B5EF4-FFF2-40B4-BE49-F238E27FC236}">
              <a16:creationId xmlns:a16="http://schemas.microsoft.com/office/drawing/2014/main" id="{EB2B5AEF-9C01-7E9E-AEF8-BC32EA2AFA9A}"/>
            </a:ext>
          </a:extLst>
        </xdr:cNvPr>
        <xdr:cNvPicPr>
          <a:picLocks noChangeAspect="1"/>
        </xdr:cNvPicPr>
      </xdr:nvPicPr>
      <xdr:blipFill>
        <a:blip xmlns:r="http://schemas.openxmlformats.org/officeDocument/2006/relationships" r:embed="rId19"/>
        <a:stretch>
          <a:fillRect/>
        </a:stretch>
      </xdr:blipFill>
      <xdr:spPr>
        <a:xfrm>
          <a:off x="11260667" y="58293000"/>
          <a:ext cx="3934982" cy="1549400"/>
        </a:xfrm>
        <a:prstGeom prst="rect">
          <a:avLst/>
        </a:prstGeom>
      </xdr:spPr>
    </xdr:pic>
    <xdr:clientData/>
  </xdr:twoCellAnchor>
  <xdr:twoCellAnchor editAs="oneCell">
    <xdr:from>
      <xdr:col>7</xdr:col>
      <xdr:colOff>101601</xdr:colOff>
      <xdr:row>247</xdr:row>
      <xdr:rowOff>57034</xdr:rowOff>
    </xdr:from>
    <xdr:to>
      <xdr:col>13</xdr:col>
      <xdr:colOff>540585</xdr:colOff>
      <xdr:row>254</xdr:row>
      <xdr:rowOff>107680</xdr:rowOff>
    </xdr:to>
    <xdr:pic>
      <xdr:nvPicPr>
        <xdr:cNvPr id="37" name="Imagen 36">
          <a:extLst>
            <a:ext uri="{FF2B5EF4-FFF2-40B4-BE49-F238E27FC236}">
              <a16:creationId xmlns:a16="http://schemas.microsoft.com/office/drawing/2014/main" id="{54C2F296-D0C6-EC1E-F595-2C32DC9DA91D}"/>
            </a:ext>
          </a:extLst>
        </xdr:cNvPr>
        <xdr:cNvPicPr>
          <a:picLocks noChangeAspect="1"/>
        </xdr:cNvPicPr>
      </xdr:nvPicPr>
      <xdr:blipFill>
        <a:blip xmlns:r="http://schemas.openxmlformats.org/officeDocument/2006/relationships" r:embed="rId20"/>
        <a:stretch>
          <a:fillRect/>
        </a:stretch>
      </xdr:blipFill>
      <xdr:spPr>
        <a:xfrm>
          <a:off x="11243734" y="56334967"/>
          <a:ext cx="4452184" cy="1667780"/>
        </a:xfrm>
        <a:prstGeom prst="rect">
          <a:avLst/>
        </a:prstGeom>
      </xdr:spPr>
    </xdr:pic>
    <xdr:clientData/>
  </xdr:twoCellAnchor>
  <xdr:twoCellAnchor editAs="oneCell">
    <xdr:from>
      <xdr:col>7</xdr:col>
      <xdr:colOff>156960</xdr:colOff>
      <xdr:row>265</xdr:row>
      <xdr:rowOff>33867</xdr:rowOff>
    </xdr:from>
    <xdr:to>
      <xdr:col>11</xdr:col>
      <xdr:colOff>57590</xdr:colOff>
      <xdr:row>273</xdr:row>
      <xdr:rowOff>16934</xdr:rowOff>
    </xdr:to>
    <xdr:pic>
      <xdr:nvPicPr>
        <xdr:cNvPr id="38" name="Imagen 37">
          <a:extLst>
            <a:ext uri="{FF2B5EF4-FFF2-40B4-BE49-F238E27FC236}">
              <a16:creationId xmlns:a16="http://schemas.microsoft.com/office/drawing/2014/main" id="{7C262DD4-A8A3-4DF1-02A1-CED20096939D}"/>
            </a:ext>
          </a:extLst>
        </xdr:cNvPr>
        <xdr:cNvPicPr>
          <a:picLocks noChangeAspect="1"/>
        </xdr:cNvPicPr>
      </xdr:nvPicPr>
      <xdr:blipFill>
        <a:blip xmlns:r="http://schemas.openxmlformats.org/officeDocument/2006/relationships" r:embed="rId8"/>
        <a:stretch>
          <a:fillRect/>
        </a:stretch>
      </xdr:blipFill>
      <xdr:spPr>
        <a:xfrm>
          <a:off x="11299093" y="60138734"/>
          <a:ext cx="2576097" cy="1625600"/>
        </a:xfrm>
        <a:prstGeom prst="rect">
          <a:avLst/>
        </a:prstGeom>
      </xdr:spPr>
    </xdr:pic>
    <xdr:clientData/>
  </xdr:twoCellAnchor>
  <xdr:twoCellAnchor editAs="oneCell">
    <xdr:from>
      <xdr:col>7</xdr:col>
      <xdr:colOff>110068</xdr:colOff>
      <xdr:row>274</xdr:row>
      <xdr:rowOff>38948</xdr:rowOff>
    </xdr:from>
    <xdr:to>
      <xdr:col>10</xdr:col>
      <xdr:colOff>33867</xdr:colOff>
      <xdr:row>281</xdr:row>
      <xdr:rowOff>160867</xdr:rowOff>
    </xdr:to>
    <xdr:pic>
      <xdr:nvPicPr>
        <xdr:cNvPr id="39" name="Imagen 38">
          <a:extLst>
            <a:ext uri="{FF2B5EF4-FFF2-40B4-BE49-F238E27FC236}">
              <a16:creationId xmlns:a16="http://schemas.microsoft.com/office/drawing/2014/main" id="{2BF3C5B9-80AA-49C5-8B9B-D1FFFBC368CE}"/>
            </a:ext>
          </a:extLst>
        </xdr:cNvPr>
        <xdr:cNvPicPr>
          <a:picLocks noChangeAspect="1"/>
        </xdr:cNvPicPr>
      </xdr:nvPicPr>
      <xdr:blipFill>
        <a:blip xmlns:r="http://schemas.openxmlformats.org/officeDocument/2006/relationships" r:embed="rId15"/>
        <a:stretch>
          <a:fillRect/>
        </a:stretch>
      </xdr:blipFill>
      <xdr:spPr>
        <a:xfrm>
          <a:off x="11252201" y="61964148"/>
          <a:ext cx="1930399" cy="1747519"/>
        </a:xfrm>
        <a:prstGeom prst="rect">
          <a:avLst/>
        </a:prstGeom>
      </xdr:spPr>
    </xdr:pic>
    <xdr:clientData/>
  </xdr:twoCellAnchor>
  <xdr:twoCellAnchor editAs="oneCell">
    <xdr:from>
      <xdr:col>7</xdr:col>
      <xdr:colOff>101601</xdr:colOff>
      <xdr:row>282</xdr:row>
      <xdr:rowOff>118534</xdr:rowOff>
    </xdr:from>
    <xdr:to>
      <xdr:col>10</xdr:col>
      <xdr:colOff>393741</xdr:colOff>
      <xdr:row>291</xdr:row>
      <xdr:rowOff>42335</xdr:rowOff>
    </xdr:to>
    <xdr:pic>
      <xdr:nvPicPr>
        <xdr:cNvPr id="40" name="Imagen 39">
          <a:extLst>
            <a:ext uri="{FF2B5EF4-FFF2-40B4-BE49-F238E27FC236}">
              <a16:creationId xmlns:a16="http://schemas.microsoft.com/office/drawing/2014/main" id="{8926EAE1-AC6D-7E86-5B0B-835FA2D7BD34}"/>
            </a:ext>
          </a:extLst>
        </xdr:cNvPr>
        <xdr:cNvPicPr>
          <a:picLocks noChangeAspect="1"/>
        </xdr:cNvPicPr>
      </xdr:nvPicPr>
      <xdr:blipFill>
        <a:blip xmlns:r="http://schemas.openxmlformats.org/officeDocument/2006/relationships" r:embed="rId21"/>
        <a:stretch>
          <a:fillRect/>
        </a:stretch>
      </xdr:blipFill>
      <xdr:spPr>
        <a:xfrm>
          <a:off x="11243734" y="63847134"/>
          <a:ext cx="2298740" cy="2277534"/>
        </a:xfrm>
        <a:prstGeom prst="rect">
          <a:avLst/>
        </a:prstGeom>
      </xdr:spPr>
    </xdr:pic>
    <xdr:clientData/>
  </xdr:twoCellAnchor>
  <xdr:twoCellAnchor editAs="oneCell">
    <xdr:from>
      <xdr:col>7</xdr:col>
      <xdr:colOff>110067</xdr:colOff>
      <xdr:row>291</xdr:row>
      <xdr:rowOff>160867</xdr:rowOff>
    </xdr:from>
    <xdr:to>
      <xdr:col>9</xdr:col>
      <xdr:colOff>635000</xdr:colOff>
      <xdr:row>299</xdr:row>
      <xdr:rowOff>158500</xdr:rowOff>
    </xdr:to>
    <xdr:pic>
      <xdr:nvPicPr>
        <xdr:cNvPr id="41" name="Imagen 40">
          <a:extLst>
            <a:ext uri="{FF2B5EF4-FFF2-40B4-BE49-F238E27FC236}">
              <a16:creationId xmlns:a16="http://schemas.microsoft.com/office/drawing/2014/main" id="{DF5D4571-89B4-D0E8-FF56-BD842FD245B1}"/>
            </a:ext>
          </a:extLst>
        </xdr:cNvPr>
        <xdr:cNvPicPr>
          <a:picLocks noChangeAspect="1"/>
        </xdr:cNvPicPr>
      </xdr:nvPicPr>
      <xdr:blipFill>
        <a:blip xmlns:r="http://schemas.openxmlformats.org/officeDocument/2006/relationships" r:embed="rId21"/>
        <a:stretch>
          <a:fillRect/>
        </a:stretch>
      </xdr:blipFill>
      <xdr:spPr>
        <a:xfrm>
          <a:off x="11252200" y="66243200"/>
          <a:ext cx="1862667" cy="1845483"/>
        </a:xfrm>
        <a:prstGeom prst="rect">
          <a:avLst/>
        </a:prstGeom>
      </xdr:spPr>
    </xdr:pic>
    <xdr:clientData/>
  </xdr:twoCellAnchor>
  <xdr:twoCellAnchor editAs="oneCell">
    <xdr:from>
      <xdr:col>7</xdr:col>
      <xdr:colOff>93133</xdr:colOff>
      <xdr:row>301</xdr:row>
      <xdr:rowOff>0</xdr:rowOff>
    </xdr:from>
    <xdr:to>
      <xdr:col>10</xdr:col>
      <xdr:colOff>158462</xdr:colOff>
      <xdr:row>308</xdr:row>
      <xdr:rowOff>160867</xdr:rowOff>
    </xdr:to>
    <xdr:pic>
      <xdr:nvPicPr>
        <xdr:cNvPr id="42" name="Imagen 41">
          <a:extLst>
            <a:ext uri="{FF2B5EF4-FFF2-40B4-BE49-F238E27FC236}">
              <a16:creationId xmlns:a16="http://schemas.microsoft.com/office/drawing/2014/main" id="{D3443BE0-F74B-966D-2C0D-3081A6BEBAE7}"/>
            </a:ext>
          </a:extLst>
        </xdr:cNvPr>
        <xdr:cNvPicPr>
          <a:picLocks noChangeAspect="1"/>
        </xdr:cNvPicPr>
      </xdr:nvPicPr>
      <xdr:blipFill>
        <a:blip xmlns:r="http://schemas.openxmlformats.org/officeDocument/2006/relationships" r:embed="rId22"/>
        <a:stretch>
          <a:fillRect/>
        </a:stretch>
      </xdr:blipFill>
      <xdr:spPr>
        <a:xfrm>
          <a:off x="11235266" y="68266733"/>
          <a:ext cx="2071929" cy="1998134"/>
        </a:xfrm>
        <a:prstGeom prst="rect">
          <a:avLst/>
        </a:prstGeom>
      </xdr:spPr>
    </xdr:pic>
    <xdr:clientData/>
  </xdr:twoCellAnchor>
  <xdr:twoCellAnchor editAs="oneCell">
    <xdr:from>
      <xdr:col>7</xdr:col>
      <xdr:colOff>270933</xdr:colOff>
      <xdr:row>310</xdr:row>
      <xdr:rowOff>59267</xdr:rowOff>
    </xdr:from>
    <xdr:to>
      <xdr:col>8</xdr:col>
      <xdr:colOff>457200</xdr:colOff>
      <xdr:row>317</xdr:row>
      <xdr:rowOff>161804</xdr:rowOff>
    </xdr:to>
    <xdr:pic>
      <xdr:nvPicPr>
        <xdr:cNvPr id="43" name="Imagen 42">
          <a:extLst>
            <a:ext uri="{FF2B5EF4-FFF2-40B4-BE49-F238E27FC236}">
              <a16:creationId xmlns:a16="http://schemas.microsoft.com/office/drawing/2014/main" id="{4E76E2E4-6BB1-15D0-D4AD-62A697CB8A3A}"/>
            </a:ext>
          </a:extLst>
        </xdr:cNvPr>
        <xdr:cNvPicPr>
          <a:picLocks noChangeAspect="1"/>
        </xdr:cNvPicPr>
      </xdr:nvPicPr>
      <xdr:blipFill>
        <a:blip xmlns:r="http://schemas.openxmlformats.org/officeDocument/2006/relationships" r:embed="rId23"/>
        <a:stretch>
          <a:fillRect/>
        </a:stretch>
      </xdr:blipFill>
      <xdr:spPr>
        <a:xfrm>
          <a:off x="11413066" y="70518867"/>
          <a:ext cx="855134" cy="1939804"/>
        </a:xfrm>
        <a:prstGeom prst="rect">
          <a:avLst/>
        </a:prstGeom>
      </xdr:spPr>
    </xdr:pic>
    <xdr:clientData/>
  </xdr:twoCellAnchor>
  <xdr:twoCellAnchor editAs="oneCell">
    <xdr:from>
      <xdr:col>7</xdr:col>
      <xdr:colOff>160868</xdr:colOff>
      <xdr:row>319</xdr:row>
      <xdr:rowOff>8467</xdr:rowOff>
    </xdr:from>
    <xdr:to>
      <xdr:col>9</xdr:col>
      <xdr:colOff>586885</xdr:colOff>
      <xdr:row>327</xdr:row>
      <xdr:rowOff>25401</xdr:rowOff>
    </xdr:to>
    <xdr:pic>
      <xdr:nvPicPr>
        <xdr:cNvPr id="44" name="Imagen 43">
          <a:extLst>
            <a:ext uri="{FF2B5EF4-FFF2-40B4-BE49-F238E27FC236}">
              <a16:creationId xmlns:a16="http://schemas.microsoft.com/office/drawing/2014/main" id="{0F7EE7C0-8742-D977-34F8-1546885887D1}"/>
            </a:ext>
          </a:extLst>
        </xdr:cNvPr>
        <xdr:cNvPicPr>
          <a:picLocks noChangeAspect="1"/>
        </xdr:cNvPicPr>
      </xdr:nvPicPr>
      <xdr:blipFill>
        <a:blip xmlns:r="http://schemas.openxmlformats.org/officeDocument/2006/relationships" r:embed="rId24"/>
        <a:stretch>
          <a:fillRect/>
        </a:stretch>
      </xdr:blipFill>
      <xdr:spPr>
        <a:xfrm>
          <a:off x="11303001" y="72660934"/>
          <a:ext cx="1763751" cy="1854200"/>
        </a:xfrm>
        <a:prstGeom prst="rect">
          <a:avLst/>
        </a:prstGeom>
      </xdr:spPr>
    </xdr:pic>
    <xdr:clientData/>
  </xdr:twoCellAnchor>
  <xdr:twoCellAnchor editAs="oneCell">
    <xdr:from>
      <xdr:col>7</xdr:col>
      <xdr:colOff>152401</xdr:colOff>
      <xdr:row>328</xdr:row>
      <xdr:rowOff>8467</xdr:rowOff>
    </xdr:from>
    <xdr:to>
      <xdr:col>9</xdr:col>
      <xdr:colOff>364067</xdr:colOff>
      <xdr:row>336</xdr:row>
      <xdr:rowOff>74278</xdr:rowOff>
    </xdr:to>
    <xdr:pic>
      <xdr:nvPicPr>
        <xdr:cNvPr id="45" name="Imagen 44">
          <a:extLst>
            <a:ext uri="{FF2B5EF4-FFF2-40B4-BE49-F238E27FC236}">
              <a16:creationId xmlns:a16="http://schemas.microsoft.com/office/drawing/2014/main" id="{D866FE0A-13CF-40B2-A9BA-D539CCFCFACB}"/>
            </a:ext>
          </a:extLst>
        </xdr:cNvPr>
        <xdr:cNvPicPr>
          <a:picLocks noChangeAspect="1"/>
        </xdr:cNvPicPr>
      </xdr:nvPicPr>
      <xdr:blipFill>
        <a:blip xmlns:r="http://schemas.openxmlformats.org/officeDocument/2006/relationships" r:embed="rId25"/>
        <a:stretch>
          <a:fillRect/>
        </a:stretch>
      </xdr:blipFill>
      <xdr:spPr>
        <a:xfrm>
          <a:off x="11294534" y="74676000"/>
          <a:ext cx="1549400" cy="1860745"/>
        </a:xfrm>
        <a:prstGeom prst="rect">
          <a:avLst/>
        </a:prstGeom>
      </xdr:spPr>
    </xdr:pic>
    <xdr:clientData/>
  </xdr:twoCellAnchor>
  <xdr:twoCellAnchor editAs="oneCell">
    <xdr:from>
      <xdr:col>7</xdr:col>
      <xdr:colOff>169334</xdr:colOff>
      <xdr:row>336</xdr:row>
      <xdr:rowOff>169333</xdr:rowOff>
    </xdr:from>
    <xdr:to>
      <xdr:col>9</xdr:col>
      <xdr:colOff>381000</xdr:colOff>
      <xdr:row>345</xdr:row>
      <xdr:rowOff>82745</xdr:rowOff>
    </xdr:to>
    <xdr:pic>
      <xdr:nvPicPr>
        <xdr:cNvPr id="46" name="Imagen 45">
          <a:extLst>
            <a:ext uri="{FF2B5EF4-FFF2-40B4-BE49-F238E27FC236}">
              <a16:creationId xmlns:a16="http://schemas.microsoft.com/office/drawing/2014/main" id="{07E15CB7-D2AA-4A99-A8E0-4B66AEC8FAC6}"/>
            </a:ext>
          </a:extLst>
        </xdr:cNvPr>
        <xdr:cNvPicPr>
          <a:picLocks noChangeAspect="1"/>
        </xdr:cNvPicPr>
      </xdr:nvPicPr>
      <xdr:blipFill>
        <a:blip xmlns:r="http://schemas.openxmlformats.org/officeDocument/2006/relationships" r:embed="rId25"/>
        <a:stretch>
          <a:fillRect/>
        </a:stretch>
      </xdr:blipFill>
      <xdr:spPr>
        <a:xfrm>
          <a:off x="11311467" y="76631800"/>
          <a:ext cx="1549400" cy="1860745"/>
        </a:xfrm>
        <a:prstGeom prst="rect">
          <a:avLst/>
        </a:prstGeom>
      </xdr:spPr>
    </xdr:pic>
    <xdr:clientData/>
  </xdr:twoCellAnchor>
  <xdr:twoCellAnchor editAs="oneCell">
    <xdr:from>
      <xdr:col>7</xdr:col>
      <xdr:colOff>177801</xdr:colOff>
      <xdr:row>346</xdr:row>
      <xdr:rowOff>0</xdr:rowOff>
    </xdr:from>
    <xdr:to>
      <xdr:col>9</xdr:col>
      <xdr:colOff>389467</xdr:colOff>
      <xdr:row>354</xdr:row>
      <xdr:rowOff>48878</xdr:rowOff>
    </xdr:to>
    <xdr:pic>
      <xdr:nvPicPr>
        <xdr:cNvPr id="47" name="Imagen 46">
          <a:extLst>
            <a:ext uri="{FF2B5EF4-FFF2-40B4-BE49-F238E27FC236}">
              <a16:creationId xmlns:a16="http://schemas.microsoft.com/office/drawing/2014/main" id="{4FED2B6A-DC05-4645-A89F-3B31D66CE1CA}"/>
            </a:ext>
          </a:extLst>
        </xdr:cNvPr>
        <xdr:cNvPicPr>
          <a:picLocks noChangeAspect="1"/>
        </xdr:cNvPicPr>
      </xdr:nvPicPr>
      <xdr:blipFill>
        <a:blip xmlns:r="http://schemas.openxmlformats.org/officeDocument/2006/relationships" r:embed="rId25"/>
        <a:stretch>
          <a:fillRect/>
        </a:stretch>
      </xdr:blipFill>
      <xdr:spPr>
        <a:xfrm>
          <a:off x="11319934" y="78587600"/>
          <a:ext cx="1549400" cy="1860745"/>
        </a:xfrm>
        <a:prstGeom prst="rect">
          <a:avLst/>
        </a:prstGeom>
      </xdr:spPr>
    </xdr:pic>
    <xdr:clientData/>
  </xdr:twoCellAnchor>
  <xdr:twoCellAnchor editAs="oneCell">
    <xdr:from>
      <xdr:col>7</xdr:col>
      <xdr:colOff>135467</xdr:colOff>
      <xdr:row>354</xdr:row>
      <xdr:rowOff>169423</xdr:rowOff>
    </xdr:from>
    <xdr:to>
      <xdr:col>15</xdr:col>
      <xdr:colOff>305539</xdr:colOff>
      <xdr:row>363</xdr:row>
      <xdr:rowOff>70528</xdr:rowOff>
    </xdr:to>
    <xdr:pic>
      <xdr:nvPicPr>
        <xdr:cNvPr id="48" name="Imagen 47">
          <a:extLst>
            <a:ext uri="{FF2B5EF4-FFF2-40B4-BE49-F238E27FC236}">
              <a16:creationId xmlns:a16="http://schemas.microsoft.com/office/drawing/2014/main" id="{D55439D7-A3C5-2926-E8F4-ED6A48138256}"/>
            </a:ext>
          </a:extLst>
        </xdr:cNvPr>
        <xdr:cNvPicPr>
          <a:picLocks noChangeAspect="1"/>
        </xdr:cNvPicPr>
      </xdr:nvPicPr>
      <xdr:blipFill>
        <a:blip xmlns:r="http://schemas.openxmlformats.org/officeDocument/2006/relationships" r:embed="rId26"/>
        <a:stretch>
          <a:fillRect/>
        </a:stretch>
      </xdr:blipFill>
      <xdr:spPr>
        <a:xfrm>
          <a:off x="11277600" y="80568890"/>
          <a:ext cx="5521006" cy="1907705"/>
        </a:xfrm>
        <a:prstGeom prst="rect">
          <a:avLst/>
        </a:prstGeom>
      </xdr:spPr>
    </xdr:pic>
    <xdr:clientData/>
  </xdr:twoCellAnchor>
  <xdr:twoCellAnchor editAs="oneCell">
    <xdr:from>
      <xdr:col>7</xdr:col>
      <xdr:colOff>84667</xdr:colOff>
      <xdr:row>363</xdr:row>
      <xdr:rowOff>67733</xdr:rowOff>
    </xdr:from>
    <xdr:to>
      <xdr:col>15</xdr:col>
      <xdr:colOff>254739</xdr:colOff>
      <xdr:row>372</xdr:row>
      <xdr:rowOff>121238</xdr:rowOff>
    </xdr:to>
    <xdr:pic>
      <xdr:nvPicPr>
        <xdr:cNvPr id="49" name="Imagen 48">
          <a:extLst>
            <a:ext uri="{FF2B5EF4-FFF2-40B4-BE49-F238E27FC236}">
              <a16:creationId xmlns:a16="http://schemas.microsoft.com/office/drawing/2014/main" id="{6727B52E-EF29-43D5-B2ED-F9FB209F58BA}"/>
            </a:ext>
          </a:extLst>
        </xdr:cNvPr>
        <xdr:cNvPicPr>
          <a:picLocks noChangeAspect="1"/>
        </xdr:cNvPicPr>
      </xdr:nvPicPr>
      <xdr:blipFill>
        <a:blip xmlns:r="http://schemas.openxmlformats.org/officeDocument/2006/relationships" r:embed="rId26"/>
        <a:stretch>
          <a:fillRect/>
        </a:stretch>
      </xdr:blipFill>
      <xdr:spPr>
        <a:xfrm>
          <a:off x="11226800" y="82473800"/>
          <a:ext cx="5521006" cy="1907705"/>
        </a:xfrm>
        <a:prstGeom prst="rect">
          <a:avLst/>
        </a:prstGeom>
      </xdr:spPr>
    </xdr:pic>
    <xdr:clientData/>
  </xdr:twoCellAnchor>
  <xdr:twoCellAnchor editAs="oneCell">
    <xdr:from>
      <xdr:col>7</xdr:col>
      <xdr:colOff>254002</xdr:colOff>
      <xdr:row>373</xdr:row>
      <xdr:rowOff>219707</xdr:rowOff>
    </xdr:from>
    <xdr:to>
      <xdr:col>11</xdr:col>
      <xdr:colOff>143935</xdr:colOff>
      <xdr:row>380</xdr:row>
      <xdr:rowOff>150854</xdr:rowOff>
    </xdr:to>
    <xdr:pic>
      <xdr:nvPicPr>
        <xdr:cNvPr id="50" name="Imagen 49">
          <a:extLst>
            <a:ext uri="{FF2B5EF4-FFF2-40B4-BE49-F238E27FC236}">
              <a16:creationId xmlns:a16="http://schemas.microsoft.com/office/drawing/2014/main" id="{441D7552-B179-22B5-17C3-B53E2B932DC6}"/>
            </a:ext>
          </a:extLst>
        </xdr:cNvPr>
        <xdr:cNvPicPr>
          <a:picLocks noChangeAspect="1"/>
        </xdr:cNvPicPr>
      </xdr:nvPicPr>
      <xdr:blipFill>
        <a:blip xmlns:r="http://schemas.openxmlformats.org/officeDocument/2006/relationships" r:embed="rId27"/>
        <a:stretch>
          <a:fillRect/>
        </a:stretch>
      </xdr:blipFill>
      <xdr:spPr>
        <a:xfrm>
          <a:off x="11396135" y="84657774"/>
          <a:ext cx="2565400" cy="1395880"/>
        </a:xfrm>
        <a:prstGeom prst="rect">
          <a:avLst/>
        </a:prstGeom>
      </xdr:spPr>
    </xdr:pic>
    <xdr:clientData/>
  </xdr:twoCellAnchor>
  <xdr:twoCellAnchor editAs="oneCell">
    <xdr:from>
      <xdr:col>7</xdr:col>
      <xdr:colOff>262469</xdr:colOff>
      <xdr:row>382</xdr:row>
      <xdr:rowOff>304374</xdr:rowOff>
    </xdr:from>
    <xdr:to>
      <xdr:col>11</xdr:col>
      <xdr:colOff>152402</xdr:colOff>
      <xdr:row>389</xdr:row>
      <xdr:rowOff>159321</xdr:rowOff>
    </xdr:to>
    <xdr:pic>
      <xdr:nvPicPr>
        <xdr:cNvPr id="51" name="Imagen 50">
          <a:extLst>
            <a:ext uri="{FF2B5EF4-FFF2-40B4-BE49-F238E27FC236}">
              <a16:creationId xmlns:a16="http://schemas.microsoft.com/office/drawing/2014/main" id="{29399BDB-5FC6-4430-94C8-016C0C4091A5}"/>
            </a:ext>
          </a:extLst>
        </xdr:cNvPr>
        <xdr:cNvPicPr>
          <a:picLocks noChangeAspect="1"/>
        </xdr:cNvPicPr>
      </xdr:nvPicPr>
      <xdr:blipFill>
        <a:blip xmlns:r="http://schemas.openxmlformats.org/officeDocument/2006/relationships" r:embed="rId27"/>
        <a:stretch>
          <a:fillRect/>
        </a:stretch>
      </xdr:blipFill>
      <xdr:spPr>
        <a:xfrm>
          <a:off x="11404602" y="86562774"/>
          <a:ext cx="2565400" cy="1395880"/>
        </a:xfrm>
        <a:prstGeom prst="rect">
          <a:avLst/>
        </a:prstGeom>
      </xdr:spPr>
    </xdr:pic>
    <xdr:clientData/>
  </xdr:twoCellAnchor>
  <xdr:twoCellAnchor editAs="oneCell">
    <xdr:from>
      <xdr:col>7</xdr:col>
      <xdr:colOff>270936</xdr:colOff>
      <xdr:row>391</xdr:row>
      <xdr:rowOff>245108</xdr:rowOff>
    </xdr:from>
    <xdr:to>
      <xdr:col>11</xdr:col>
      <xdr:colOff>160869</xdr:colOff>
      <xdr:row>398</xdr:row>
      <xdr:rowOff>15388</xdr:rowOff>
    </xdr:to>
    <xdr:pic>
      <xdr:nvPicPr>
        <xdr:cNvPr id="52" name="Imagen 51">
          <a:extLst>
            <a:ext uri="{FF2B5EF4-FFF2-40B4-BE49-F238E27FC236}">
              <a16:creationId xmlns:a16="http://schemas.microsoft.com/office/drawing/2014/main" id="{31428D47-904D-4556-AE79-20E779F902DB}"/>
            </a:ext>
          </a:extLst>
        </xdr:cNvPr>
        <xdr:cNvPicPr>
          <a:picLocks noChangeAspect="1"/>
        </xdr:cNvPicPr>
      </xdr:nvPicPr>
      <xdr:blipFill>
        <a:blip xmlns:r="http://schemas.openxmlformats.org/officeDocument/2006/relationships" r:embed="rId27"/>
        <a:stretch>
          <a:fillRect/>
        </a:stretch>
      </xdr:blipFill>
      <xdr:spPr>
        <a:xfrm>
          <a:off x="11413069" y="88400041"/>
          <a:ext cx="2565400" cy="1395880"/>
        </a:xfrm>
        <a:prstGeom prst="rect">
          <a:avLst/>
        </a:prstGeom>
      </xdr:spPr>
    </xdr:pic>
    <xdr:clientData/>
  </xdr:twoCellAnchor>
  <xdr:twoCellAnchor editAs="oneCell">
    <xdr:from>
      <xdr:col>7</xdr:col>
      <xdr:colOff>152400</xdr:colOff>
      <xdr:row>400</xdr:row>
      <xdr:rowOff>84666</xdr:rowOff>
    </xdr:from>
    <xdr:to>
      <xdr:col>9</xdr:col>
      <xdr:colOff>364066</xdr:colOff>
      <xdr:row>407</xdr:row>
      <xdr:rowOff>142011</xdr:rowOff>
    </xdr:to>
    <xdr:pic>
      <xdr:nvPicPr>
        <xdr:cNvPr id="53" name="Imagen 52">
          <a:extLst>
            <a:ext uri="{FF2B5EF4-FFF2-40B4-BE49-F238E27FC236}">
              <a16:creationId xmlns:a16="http://schemas.microsoft.com/office/drawing/2014/main" id="{1564A4FC-F493-4BC7-9666-FC6D8DA809E1}"/>
            </a:ext>
          </a:extLst>
        </xdr:cNvPr>
        <xdr:cNvPicPr>
          <a:picLocks noChangeAspect="1"/>
        </xdr:cNvPicPr>
      </xdr:nvPicPr>
      <xdr:blipFill>
        <a:blip xmlns:r="http://schemas.openxmlformats.org/officeDocument/2006/relationships" r:embed="rId25"/>
        <a:stretch>
          <a:fillRect/>
        </a:stretch>
      </xdr:blipFill>
      <xdr:spPr>
        <a:xfrm>
          <a:off x="11294533" y="90220799"/>
          <a:ext cx="1549400" cy="1860745"/>
        </a:xfrm>
        <a:prstGeom prst="rect">
          <a:avLst/>
        </a:prstGeom>
      </xdr:spPr>
    </xdr:pic>
    <xdr:clientData/>
  </xdr:twoCellAnchor>
  <xdr:twoCellAnchor editAs="oneCell">
    <xdr:from>
      <xdr:col>7</xdr:col>
      <xdr:colOff>211667</xdr:colOff>
      <xdr:row>409</xdr:row>
      <xdr:rowOff>16933</xdr:rowOff>
    </xdr:from>
    <xdr:to>
      <xdr:col>9</xdr:col>
      <xdr:colOff>241633</xdr:colOff>
      <xdr:row>417</xdr:row>
      <xdr:rowOff>16932</xdr:rowOff>
    </xdr:to>
    <xdr:pic>
      <xdr:nvPicPr>
        <xdr:cNvPr id="54" name="Imagen 53">
          <a:extLst>
            <a:ext uri="{FF2B5EF4-FFF2-40B4-BE49-F238E27FC236}">
              <a16:creationId xmlns:a16="http://schemas.microsoft.com/office/drawing/2014/main" id="{78BD4BAF-B3EB-429A-8454-7DC45D97647D}"/>
            </a:ext>
          </a:extLst>
        </xdr:cNvPr>
        <xdr:cNvPicPr>
          <a:picLocks noChangeAspect="1"/>
        </xdr:cNvPicPr>
      </xdr:nvPicPr>
      <xdr:blipFill>
        <a:blip xmlns:r="http://schemas.openxmlformats.org/officeDocument/2006/relationships" r:embed="rId25"/>
        <a:stretch>
          <a:fillRect/>
        </a:stretch>
      </xdr:blipFill>
      <xdr:spPr>
        <a:xfrm>
          <a:off x="11353800" y="92312066"/>
          <a:ext cx="1367700" cy="1642533"/>
        </a:xfrm>
        <a:prstGeom prst="rect">
          <a:avLst/>
        </a:prstGeom>
      </xdr:spPr>
    </xdr:pic>
    <xdr:clientData/>
  </xdr:twoCellAnchor>
  <xdr:twoCellAnchor editAs="oneCell">
    <xdr:from>
      <xdr:col>7</xdr:col>
      <xdr:colOff>287867</xdr:colOff>
      <xdr:row>418</xdr:row>
      <xdr:rowOff>76199</xdr:rowOff>
    </xdr:from>
    <xdr:to>
      <xdr:col>9</xdr:col>
      <xdr:colOff>317833</xdr:colOff>
      <xdr:row>426</xdr:row>
      <xdr:rowOff>50799</xdr:rowOff>
    </xdr:to>
    <xdr:pic>
      <xdr:nvPicPr>
        <xdr:cNvPr id="55" name="Imagen 54">
          <a:extLst>
            <a:ext uri="{FF2B5EF4-FFF2-40B4-BE49-F238E27FC236}">
              <a16:creationId xmlns:a16="http://schemas.microsoft.com/office/drawing/2014/main" id="{E7CF60AE-2F03-4A54-8C7E-8EDCA73366E3}"/>
            </a:ext>
          </a:extLst>
        </xdr:cNvPr>
        <xdr:cNvPicPr>
          <a:picLocks noChangeAspect="1"/>
        </xdr:cNvPicPr>
      </xdr:nvPicPr>
      <xdr:blipFill>
        <a:blip xmlns:r="http://schemas.openxmlformats.org/officeDocument/2006/relationships" r:embed="rId25"/>
        <a:stretch>
          <a:fillRect/>
        </a:stretch>
      </xdr:blipFill>
      <xdr:spPr>
        <a:xfrm>
          <a:off x="11430000" y="94191666"/>
          <a:ext cx="1367700" cy="1642533"/>
        </a:xfrm>
        <a:prstGeom prst="rect">
          <a:avLst/>
        </a:prstGeom>
      </xdr:spPr>
    </xdr:pic>
    <xdr:clientData/>
  </xdr:twoCellAnchor>
  <xdr:twoCellAnchor editAs="oneCell">
    <xdr:from>
      <xdr:col>7</xdr:col>
      <xdr:colOff>279400</xdr:colOff>
      <xdr:row>427</xdr:row>
      <xdr:rowOff>16933</xdr:rowOff>
    </xdr:from>
    <xdr:to>
      <xdr:col>9</xdr:col>
      <xdr:colOff>309366</xdr:colOff>
      <xdr:row>434</xdr:row>
      <xdr:rowOff>159808</xdr:rowOff>
    </xdr:to>
    <xdr:pic>
      <xdr:nvPicPr>
        <xdr:cNvPr id="56" name="Imagen 55">
          <a:extLst>
            <a:ext uri="{FF2B5EF4-FFF2-40B4-BE49-F238E27FC236}">
              <a16:creationId xmlns:a16="http://schemas.microsoft.com/office/drawing/2014/main" id="{143EE2A8-B376-4880-BECF-6A521FE6E2C9}"/>
            </a:ext>
          </a:extLst>
        </xdr:cNvPr>
        <xdr:cNvPicPr>
          <a:picLocks noChangeAspect="1"/>
        </xdr:cNvPicPr>
      </xdr:nvPicPr>
      <xdr:blipFill>
        <a:blip xmlns:r="http://schemas.openxmlformats.org/officeDocument/2006/relationships" r:embed="rId25"/>
        <a:stretch>
          <a:fillRect/>
        </a:stretch>
      </xdr:blipFill>
      <xdr:spPr>
        <a:xfrm>
          <a:off x="11421533" y="95978133"/>
          <a:ext cx="1367700" cy="1642533"/>
        </a:xfrm>
        <a:prstGeom prst="rect">
          <a:avLst/>
        </a:prstGeom>
      </xdr:spPr>
    </xdr:pic>
    <xdr:clientData/>
  </xdr:twoCellAnchor>
  <xdr:twoCellAnchor editAs="oneCell">
    <xdr:from>
      <xdr:col>7</xdr:col>
      <xdr:colOff>194734</xdr:colOff>
      <xdr:row>436</xdr:row>
      <xdr:rowOff>50799</xdr:rowOff>
    </xdr:from>
    <xdr:to>
      <xdr:col>10</xdr:col>
      <xdr:colOff>555747</xdr:colOff>
      <xdr:row>443</xdr:row>
      <xdr:rowOff>76199</xdr:rowOff>
    </xdr:to>
    <xdr:pic>
      <xdr:nvPicPr>
        <xdr:cNvPr id="57" name="Imagen 56">
          <a:extLst>
            <a:ext uri="{FF2B5EF4-FFF2-40B4-BE49-F238E27FC236}">
              <a16:creationId xmlns:a16="http://schemas.microsoft.com/office/drawing/2014/main" id="{90BBD946-0CB4-3156-0BD4-81E471136DD3}"/>
            </a:ext>
          </a:extLst>
        </xdr:cNvPr>
        <xdr:cNvPicPr>
          <a:picLocks noChangeAspect="1"/>
        </xdr:cNvPicPr>
      </xdr:nvPicPr>
      <xdr:blipFill>
        <a:blip xmlns:r="http://schemas.openxmlformats.org/officeDocument/2006/relationships" r:embed="rId28"/>
        <a:stretch>
          <a:fillRect/>
        </a:stretch>
      </xdr:blipFill>
      <xdr:spPr>
        <a:xfrm>
          <a:off x="11336867" y="97857732"/>
          <a:ext cx="2367613" cy="1837267"/>
        </a:xfrm>
        <a:prstGeom prst="rect">
          <a:avLst/>
        </a:prstGeom>
      </xdr:spPr>
    </xdr:pic>
    <xdr:clientData/>
  </xdr:twoCellAnchor>
  <xdr:twoCellAnchor editAs="oneCell">
    <xdr:from>
      <xdr:col>7</xdr:col>
      <xdr:colOff>177800</xdr:colOff>
      <xdr:row>445</xdr:row>
      <xdr:rowOff>245533</xdr:rowOff>
    </xdr:from>
    <xdr:to>
      <xdr:col>11</xdr:col>
      <xdr:colOff>78430</xdr:colOff>
      <xdr:row>452</xdr:row>
      <xdr:rowOff>42333</xdr:rowOff>
    </xdr:to>
    <xdr:pic>
      <xdr:nvPicPr>
        <xdr:cNvPr id="58" name="Imagen 57">
          <a:extLst>
            <a:ext uri="{FF2B5EF4-FFF2-40B4-BE49-F238E27FC236}">
              <a16:creationId xmlns:a16="http://schemas.microsoft.com/office/drawing/2014/main" id="{D92881BB-208C-4C9F-8454-66538E25C4EB}"/>
            </a:ext>
          </a:extLst>
        </xdr:cNvPr>
        <xdr:cNvPicPr>
          <a:picLocks noChangeAspect="1"/>
        </xdr:cNvPicPr>
      </xdr:nvPicPr>
      <xdr:blipFill>
        <a:blip xmlns:r="http://schemas.openxmlformats.org/officeDocument/2006/relationships" r:embed="rId8"/>
        <a:stretch>
          <a:fillRect/>
        </a:stretch>
      </xdr:blipFill>
      <xdr:spPr>
        <a:xfrm>
          <a:off x="11319933" y="100219933"/>
          <a:ext cx="2576097" cy="1625600"/>
        </a:xfrm>
        <a:prstGeom prst="rect">
          <a:avLst/>
        </a:prstGeom>
      </xdr:spPr>
    </xdr:pic>
    <xdr:clientData/>
  </xdr:twoCellAnchor>
  <xdr:twoCellAnchor editAs="oneCell">
    <xdr:from>
      <xdr:col>7</xdr:col>
      <xdr:colOff>118535</xdr:colOff>
      <xdr:row>453</xdr:row>
      <xdr:rowOff>167819</xdr:rowOff>
    </xdr:from>
    <xdr:to>
      <xdr:col>9</xdr:col>
      <xdr:colOff>516467</xdr:colOff>
      <xdr:row>461</xdr:row>
      <xdr:rowOff>147320</xdr:rowOff>
    </xdr:to>
    <xdr:pic>
      <xdr:nvPicPr>
        <xdr:cNvPr id="59" name="Imagen 58">
          <a:extLst>
            <a:ext uri="{FF2B5EF4-FFF2-40B4-BE49-F238E27FC236}">
              <a16:creationId xmlns:a16="http://schemas.microsoft.com/office/drawing/2014/main" id="{B1EDD600-9DA4-4A6F-B1E4-4E606CB18FAA}"/>
            </a:ext>
          </a:extLst>
        </xdr:cNvPr>
        <xdr:cNvPicPr>
          <a:picLocks noChangeAspect="1"/>
        </xdr:cNvPicPr>
      </xdr:nvPicPr>
      <xdr:blipFill>
        <a:blip xmlns:r="http://schemas.openxmlformats.org/officeDocument/2006/relationships" r:embed="rId15"/>
        <a:stretch>
          <a:fillRect/>
        </a:stretch>
      </xdr:blipFill>
      <xdr:spPr>
        <a:xfrm>
          <a:off x="11260668" y="102157286"/>
          <a:ext cx="1735666" cy="1571234"/>
        </a:xfrm>
        <a:prstGeom prst="rect">
          <a:avLst/>
        </a:prstGeom>
      </xdr:spPr>
    </xdr:pic>
    <xdr:clientData/>
  </xdr:twoCellAnchor>
  <xdr:twoCellAnchor editAs="oneCell">
    <xdr:from>
      <xdr:col>7</xdr:col>
      <xdr:colOff>118533</xdr:colOff>
      <xdr:row>463</xdr:row>
      <xdr:rowOff>194732</xdr:rowOff>
    </xdr:from>
    <xdr:to>
      <xdr:col>11</xdr:col>
      <xdr:colOff>182237</xdr:colOff>
      <xdr:row>470</xdr:row>
      <xdr:rowOff>25400</xdr:rowOff>
    </xdr:to>
    <xdr:pic>
      <xdr:nvPicPr>
        <xdr:cNvPr id="61" name="Imagen 60">
          <a:extLst>
            <a:ext uri="{FF2B5EF4-FFF2-40B4-BE49-F238E27FC236}">
              <a16:creationId xmlns:a16="http://schemas.microsoft.com/office/drawing/2014/main" id="{AFDE6108-39FA-6504-C61F-6856078292A0}"/>
            </a:ext>
          </a:extLst>
        </xdr:cNvPr>
        <xdr:cNvPicPr>
          <a:picLocks noChangeAspect="1"/>
        </xdr:cNvPicPr>
      </xdr:nvPicPr>
      <xdr:blipFill>
        <a:blip xmlns:r="http://schemas.openxmlformats.org/officeDocument/2006/relationships" r:embed="rId29"/>
        <a:stretch>
          <a:fillRect/>
        </a:stretch>
      </xdr:blipFill>
      <xdr:spPr>
        <a:xfrm>
          <a:off x="11260666" y="104123065"/>
          <a:ext cx="2739171" cy="1456268"/>
        </a:xfrm>
        <a:prstGeom prst="rect">
          <a:avLst/>
        </a:prstGeom>
      </xdr:spPr>
    </xdr:pic>
    <xdr:clientData/>
  </xdr:twoCellAnchor>
  <xdr:twoCellAnchor editAs="oneCell">
    <xdr:from>
      <xdr:col>7</xdr:col>
      <xdr:colOff>160867</xdr:colOff>
      <xdr:row>472</xdr:row>
      <xdr:rowOff>186265</xdr:rowOff>
    </xdr:from>
    <xdr:to>
      <xdr:col>11</xdr:col>
      <xdr:colOff>527154</xdr:colOff>
      <xdr:row>479</xdr:row>
      <xdr:rowOff>160866</xdr:rowOff>
    </xdr:to>
    <xdr:pic>
      <xdr:nvPicPr>
        <xdr:cNvPr id="62" name="Imagen 61">
          <a:extLst>
            <a:ext uri="{FF2B5EF4-FFF2-40B4-BE49-F238E27FC236}">
              <a16:creationId xmlns:a16="http://schemas.microsoft.com/office/drawing/2014/main" id="{FD929749-C9B4-D03D-E378-B332E2475413}"/>
            </a:ext>
          </a:extLst>
        </xdr:cNvPr>
        <xdr:cNvPicPr>
          <a:picLocks noChangeAspect="1"/>
        </xdr:cNvPicPr>
      </xdr:nvPicPr>
      <xdr:blipFill>
        <a:blip xmlns:r="http://schemas.openxmlformats.org/officeDocument/2006/relationships" r:embed="rId29"/>
        <a:stretch>
          <a:fillRect/>
        </a:stretch>
      </xdr:blipFill>
      <xdr:spPr>
        <a:xfrm>
          <a:off x="11303000" y="106095798"/>
          <a:ext cx="3041754" cy="1617135"/>
        </a:xfrm>
        <a:prstGeom prst="rect">
          <a:avLst/>
        </a:prstGeom>
      </xdr:spPr>
    </xdr:pic>
    <xdr:clientData/>
  </xdr:twoCellAnchor>
  <xdr:twoCellAnchor editAs="oneCell">
    <xdr:from>
      <xdr:col>7</xdr:col>
      <xdr:colOff>152400</xdr:colOff>
      <xdr:row>481</xdr:row>
      <xdr:rowOff>211664</xdr:rowOff>
    </xdr:from>
    <xdr:to>
      <xdr:col>11</xdr:col>
      <xdr:colOff>518687</xdr:colOff>
      <xdr:row>488</xdr:row>
      <xdr:rowOff>158749</xdr:rowOff>
    </xdr:to>
    <xdr:pic>
      <xdr:nvPicPr>
        <xdr:cNvPr id="63" name="Imagen 62">
          <a:extLst>
            <a:ext uri="{FF2B5EF4-FFF2-40B4-BE49-F238E27FC236}">
              <a16:creationId xmlns:a16="http://schemas.microsoft.com/office/drawing/2014/main" id="{F6F0BFB2-FE56-40D2-A15F-D3620D345DE0}"/>
            </a:ext>
          </a:extLst>
        </xdr:cNvPr>
        <xdr:cNvPicPr>
          <a:picLocks noChangeAspect="1"/>
        </xdr:cNvPicPr>
      </xdr:nvPicPr>
      <xdr:blipFill>
        <a:blip xmlns:r="http://schemas.openxmlformats.org/officeDocument/2006/relationships" r:embed="rId29"/>
        <a:stretch>
          <a:fillRect/>
        </a:stretch>
      </xdr:blipFill>
      <xdr:spPr>
        <a:xfrm>
          <a:off x="11294533" y="108119331"/>
          <a:ext cx="3041754" cy="1617135"/>
        </a:xfrm>
        <a:prstGeom prst="rect">
          <a:avLst/>
        </a:prstGeom>
      </xdr:spPr>
    </xdr:pic>
    <xdr:clientData/>
  </xdr:twoCellAnchor>
  <xdr:twoCellAnchor editAs="oneCell">
    <xdr:from>
      <xdr:col>7</xdr:col>
      <xdr:colOff>160867</xdr:colOff>
      <xdr:row>490</xdr:row>
      <xdr:rowOff>160864</xdr:rowOff>
    </xdr:from>
    <xdr:to>
      <xdr:col>11</xdr:col>
      <xdr:colOff>527154</xdr:colOff>
      <xdr:row>497</xdr:row>
      <xdr:rowOff>110066</xdr:rowOff>
    </xdr:to>
    <xdr:pic>
      <xdr:nvPicPr>
        <xdr:cNvPr id="64" name="Imagen 63">
          <a:extLst>
            <a:ext uri="{FF2B5EF4-FFF2-40B4-BE49-F238E27FC236}">
              <a16:creationId xmlns:a16="http://schemas.microsoft.com/office/drawing/2014/main" id="{759C8667-A4C5-440C-93FB-22C46920C99A}"/>
            </a:ext>
          </a:extLst>
        </xdr:cNvPr>
        <xdr:cNvPicPr>
          <a:picLocks noChangeAspect="1"/>
        </xdr:cNvPicPr>
      </xdr:nvPicPr>
      <xdr:blipFill>
        <a:blip xmlns:r="http://schemas.openxmlformats.org/officeDocument/2006/relationships" r:embed="rId29"/>
        <a:stretch>
          <a:fillRect/>
        </a:stretch>
      </xdr:blipFill>
      <xdr:spPr>
        <a:xfrm>
          <a:off x="11303000" y="110075131"/>
          <a:ext cx="3041754" cy="1617135"/>
        </a:xfrm>
        <a:prstGeom prst="rect">
          <a:avLst/>
        </a:prstGeom>
      </xdr:spPr>
    </xdr:pic>
    <xdr:clientData/>
  </xdr:twoCellAnchor>
  <xdr:twoCellAnchor editAs="oneCell">
    <xdr:from>
      <xdr:col>7</xdr:col>
      <xdr:colOff>160867</xdr:colOff>
      <xdr:row>499</xdr:row>
      <xdr:rowOff>262464</xdr:rowOff>
    </xdr:from>
    <xdr:to>
      <xdr:col>11</xdr:col>
      <xdr:colOff>527154</xdr:colOff>
      <xdr:row>507</xdr:row>
      <xdr:rowOff>33866</xdr:rowOff>
    </xdr:to>
    <xdr:pic>
      <xdr:nvPicPr>
        <xdr:cNvPr id="65" name="Imagen 64">
          <a:extLst>
            <a:ext uri="{FF2B5EF4-FFF2-40B4-BE49-F238E27FC236}">
              <a16:creationId xmlns:a16="http://schemas.microsoft.com/office/drawing/2014/main" id="{B12FCAC2-8FAF-4AB8-81E6-D675559A4ADA}"/>
            </a:ext>
          </a:extLst>
        </xdr:cNvPr>
        <xdr:cNvPicPr>
          <a:picLocks noChangeAspect="1"/>
        </xdr:cNvPicPr>
      </xdr:nvPicPr>
      <xdr:blipFill>
        <a:blip xmlns:r="http://schemas.openxmlformats.org/officeDocument/2006/relationships" r:embed="rId29"/>
        <a:stretch>
          <a:fillRect/>
        </a:stretch>
      </xdr:blipFill>
      <xdr:spPr>
        <a:xfrm>
          <a:off x="11303000" y="112200264"/>
          <a:ext cx="3041754" cy="1617135"/>
        </a:xfrm>
        <a:prstGeom prst="rect">
          <a:avLst/>
        </a:prstGeom>
      </xdr:spPr>
    </xdr:pic>
    <xdr:clientData/>
  </xdr:twoCellAnchor>
  <xdr:twoCellAnchor editAs="oneCell">
    <xdr:from>
      <xdr:col>7</xdr:col>
      <xdr:colOff>93134</xdr:colOff>
      <xdr:row>508</xdr:row>
      <xdr:rowOff>16931</xdr:rowOff>
    </xdr:from>
    <xdr:to>
      <xdr:col>11</xdr:col>
      <xdr:colOff>459421</xdr:colOff>
      <xdr:row>515</xdr:row>
      <xdr:rowOff>8466</xdr:rowOff>
    </xdr:to>
    <xdr:pic>
      <xdr:nvPicPr>
        <xdr:cNvPr id="66" name="Imagen 65">
          <a:extLst>
            <a:ext uri="{FF2B5EF4-FFF2-40B4-BE49-F238E27FC236}">
              <a16:creationId xmlns:a16="http://schemas.microsoft.com/office/drawing/2014/main" id="{78CF623E-8256-4E8C-A243-1E51350D78D3}"/>
            </a:ext>
          </a:extLst>
        </xdr:cNvPr>
        <xdr:cNvPicPr>
          <a:picLocks noChangeAspect="1"/>
        </xdr:cNvPicPr>
      </xdr:nvPicPr>
      <xdr:blipFill>
        <a:blip xmlns:r="http://schemas.openxmlformats.org/officeDocument/2006/relationships" r:embed="rId29"/>
        <a:stretch>
          <a:fillRect/>
        </a:stretch>
      </xdr:blipFill>
      <xdr:spPr>
        <a:xfrm>
          <a:off x="11235267" y="113978264"/>
          <a:ext cx="3041754" cy="1617135"/>
        </a:xfrm>
        <a:prstGeom prst="rect">
          <a:avLst/>
        </a:prstGeom>
      </xdr:spPr>
    </xdr:pic>
    <xdr:clientData/>
  </xdr:twoCellAnchor>
  <xdr:twoCellAnchor editAs="oneCell">
    <xdr:from>
      <xdr:col>7</xdr:col>
      <xdr:colOff>110067</xdr:colOff>
      <xdr:row>526</xdr:row>
      <xdr:rowOff>169330</xdr:rowOff>
    </xdr:from>
    <xdr:to>
      <xdr:col>11</xdr:col>
      <xdr:colOff>476354</xdr:colOff>
      <xdr:row>533</xdr:row>
      <xdr:rowOff>126999</xdr:rowOff>
    </xdr:to>
    <xdr:pic>
      <xdr:nvPicPr>
        <xdr:cNvPr id="67" name="Imagen 66">
          <a:extLst>
            <a:ext uri="{FF2B5EF4-FFF2-40B4-BE49-F238E27FC236}">
              <a16:creationId xmlns:a16="http://schemas.microsoft.com/office/drawing/2014/main" id="{1E9B7E3B-83C2-43DA-940C-3744F1796407}"/>
            </a:ext>
          </a:extLst>
        </xdr:cNvPr>
        <xdr:cNvPicPr>
          <a:picLocks noChangeAspect="1"/>
        </xdr:cNvPicPr>
      </xdr:nvPicPr>
      <xdr:blipFill>
        <a:blip xmlns:r="http://schemas.openxmlformats.org/officeDocument/2006/relationships" r:embed="rId29"/>
        <a:stretch>
          <a:fillRect/>
        </a:stretch>
      </xdr:blipFill>
      <xdr:spPr>
        <a:xfrm>
          <a:off x="11252200" y="118109997"/>
          <a:ext cx="3041754" cy="1617135"/>
        </a:xfrm>
        <a:prstGeom prst="rect">
          <a:avLst/>
        </a:prstGeom>
      </xdr:spPr>
    </xdr:pic>
    <xdr:clientData/>
  </xdr:twoCellAnchor>
  <xdr:twoCellAnchor editAs="oneCell">
    <xdr:from>
      <xdr:col>7</xdr:col>
      <xdr:colOff>237067</xdr:colOff>
      <xdr:row>535</xdr:row>
      <xdr:rowOff>101598</xdr:rowOff>
    </xdr:from>
    <xdr:to>
      <xdr:col>11</xdr:col>
      <xdr:colOff>603354</xdr:colOff>
      <xdr:row>542</xdr:row>
      <xdr:rowOff>59266</xdr:rowOff>
    </xdr:to>
    <xdr:pic>
      <xdr:nvPicPr>
        <xdr:cNvPr id="68" name="Imagen 67">
          <a:extLst>
            <a:ext uri="{FF2B5EF4-FFF2-40B4-BE49-F238E27FC236}">
              <a16:creationId xmlns:a16="http://schemas.microsoft.com/office/drawing/2014/main" id="{C9430456-6172-444F-8006-BA51F8D2FBA7}"/>
            </a:ext>
          </a:extLst>
        </xdr:cNvPr>
        <xdr:cNvPicPr>
          <a:picLocks noChangeAspect="1"/>
        </xdr:cNvPicPr>
      </xdr:nvPicPr>
      <xdr:blipFill>
        <a:blip xmlns:r="http://schemas.openxmlformats.org/officeDocument/2006/relationships" r:embed="rId29"/>
        <a:stretch>
          <a:fillRect/>
        </a:stretch>
      </xdr:blipFill>
      <xdr:spPr>
        <a:xfrm>
          <a:off x="11379200" y="120057331"/>
          <a:ext cx="3041754" cy="1617135"/>
        </a:xfrm>
        <a:prstGeom prst="rect">
          <a:avLst/>
        </a:prstGeom>
      </xdr:spPr>
    </xdr:pic>
    <xdr:clientData/>
  </xdr:twoCellAnchor>
  <xdr:twoCellAnchor editAs="oneCell">
    <xdr:from>
      <xdr:col>7</xdr:col>
      <xdr:colOff>160867</xdr:colOff>
      <xdr:row>517</xdr:row>
      <xdr:rowOff>110064</xdr:rowOff>
    </xdr:from>
    <xdr:to>
      <xdr:col>11</xdr:col>
      <xdr:colOff>527154</xdr:colOff>
      <xdr:row>524</xdr:row>
      <xdr:rowOff>84665</xdr:rowOff>
    </xdr:to>
    <xdr:pic>
      <xdr:nvPicPr>
        <xdr:cNvPr id="69" name="Imagen 68">
          <a:extLst>
            <a:ext uri="{FF2B5EF4-FFF2-40B4-BE49-F238E27FC236}">
              <a16:creationId xmlns:a16="http://schemas.microsoft.com/office/drawing/2014/main" id="{008F10F2-AE12-4FC4-9861-1A8C276F3A49}"/>
            </a:ext>
          </a:extLst>
        </xdr:cNvPr>
        <xdr:cNvPicPr>
          <a:picLocks noChangeAspect="1"/>
        </xdr:cNvPicPr>
      </xdr:nvPicPr>
      <xdr:blipFill>
        <a:blip xmlns:r="http://schemas.openxmlformats.org/officeDocument/2006/relationships" r:embed="rId29"/>
        <a:stretch>
          <a:fillRect/>
        </a:stretch>
      </xdr:blipFill>
      <xdr:spPr>
        <a:xfrm>
          <a:off x="11303000" y="116052597"/>
          <a:ext cx="3041754" cy="1617135"/>
        </a:xfrm>
        <a:prstGeom prst="rect">
          <a:avLst/>
        </a:prstGeom>
      </xdr:spPr>
    </xdr:pic>
    <xdr:clientData/>
  </xdr:twoCellAnchor>
  <xdr:twoCellAnchor editAs="oneCell">
    <xdr:from>
      <xdr:col>7</xdr:col>
      <xdr:colOff>313267</xdr:colOff>
      <xdr:row>517</xdr:row>
      <xdr:rowOff>262464</xdr:rowOff>
    </xdr:from>
    <xdr:to>
      <xdr:col>12</xdr:col>
      <xdr:colOff>10687</xdr:colOff>
      <xdr:row>525</xdr:row>
      <xdr:rowOff>59265</xdr:rowOff>
    </xdr:to>
    <xdr:pic>
      <xdr:nvPicPr>
        <xdr:cNvPr id="70" name="Imagen 69">
          <a:extLst>
            <a:ext uri="{FF2B5EF4-FFF2-40B4-BE49-F238E27FC236}">
              <a16:creationId xmlns:a16="http://schemas.microsoft.com/office/drawing/2014/main" id="{B8EF8E0F-6EDB-42AC-A7D1-E426EDCB0ABD}"/>
            </a:ext>
          </a:extLst>
        </xdr:cNvPr>
        <xdr:cNvPicPr>
          <a:picLocks noChangeAspect="1"/>
        </xdr:cNvPicPr>
      </xdr:nvPicPr>
      <xdr:blipFill>
        <a:blip xmlns:r="http://schemas.openxmlformats.org/officeDocument/2006/relationships" r:embed="rId29"/>
        <a:stretch>
          <a:fillRect/>
        </a:stretch>
      </xdr:blipFill>
      <xdr:spPr>
        <a:xfrm>
          <a:off x="11455400" y="116204997"/>
          <a:ext cx="3041754" cy="1617135"/>
        </a:xfrm>
        <a:prstGeom prst="rect">
          <a:avLst/>
        </a:prstGeom>
      </xdr:spPr>
    </xdr:pic>
    <xdr:clientData/>
  </xdr:twoCellAnchor>
  <xdr:twoCellAnchor editAs="oneCell">
    <xdr:from>
      <xdr:col>7</xdr:col>
      <xdr:colOff>203201</xdr:colOff>
      <xdr:row>544</xdr:row>
      <xdr:rowOff>67731</xdr:rowOff>
    </xdr:from>
    <xdr:to>
      <xdr:col>11</xdr:col>
      <xdr:colOff>569488</xdr:colOff>
      <xdr:row>551</xdr:row>
      <xdr:rowOff>118533</xdr:rowOff>
    </xdr:to>
    <xdr:pic>
      <xdr:nvPicPr>
        <xdr:cNvPr id="71" name="Imagen 70">
          <a:extLst>
            <a:ext uri="{FF2B5EF4-FFF2-40B4-BE49-F238E27FC236}">
              <a16:creationId xmlns:a16="http://schemas.microsoft.com/office/drawing/2014/main" id="{3139F560-DAAD-49D9-A113-E9D76DEC621B}"/>
            </a:ext>
          </a:extLst>
        </xdr:cNvPr>
        <xdr:cNvPicPr>
          <a:picLocks noChangeAspect="1"/>
        </xdr:cNvPicPr>
      </xdr:nvPicPr>
      <xdr:blipFill>
        <a:blip xmlns:r="http://schemas.openxmlformats.org/officeDocument/2006/relationships" r:embed="rId29"/>
        <a:stretch>
          <a:fillRect/>
        </a:stretch>
      </xdr:blipFill>
      <xdr:spPr>
        <a:xfrm>
          <a:off x="11345334" y="122038531"/>
          <a:ext cx="3041754" cy="1617135"/>
        </a:xfrm>
        <a:prstGeom prst="rect">
          <a:avLst/>
        </a:prstGeom>
      </xdr:spPr>
    </xdr:pic>
    <xdr:clientData/>
  </xdr:twoCellAnchor>
  <xdr:twoCellAnchor editAs="oneCell">
    <xdr:from>
      <xdr:col>7</xdr:col>
      <xdr:colOff>169334</xdr:colOff>
      <xdr:row>553</xdr:row>
      <xdr:rowOff>67732</xdr:rowOff>
    </xdr:from>
    <xdr:to>
      <xdr:col>11</xdr:col>
      <xdr:colOff>535621</xdr:colOff>
      <xdr:row>560</xdr:row>
      <xdr:rowOff>159808</xdr:rowOff>
    </xdr:to>
    <xdr:pic>
      <xdr:nvPicPr>
        <xdr:cNvPr id="72" name="Imagen 71">
          <a:extLst>
            <a:ext uri="{FF2B5EF4-FFF2-40B4-BE49-F238E27FC236}">
              <a16:creationId xmlns:a16="http://schemas.microsoft.com/office/drawing/2014/main" id="{6A4B8FE3-41F7-475A-A073-29B74960D4D6}"/>
            </a:ext>
          </a:extLst>
        </xdr:cNvPr>
        <xdr:cNvPicPr>
          <a:picLocks noChangeAspect="1"/>
        </xdr:cNvPicPr>
      </xdr:nvPicPr>
      <xdr:blipFill>
        <a:blip xmlns:r="http://schemas.openxmlformats.org/officeDocument/2006/relationships" r:embed="rId29"/>
        <a:stretch>
          <a:fillRect/>
        </a:stretch>
      </xdr:blipFill>
      <xdr:spPr>
        <a:xfrm>
          <a:off x="11311467" y="123960465"/>
          <a:ext cx="3041754" cy="1617135"/>
        </a:xfrm>
        <a:prstGeom prst="rect">
          <a:avLst/>
        </a:prstGeom>
      </xdr:spPr>
    </xdr:pic>
    <xdr:clientData/>
  </xdr:twoCellAnchor>
  <xdr:twoCellAnchor editAs="oneCell">
    <xdr:from>
      <xdr:col>7</xdr:col>
      <xdr:colOff>203201</xdr:colOff>
      <xdr:row>562</xdr:row>
      <xdr:rowOff>118532</xdr:rowOff>
    </xdr:from>
    <xdr:to>
      <xdr:col>11</xdr:col>
      <xdr:colOff>569488</xdr:colOff>
      <xdr:row>569</xdr:row>
      <xdr:rowOff>118534</xdr:rowOff>
    </xdr:to>
    <xdr:pic>
      <xdr:nvPicPr>
        <xdr:cNvPr id="73" name="Imagen 72">
          <a:extLst>
            <a:ext uri="{FF2B5EF4-FFF2-40B4-BE49-F238E27FC236}">
              <a16:creationId xmlns:a16="http://schemas.microsoft.com/office/drawing/2014/main" id="{922936BE-9736-4A4F-AEC3-EB0F640A0F80}"/>
            </a:ext>
          </a:extLst>
        </xdr:cNvPr>
        <xdr:cNvPicPr>
          <a:picLocks noChangeAspect="1"/>
        </xdr:cNvPicPr>
      </xdr:nvPicPr>
      <xdr:blipFill>
        <a:blip xmlns:r="http://schemas.openxmlformats.org/officeDocument/2006/relationships" r:embed="rId29"/>
        <a:stretch>
          <a:fillRect/>
        </a:stretch>
      </xdr:blipFill>
      <xdr:spPr>
        <a:xfrm>
          <a:off x="11345334" y="125882399"/>
          <a:ext cx="3041754" cy="1617135"/>
        </a:xfrm>
        <a:prstGeom prst="rect">
          <a:avLst/>
        </a:prstGeom>
      </xdr:spPr>
    </xdr:pic>
    <xdr:clientData/>
  </xdr:twoCellAnchor>
  <xdr:twoCellAnchor editAs="oneCell">
    <xdr:from>
      <xdr:col>7</xdr:col>
      <xdr:colOff>321734</xdr:colOff>
      <xdr:row>571</xdr:row>
      <xdr:rowOff>245531</xdr:rowOff>
    </xdr:from>
    <xdr:to>
      <xdr:col>12</xdr:col>
      <xdr:colOff>19154</xdr:colOff>
      <xdr:row>578</xdr:row>
      <xdr:rowOff>158749</xdr:rowOff>
    </xdr:to>
    <xdr:pic>
      <xdr:nvPicPr>
        <xdr:cNvPr id="74" name="Imagen 73">
          <a:extLst>
            <a:ext uri="{FF2B5EF4-FFF2-40B4-BE49-F238E27FC236}">
              <a16:creationId xmlns:a16="http://schemas.microsoft.com/office/drawing/2014/main" id="{0240C62F-7E59-4A4E-92C2-89378F7C300E}"/>
            </a:ext>
          </a:extLst>
        </xdr:cNvPr>
        <xdr:cNvPicPr>
          <a:picLocks noChangeAspect="1"/>
        </xdr:cNvPicPr>
      </xdr:nvPicPr>
      <xdr:blipFill>
        <a:blip xmlns:r="http://schemas.openxmlformats.org/officeDocument/2006/relationships" r:embed="rId29"/>
        <a:stretch>
          <a:fillRect/>
        </a:stretch>
      </xdr:blipFill>
      <xdr:spPr>
        <a:xfrm>
          <a:off x="11463867" y="127982131"/>
          <a:ext cx="3041754" cy="1617135"/>
        </a:xfrm>
        <a:prstGeom prst="rect">
          <a:avLst/>
        </a:prstGeom>
      </xdr:spPr>
    </xdr:pic>
    <xdr:clientData/>
  </xdr:twoCellAnchor>
  <xdr:twoCellAnchor editAs="oneCell">
    <xdr:from>
      <xdr:col>7</xdr:col>
      <xdr:colOff>254000</xdr:colOff>
      <xdr:row>580</xdr:row>
      <xdr:rowOff>347131</xdr:rowOff>
    </xdr:from>
    <xdr:to>
      <xdr:col>11</xdr:col>
      <xdr:colOff>620287</xdr:colOff>
      <xdr:row>587</xdr:row>
      <xdr:rowOff>143933</xdr:rowOff>
    </xdr:to>
    <xdr:pic>
      <xdr:nvPicPr>
        <xdr:cNvPr id="75" name="Imagen 74">
          <a:extLst>
            <a:ext uri="{FF2B5EF4-FFF2-40B4-BE49-F238E27FC236}">
              <a16:creationId xmlns:a16="http://schemas.microsoft.com/office/drawing/2014/main" id="{0AE5239E-54A3-4A91-BE5B-E20FBEFDCE36}"/>
            </a:ext>
          </a:extLst>
        </xdr:cNvPr>
        <xdr:cNvPicPr>
          <a:picLocks noChangeAspect="1"/>
        </xdr:cNvPicPr>
      </xdr:nvPicPr>
      <xdr:blipFill>
        <a:blip xmlns:r="http://schemas.openxmlformats.org/officeDocument/2006/relationships" r:embed="rId29"/>
        <a:stretch>
          <a:fillRect/>
        </a:stretch>
      </xdr:blipFill>
      <xdr:spPr>
        <a:xfrm>
          <a:off x="11396133" y="130124198"/>
          <a:ext cx="3041754" cy="1617135"/>
        </a:xfrm>
        <a:prstGeom prst="rect">
          <a:avLst/>
        </a:prstGeom>
      </xdr:spPr>
    </xdr:pic>
    <xdr:clientData/>
  </xdr:twoCellAnchor>
  <xdr:twoCellAnchor editAs="oneCell">
    <xdr:from>
      <xdr:col>7</xdr:col>
      <xdr:colOff>287867</xdr:colOff>
      <xdr:row>589</xdr:row>
      <xdr:rowOff>177798</xdr:rowOff>
    </xdr:from>
    <xdr:to>
      <xdr:col>11</xdr:col>
      <xdr:colOff>654154</xdr:colOff>
      <xdr:row>596</xdr:row>
      <xdr:rowOff>110066</xdr:rowOff>
    </xdr:to>
    <xdr:pic>
      <xdr:nvPicPr>
        <xdr:cNvPr id="76" name="Imagen 75">
          <a:extLst>
            <a:ext uri="{FF2B5EF4-FFF2-40B4-BE49-F238E27FC236}">
              <a16:creationId xmlns:a16="http://schemas.microsoft.com/office/drawing/2014/main" id="{C52206EE-47C6-4FDB-A481-4C77D309ADA2}"/>
            </a:ext>
          </a:extLst>
        </xdr:cNvPr>
        <xdr:cNvPicPr>
          <a:picLocks noChangeAspect="1"/>
        </xdr:cNvPicPr>
      </xdr:nvPicPr>
      <xdr:blipFill>
        <a:blip xmlns:r="http://schemas.openxmlformats.org/officeDocument/2006/relationships" r:embed="rId29"/>
        <a:stretch>
          <a:fillRect/>
        </a:stretch>
      </xdr:blipFill>
      <xdr:spPr>
        <a:xfrm>
          <a:off x="11430000" y="132130798"/>
          <a:ext cx="3041754" cy="1617135"/>
        </a:xfrm>
        <a:prstGeom prst="rect">
          <a:avLst/>
        </a:prstGeom>
      </xdr:spPr>
    </xdr:pic>
    <xdr:clientData/>
  </xdr:twoCellAnchor>
  <xdr:twoCellAnchor editAs="oneCell">
    <xdr:from>
      <xdr:col>7</xdr:col>
      <xdr:colOff>313267</xdr:colOff>
      <xdr:row>598</xdr:row>
      <xdr:rowOff>152398</xdr:rowOff>
    </xdr:from>
    <xdr:to>
      <xdr:col>12</xdr:col>
      <xdr:colOff>10687</xdr:colOff>
      <xdr:row>605</xdr:row>
      <xdr:rowOff>127000</xdr:rowOff>
    </xdr:to>
    <xdr:pic>
      <xdr:nvPicPr>
        <xdr:cNvPr id="77" name="Imagen 76">
          <a:extLst>
            <a:ext uri="{FF2B5EF4-FFF2-40B4-BE49-F238E27FC236}">
              <a16:creationId xmlns:a16="http://schemas.microsoft.com/office/drawing/2014/main" id="{5FC5BFED-1C0C-4E9E-BEEA-AA6D704CD8D9}"/>
            </a:ext>
          </a:extLst>
        </xdr:cNvPr>
        <xdr:cNvPicPr>
          <a:picLocks noChangeAspect="1"/>
        </xdr:cNvPicPr>
      </xdr:nvPicPr>
      <xdr:blipFill>
        <a:blip xmlns:r="http://schemas.openxmlformats.org/officeDocument/2006/relationships" r:embed="rId29"/>
        <a:stretch>
          <a:fillRect/>
        </a:stretch>
      </xdr:blipFill>
      <xdr:spPr>
        <a:xfrm>
          <a:off x="11455400" y="134145865"/>
          <a:ext cx="3041754" cy="1617135"/>
        </a:xfrm>
        <a:prstGeom prst="rect">
          <a:avLst/>
        </a:prstGeom>
      </xdr:spPr>
    </xdr:pic>
    <xdr:clientData/>
  </xdr:twoCellAnchor>
  <xdr:twoCellAnchor editAs="oneCell">
    <xdr:from>
      <xdr:col>7</xdr:col>
      <xdr:colOff>279401</xdr:colOff>
      <xdr:row>607</xdr:row>
      <xdr:rowOff>186265</xdr:rowOff>
    </xdr:from>
    <xdr:to>
      <xdr:col>11</xdr:col>
      <xdr:colOff>645688</xdr:colOff>
      <xdr:row>615</xdr:row>
      <xdr:rowOff>135467</xdr:rowOff>
    </xdr:to>
    <xdr:pic>
      <xdr:nvPicPr>
        <xdr:cNvPr id="78" name="Imagen 77">
          <a:extLst>
            <a:ext uri="{FF2B5EF4-FFF2-40B4-BE49-F238E27FC236}">
              <a16:creationId xmlns:a16="http://schemas.microsoft.com/office/drawing/2014/main" id="{5983C274-F74C-4224-9BDA-3F7C8E174936}"/>
            </a:ext>
          </a:extLst>
        </xdr:cNvPr>
        <xdr:cNvPicPr>
          <a:picLocks noChangeAspect="1"/>
        </xdr:cNvPicPr>
      </xdr:nvPicPr>
      <xdr:blipFill>
        <a:blip xmlns:r="http://schemas.openxmlformats.org/officeDocument/2006/relationships" r:embed="rId29"/>
        <a:stretch>
          <a:fillRect/>
        </a:stretch>
      </xdr:blipFill>
      <xdr:spPr>
        <a:xfrm>
          <a:off x="11421534" y="136177865"/>
          <a:ext cx="3041754" cy="1617135"/>
        </a:xfrm>
        <a:prstGeom prst="rect">
          <a:avLst/>
        </a:prstGeom>
      </xdr:spPr>
    </xdr:pic>
    <xdr:clientData/>
  </xdr:twoCellAnchor>
  <xdr:twoCellAnchor editAs="oneCell">
    <xdr:from>
      <xdr:col>7</xdr:col>
      <xdr:colOff>237067</xdr:colOff>
      <xdr:row>616</xdr:row>
      <xdr:rowOff>59265</xdr:rowOff>
    </xdr:from>
    <xdr:to>
      <xdr:col>11</xdr:col>
      <xdr:colOff>603354</xdr:colOff>
      <xdr:row>624</xdr:row>
      <xdr:rowOff>25400</xdr:rowOff>
    </xdr:to>
    <xdr:pic>
      <xdr:nvPicPr>
        <xdr:cNvPr id="79" name="Imagen 78">
          <a:extLst>
            <a:ext uri="{FF2B5EF4-FFF2-40B4-BE49-F238E27FC236}">
              <a16:creationId xmlns:a16="http://schemas.microsoft.com/office/drawing/2014/main" id="{8D140477-B2E2-4003-B7D2-4F832326A187}"/>
            </a:ext>
          </a:extLst>
        </xdr:cNvPr>
        <xdr:cNvPicPr>
          <a:picLocks noChangeAspect="1"/>
        </xdr:cNvPicPr>
      </xdr:nvPicPr>
      <xdr:blipFill>
        <a:blip xmlns:r="http://schemas.openxmlformats.org/officeDocument/2006/relationships" r:embed="rId29"/>
        <a:stretch>
          <a:fillRect/>
        </a:stretch>
      </xdr:blipFill>
      <xdr:spPr>
        <a:xfrm>
          <a:off x="11379200" y="137896598"/>
          <a:ext cx="3041754" cy="1617135"/>
        </a:xfrm>
        <a:prstGeom prst="rect">
          <a:avLst/>
        </a:prstGeom>
      </xdr:spPr>
    </xdr:pic>
    <xdr:clientData/>
  </xdr:twoCellAnchor>
  <xdr:twoCellAnchor editAs="oneCell">
    <xdr:from>
      <xdr:col>7</xdr:col>
      <xdr:colOff>228600</xdr:colOff>
      <xdr:row>625</xdr:row>
      <xdr:rowOff>118534</xdr:rowOff>
    </xdr:from>
    <xdr:to>
      <xdr:col>11</xdr:col>
      <xdr:colOff>594887</xdr:colOff>
      <xdr:row>633</xdr:row>
      <xdr:rowOff>93135</xdr:rowOff>
    </xdr:to>
    <xdr:pic>
      <xdr:nvPicPr>
        <xdr:cNvPr id="80" name="Imagen 79">
          <a:extLst>
            <a:ext uri="{FF2B5EF4-FFF2-40B4-BE49-F238E27FC236}">
              <a16:creationId xmlns:a16="http://schemas.microsoft.com/office/drawing/2014/main" id="{6FF5861F-253F-489F-8674-AE8EAFA38CC6}"/>
            </a:ext>
          </a:extLst>
        </xdr:cNvPr>
        <xdr:cNvPicPr>
          <a:picLocks noChangeAspect="1"/>
        </xdr:cNvPicPr>
      </xdr:nvPicPr>
      <xdr:blipFill>
        <a:blip xmlns:r="http://schemas.openxmlformats.org/officeDocument/2006/relationships" r:embed="rId29"/>
        <a:stretch>
          <a:fillRect/>
        </a:stretch>
      </xdr:blipFill>
      <xdr:spPr>
        <a:xfrm>
          <a:off x="11370733" y="139784667"/>
          <a:ext cx="3041754" cy="1617135"/>
        </a:xfrm>
        <a:prstGeom prst="rect">
          <a:avLst/>
        </a:prstGeom>
      </xdr:spPr>
    </xdr:pic>
    <xdr:clientData/>
  </xdr:twoCellAnchor>
  <xdr:twoCellAnchor editAs="oneCell">
    <xdr:from>
      <xdr:col>7</xdr:col>
      <xdr:colOff>237066</xdr:colOff>
      <xdr:row>634</xdr:row>
      <xdr:rowOff>135466</xdr:rowOff>
    </xdr:from>
    <xdr:to>
      <xdr:col>11</xdr:col>
      <xdr:colOff>603353</xdr:colOff>
      <xdr:row>642</xdr:row>
      <xdr:rowOff>118535</xdr:rowOff>
    </xdr:to>
    <xdr:pic>
      <xdr:nvPicPr>
        <xdr:cNvPr id="81" name="Imagen 80">
          <a:extLst>
            <a:ext uri="{FF2B5EF4-FFF2-40B4-BE49-F238E27FC236}">
              <a16:creationId xmlns:a16="http://schemas.microsoft.com/office/drawing/2014/main" id="{DBC44785-9C19-46B6-A8CD-360E44A5C5C6}"/>
            </a:ext>
          </a:extLst>
        </xdr:cNvPr>
        <xdr:cNvPicPr>
          <a:picLocks noChangeAspect="1"/>
        </xdr:cNvPicPr>
      </xdr:nvPicPr>
      <xdr:blipFill>
        <a:blip xmlns:r="http://schemas.openxmlformats.org/officeDocument/2006/relationships" r:embed="rId29"/>
        <a:stretch>
          <a:fillRect/>
        </a:stretch>
      </xdr:blipFill>
      <xdr:spPr>
        <a:xfrm>
          <a:off x="11379199" y="141621933"/>
          <a:ext cx="3041754" cy="1617135"/>
        </a:xfrm>
        <a:prstGeom prst="rect">
          <a:avLst/>
        </a:prstGeom>
      </xdr:spPr>
    </xdr:pic>
    <xdr:clientData/>
  </xdr:twoCellAnchor>
  <xdr:twoCellAnchor editAs="oneCell">
    <xdr:from>
      <xdr:col>7</xdr:col>
      <xdr:colOff>110066</xdr:colOff>
      <xdr:row>652</xdr:row>
      <xdr:rowOff>59267</xdr:rowOff>
    </xdr:from>
    <xdr:to>
      <xdr:col>11</xdr:col>
      <xdr:colOff>476353</xdr:colOff>
      <xdr:row>659</xdr:row>
      <xdr:rowOff>25402</xdr:rowOff>
    </xdr:to>
    <xdr:pic>
      <xdr:nvPicPr>
        <xdr:cNvPr id="82" name="Imagen 81">
          <a:extLst>
            <a:ext uri="{FF2B5EF4-FFF2-40B4-BE49-F238E27FC236}">
              <a16:creationId xmlns:a16="http://schemas.microsoft.com/office/drawing/2014/main" id="{F8F7871B-83AC-4348-A4D9-93F047261E0B}"/>
            </a:ext>
          </a:extLst>
        </xdr:cNvPr>
        <xdr:cNvPicPr>
          <a:picLocks noChangeAspect="1"/>
        </xdr:cNvPicPr>
      </xdr:nvPicPr>
      <xdr:blipFill>
        <a:blip xmlns:r="http://schemas.openxmlformats.org/officeDocument/2006/relationships" r:embed="rId29"/>
        <a:stretch>
          <a:fillRect/>
        </a:stretch>
      </xdr:blipFill>
      <xdr:spPr>
        <a:xfrm>
          <a:off x="11252199" y="145321867"/>
          <a:ext cx="3041754" cy="1617135"/>
        </a:xfrm>
        <a:prstGeom prst="rect">
          <a:avLst/>
        </a:prstGeom>
      </xdr:spPr>
    </xdr:pic>
    <xdr:clientData/>
  </xdr:twoCellAnchor>
  <xdr:twoCellAnchor editAs="oneCell">
    <xdr:from>
      <xdr:col>7</xdr:col>
      <xdr:colOff>169333</xdr:colOff>
      <xdr:row>643</xdr:row>
      <xdr:rowOff>110068</xdr:rowOff>
    </xdr:from>
    <xdr:to>
      <xdr:col>11</xdr:col>
      <xdr:colOff>535620</xdr:colOff>
      <xdr:row>650</xdr:row>
      <xdr:rowOff>118536</xdr:rowOff>
    </xdr:to>
    <xdr:pic>
      <xdr:nvPicPr>
        <xdr:cNvPr id="83" name="Imagen 82">
          <a:extLst>
            <a:ext uri="{FF2B5EF4-FFF2-40B4-BE49-F238E27FC236}">
              <a16:creationId xmlns:a16="http://schemas.microsoft.com/office/drawing/2014/main" id="{6D19A0F6-F0BA-457C-AB99-EC1011C140F0}"/>
            </a:ext>
          </a:extLst>
        </xdr:cNvPr>
        <xdr:cNvPicPr>
          <a:picLocks noChangeAspect="1"/>
        </xdr:cNvPicPr>
      </xdr:nvPicPr>
      <xdr:blipFill>
        <a:blip xmlns:r="http://schemas.openxmlformats.org/officeDocument/2006/relationships" r:embed="rId29"/>
        <a:stretch>
          <a:fillRect/>
        </a:stretch>
      </xdr:blipFill>
      <xdr:spPr>
        <a:xfrm>
          <a:off x="11311466" y="143408401"/>
          <a:ext cx="3041754" cy="1617135"/>
        </a:xfrm>
        <a:prstGeom prst="rect">
          <a:avLst/>
        </a:prstGeom>
      </xdr:spPr>
    </xdr:pic>
    <xdr:clientData/>
  </xdr:twoCellAnchor>
  <xdr:twoCellAnchor editAs="oneCell">
    <xdr:from>
      <xdr:col>7</xdr:col>
      <xdr:colOff>287866</xdr:colOff>
      <xdr:row>661</xdr:row>
      <xdr:rowOff>67733</xdr:rowOff>
    </xdr:from>
    <xdr:to>
      <xdr:col>11</xdr:col>
      <xdr:colOff>654153</xdr:colOff>
      <xdr:row>669</xdr:row>
      <xdr:rowOff>16935</xdr:rowOff>
    </xdr:to>
    <xdr:pic>
      <xdr:nvPicPr>
        <xdr:cNvPr id="84" name="Imagen 83">
          <a:extLst>
            <a:ext uri="{FF2B5EF4-FFF2-40B4-BE49-F238E27FC236}">
              <a16:creationId xmlns:a16="http://schemas.microsoft.com/office/drawing/2014/main" id="{EFD755A5-590D-4E41-BA65-CDF424C8DE68}"/>
            </a:ext>
          </a:extLst>
        </xdr:cNvPr>
        <xdr:cNvPicPr>
          <a:picLocks noChangeAspect="1"/>
        </xdr:cNvPicPr>
      </xdr:nvPicPr>
      <xdr:blipFill>
        <a:blip xmlns:r="http://schemas.openxmlformats.org/officeDocument/2006/relationships" r:embed="rId29"/>
        <a:stretch>
          <a:fillRect/>
        </a:stretch>
      </xdr:blipFill>
      <xdr:spPr>
        <a:xfrm>
          <a:off x="11429999" y="147336933"/>
          <a:ext cx="3041754" cy="1617135"/>
        </a:xfrm>
        <a:prstGeom prst="rect">
          <a:avLst/>
        </a:prstGeom>
      </xdr:spPr>
    </xdr:pic>
    <xdr:clientData/>
  </xdr:twoCellAnchor>
  <xdr:twoCellAnchor editAs="oneCell">
    <xdr:from>
      <xdr:col>7</xdr:col>
      <xdr:colOff>262466</xdr:colOff>
      <xdr:row>670</xdr:row>
      <xdr:rowOff>59266</xdr:rowOff>
    </xdr:from>
    <xdr:to>
      <xdr:col>11</xdr:col>
      <xdr:colOff>628753</xdr:colOff>
      <xdr:row>678</xdr:row>
      <xdr:rowOff>1</xdr:rowOff>
    </xdr:to>
    <xdr:pic>
      <xdr:nvPicPr>
        <xdr:cNvPr id="85" name="Imagen 84">
          <a:extLst>
            <a:ext uri="{FF2B5EF4-FFF2-40B4-BE49-F238E27FC236}">
              <a16:creationId xmlns:a16="http://schemas.microsoft.com/office/drawing/2014/main" id="{2716D2EE-8C93-4052-B027-95078FCF1276}"/>
            </a:ext>
          </a:extLst>
        </xdr:cNvPr>
        <xdr:cNvPicPr>
          <a:picLocks noChangeAspect="1"/>
        </xdr:cNvPicPr>
      </xdr:nvPicPr>
      <xdr:blipFill>
        <a:blip xmlns:r="http://schemas.openxmlformats.org/officeDocument/2006/relationships" r:embed="rId29"/>
        <a:stretch>
          <a:fillRect/>
        </a:stretch>
      </xdr:blipFill>
      <xdr:spPr>
        <a:xfrm>
          <a:off x="11404599" y="149174199"/>
          <a:ext cx="3041754" cy="1617135"/>
        </a:xfrm>
        <a:prstGeom prst="rect">
          <a:avLst/>
        </a:prstGeom>
      </xdr:spPr>
    </xdr:pic>
    <xdr:clientData/>
  </xdr:twoCellAnchor>
  <xdr:twoCellAnchor editAs="oneCell">
    <xdr:from>
      <xdr:col>7</xdr:col>
      <xdr:colOff>186266</xdr:colOff>
      <xdr:row>679</xdr:row>
      <xdr:rowOff>220133</xdr:rowOff>
    </xdr:from>
    <xdr:to>
      <xdr:col>11</xdr:col>
      <xdr:colOff>552553</xdr:colOff>
      <xdr:row>687</xdr:row>
      <xdr:rowOff>16934</xdr:rowOff>
    </xdr:to>
    <xdr:pic>
      <xdr:nvPicPr>
        <xdr:cNvPr id="86" name="Imagen 85">
          <a:extLst>
            <a:ext uri="{FF2B5EF4-FFF2-40B4-BE49-F238E27FC236}">
              <a16:creationId xmlns:a16="http://schemas.microsoft.com/office/drawing/2014/main" id="{3FE35901-FEF5-4BBC-868D-57A7F1CBD318}"/>
            </a:ext>
          </a:extLst>
        </xdr:cNvPr>
        <xdr:cNvPicPr>
          <a:picLocks noChangeAspect="1"/>
        </xdr:cNvPicPr>
      </xdr:nvPicPr>
      <xdr:blipFill>
        <a:blip xmlns:r="http://schemas.openxmlformats.org/officeDocument/2006/relationships" r:embed="rId29"/>
        <a:stretch>
          <a:fillRect/>
        </a:stretch>
      </xdr:blipFill>
      <xdr:spPr>
        <a:xfrm>
          <a:off x="11328399" y="151189266"/>
          <a:ext cx="3041754" cy="1617135"/>
        </a:xfrm>
        <a:prstGeom prst="rect">
          <a:avLst/>
        </a:prstGeom>
      </xdr:spPr>
    </xdr:pic>
    <xdr:clientData/>
  </xdr:twoCellAnchor>
  <xdr:twoCellAnchor editAs="oneCell">
    <xdr:from>
      <xdr:col>7</xdr:col>
      <xdr:colOff>211667</xdr:colOff>
      <xdr:row>688</xdr:row>
      <xdr:rowOff>186266</xdr:rowOff>
    </xdr:from>
    <xdr:to>
      <xdr:col>11</xdr:col>
      <xdr:colOff>577954</xdr:colOff>
      <xdr:row>696</xdr:row>
      <xdr:rowOff>25401</xdr:rowOff>
    </xdr:to>
    <xdr:pic>
      <xdr:nvPicPr>
        <xdr:cNvPr id="87" name="Imagen 86">
          <a:extLst>
            <a:ext uri="{FF2B5EF4-FFF2-40B4-BE49-F238E27FC236}">
              <a16:creationId xmlns:a16="http://schemas.microsoft.com/office/drawing/2014/main" id="{5FF5A4B4-2831-4D81-98B0-5055FCD75479}"/>
            </a:ext>
          </a:extLst>
        </xdr:cNvPr>
        <xdr:cNvPicPr>
          <a:picLocks noChangeAspect="1"/>
        </xdr:cNvPicPr>
      </xdr:nvPicPr>
      <xdr:blipFill>
        <a:blip xmlns:r="http://schemas.openxmlformats.org/officeDocument/2006/relationships" r:embed="rId29"/>
        <a:stretch>
          <a:fillRect/>
        </a:stretch>
      </xdr:blipFill>
      <xdr:spPr>
        <a:xfrm>
          <a:off x="11353800" y="153153533"/>
          <a:ext cx="3041754" cy="1617135"/>
        </a:xfrm>
        <a:prstGeom prst="rect">
          <a:avLst/>
        </a:prstGeom>
      </xdr:spPr>
    </xdr:pic>
    <xdr:clientData/>
  </xdr:twoCellAnchor>
  <xdr:twoCellAnchor editAs="oneCell">
    <xdr:from>
      <xdr:col>7</xdr:col>
      <xdr:colOff>194734</xdr:colOff>
      <xdr:row>697</xdr:row>
      <xdr:rowOff>194733</xdr:rowOff>
    </xdr:from>
    <xdr:to>
      <xdr:col>11</xdr:col>
      <xdr:colOff>561021</xdr:colOff>
      <xdr:row>704</xdr:row>
      <xdr:rowOff>143935</xdr:rowOff>
    </xdr:to>
    <xdr:pic>
      <xdr:nvPicPr>
        <xdr:cNvPr id="88" name="Imagen 87">
          <a:extLst>
            <a:ext uri="{FF2B5EF4-FFF2-40B4-BE49-F238E27FC236}">
              <a16:creationId xmlns:a16="http://schemas.microsoft.com/office/drawing/2014/main" id="{3D229F90-8281-4D36-BEB3-8F6592FD49CF}"/>
            </a:ext>
          </a:extLst>
        </xdr:cNvPr>
        <xdr:cNvPicPr>
          <a:picLocks noChangeAspect="1"/>
        </xdr:cNvPicPr>
      </xdr:nvPicPr>
      <xdr:blipFill>
        <a:blip xmlns:r="http://schemas.openxmlformats.org/officeDocument/2006/relationships" r:embed="rId29"/>
        <a:stretch>
          <a:fillRect/>
        </a:stretch>
      </xdr:blipFill>
      <xdr:spPr>
        <a:xfrm>
          <a:off x="11336867" y="155117800"/>
          <a:ext cx="3041754" cy="1617135"/>
        </a:xfrm>
        <a:prstGeom prst="rect">
          <a:avLst/>
        </a:prstGeom>
      </xdr:spPr>
    </xdr:pic>
    <xdr:clientData/>
  </xdr:twoCellAnchor>
  <xdr:twoCellAnchor editAs="oneCell">
    <xdr:from>
      <xdr:col>7</xdr:col>
      <xdr:colOff>211668</xdr:colOff>
      <xdr:row>706</xdr:row>
      <xdr:rowOff>42333</xdr:rowOff>
    </xdr:from>
    <xdr:to>
      <xdr:col>11</xdr:col>
      <xdr:colOff>577955</xdr:colOff>
      <xdr:row>714</xdr:row>
      <xdr:rowOff>59268</xdr:rowOff>
    </xdr:to>
    <xdr:pic>
      <xdr:nvPicPr>
        <xdr:cNvPr id="89" name="Imagen 88">
          <a:extLst>
            <a:ext uri="{FF2B5EF4-FFF2-40B4-BE49-F238E27FC236}">
              <a16:creationId xmlns:a16="http://schemas.microsoft.com/office/drawing/2014/main" id="{E94A3EF3-1321-4C08-B2F9-7333576CEAA2}"/>
            </a:ext>
          </a:extLst>
        </xdr:cNvPr>
        <xdr:cNvPicPr>
          <a:picLocks noChangeAspect="1"/>
        </xdr:cNvPicPr>
      </xdr:nvPicPr>
      <xdr:blipFill>
        <a:blip xmlns:r="http://schemas.openxmlformats.org/officeDocument/2006/relationships" r:embed="rId29"/>
        <a:stretch>
          <a:fillRect/>
        </a:stretch>
      </xdr:blipFill>
      <xdr:spPr>
        <a:xfrm>
          <a:off x="11353801" y="156988933"/>
          <a:ext cx="3041754" cy="1617135"/>
        </a:xfrm>
        <a:prstGeom prst="rect">
          <a:avLst/>
        </a:prstGeom>
      </xdr:spPr>
    </xdr:pic>
    <xdr:clientData/>
  </xdr:twoCellAnchor>
  <xdr:twoCellAnchor editAs="oneCell">
    <xdr:from>
      <xdr:col>7</xdr:col>
      <xdr:colOff>143934</xdr:colOff>
      <xdr:row>715</xdr:row>
      <xdr:rowOff>296333</xdr:rowOff>
    </xdr:from>
    <xdr:to>
      <xdr:col>11</xdr:col>
      <xdr:colOff>510221</xdr:colOff>
      <xdr:row>722</xdr:row>
      <xdr:rowOff>110068</xdr:rowOff>
    </xdr:to>
    <xdr:pic>
      <xdr:nvPicPr>
        <xdr:cNvPr id="90" name="Imagen 89">
          <a:extLst>
            <a:ext uri="{FF2B5EF4-FFF2-40B4-BE49-F238E27FC236}">
              <a16:creationId xmlns:a16="http://schemas.microsoft.com/office/drawing/2014/main" id="{EF436364-B929-4F6C-8B23-0FE335A64A56}"/>
            </a:ext>
          </a:extLst>
        </xdr:cNvPr>
        <xdr:cNvPicPr>
          <a:picLocks noChangeAspect="1"/>
        </xdr:cNvPicPr>
      </xdr:nvPicPr>
      <xdr:blipFill>
        <a:blip xmlns:r="http://schemas.openxmlformats.org/officeDocument/2006/relationships" r:embed="rId29"/>
        <a:stretch>
          <a:fillRect/>
        </a:stretch>
      </xdr:blipFill>
      <xdr:spPr>
        <a:xfrm>
          <a:off x="11286067" y="159020933"/>
          <a:ext cx="3041754" cy="1617135"/>
        </a:xfrm>
        <a:prstGeom prst="rect">
          <a:avLst/>
        </a:prstGeom>
      </xdr:spPr>
    </xdr:pic>
    <xdr:clientData/>
  </xdr:twoCellAnchor>
  <xdr:twoCellAnchor editAs="oneCell">
    <xdr:from>
      <xdr:col>7</xdr:col>
      <xdr:colOff>211668</xdr:colOff>
      <xdr:row>724</xdr:row>
      <xdr:rowOff>101599</xdr:rowOff>
    </xdr:from>
    <xdr:to>
      <xdr:col>11</xdr:col>
      <xdr:colOff>577955</xdr:colOff>
      <xdr:row>731</xdr:row>
      <xdr:rowOff>84667</xdr:rowOff>
    </xdr:to>
    <xdr:pic>
      <xdr:nvPicPr>
        <xdr:cNvPr id="91" name="Imagen 90">
          <a:extLst>
            <a:ext uri="{FF2B5EF4-FFF2-40B4-BE49-F238E27FC236}">
              <a16:creationId xmlns:a16="http://schemas.microsoft.com/office/drawing/2014/main" id="{FADE1462-49E9-4AEA-B04D-C75238C4BFF6}"/>
            </a:ext>
          </a:extLst>
        </xdr:cNvPr>
        <xdr:cNvPicPr>
          <a:picLocks noChangeAspect="1"/>
        </xdr:cNvPicPr>
      </xdr:nvPicPr>
      <xdr:blipFill>
        <a:blip xmlns:r="http://schemas.openxmlformats.org/officeDocument/2006/relationships" r:embed="rId29"/>
        <a:stretch>
          <a:fillRect/>
        </a:stretch>
      </xdr:blipFill>
      <xdr:spPr>
        <a:xfrm>
          <a:off x="11353801" y="160985199"/>
          <a:ext cx="3041754" cy="1617135"/>
        </a:xfrm>
        <a:prstGeom prst="rect">
          <a:avLst/>
        </a:prstGeom>
      </xdr:spPr>
    </xdr:pic>
    <xdr:clientData/>
  </xdr:twoCellAnchor>
  <xdr:twoCellAnchor editAs="oneCell">
    <xdr:from>
      <xdr:col>7</xdr:col>
      <xdr:colOff>220135</xdr:colOff>
      <xdr:row>733</xdr:row>
      <xdr:rowOff>118532</xdr:rowOff>
    </xdr:from>
    <xdr:to>
      <xdr:col>11</xdr:col>
      <xdr:colOff>586422</xdr:colOff>
      <xdr:row>741</xdr:row>
      <xdr:rowOff>42334</xdr:rowOff>
    </xdr:to>
    <xdr:pic>
      <xdr:nvPicPr>
        <xdr:cNvPr id="92" name="Imagen 91">
          <a:extLst>
            <a:ext uri="{FF2B5EF4-FFF2-40B4-BE49-F238E27FC236}">
              <a16:creationId xmlns:a16="http://schemas.microsoft.com/office/drawing/2014/main" id="{62017741-7333-4A55-8AE4-C0E6ADCB0498}"/>
            </a:ext>
          </a:extLst>
        </xdr:cNvPr>
        <xdr:cNvPicPr>
          <a:picLocks noChangeAspect="1"/>
        </xdr:cNvPicPr>
      </xdr:nvPicPr>
      <xdr:blipFill>
        <a:blip xmlns:r="http://schemas.openxmlformats.org/officeDocument/2006/relationships" r:embed="rId29"/>
        <a:stretch>
          <a:fillRect/>
        </a:stretch>
      </xdr:blipFill>
      <xdr:spPr>
        <a:xfrm>
          <a:off x="11362268" y="162991799"/>
          <a:ext cx="3041754" cy="1617135"/>
        </a:xfrm>
        <a:prstGeom prst="rect">
          <a:avLst/>
        </a:prstGeom>
      </xdr:spPr>
    </xdr:pic>
    <xdr:clientData/>
  </xdr:twoCellAnchor>
  <xdr:twoCellAnchor editAs="oneCell">
    <xdr:from>
      <xdr:col>7</xdr:col>
      <xdr:colOff>177802</xdr:colOff>
      <xdr:row>742</xdr:row>
      <xdr:rowOff>101599</xdr:rowOff>
    </xdr:from>
    <xdr:to>
      <xdr:col>11</xdr:col>
      <xdr:colOff>544089</xdr:colOff>
      <xdr:row>749</xdr:row>
      <xdr:rowOff>84667</xdr:rowOff>
    </xdr:to>
    <xdr:pic>
      <xdr:nvPicPr>
        <xdr:cNvPr id="93" name="Imagen 92">
          <a:extLst>
            <a:ext uri="{FF2B5EF4-FFF2-40B4-BE49-F238E27FC236}">
              <a16:creationId xmlns:a16="http://schemas.microsoft.com/office/drawing/2014/main" id="{67521213-7FA0-40ED-8954-57FF8CC6F307}"/>
            </a:ext>
          </a:extLst>
        </xdr:cNvPr>
        <xdr:cNvPicPr>
          <a:picLocks noChangeAspect="1"/>
        </xdr:cNvPicPr>
      </xdr:nvPicPr>
      <xdr:blipFill>
        <a:blip xmlns:r="http://schemas.openxmlformats.org/officeDocument/2006/relationships" r:embed="rId29"/>
        <a:stretch>
          <a:fillRect/>
        </a:stretch>
      </xdr:blipFill>
      <xdr:spPr>
        <a:xfrm>
          <a:off x="11319935" y="164845999"/>
          <a:ext cx="3041754" cy="1617135"/>
        </a:xfrm>
        <a:prstGeom prst="rect">
          <a:avLst/>
        </a:prstGeom>
      </xdr:spPr>
    </xdr:pic>
    <xdr:clientData/>
  </xdr:twoCellAnchor>
  <xdr:twoCellAnchor editAs="oneCell">
    <xdr:from>
      <xdr:col>7</xdr:col>
      <xdr:colOff>279402</xdr:colOff>
      <xdr:row>751</xdr:row>
      <xdr:rowOff>143932</xdr:rowOff>
    </xdr:from>
    <xdr:to>
      <xdr:col>11</xdr:col>
      <xdr:colOff>645689</xdr:colOff>
      <xdr:row>759</xdr:row>
      <xdr:rowOff>101601</xdr:rowOff>
    </xdr:to>
    <xdr:pic>
      <xdr:nvPicPr>
        <xdr:cNvPr id="94" name="Imagen 93">
          <a:extLst>
            <a:ext uri="{FF2B5EF4-FFF2-40B4-BE49-F238E27FC236}">
              <a16:creationId xmlns:a16="http://schemas.microsoft.com/office/drawing/2014/main" id="{B537C5CA-D923-423B-80CE-E0D26B3F22DD}"/>
            </a:ext>
          </a:extLst>
        </xdr:cNvPr>
        <xdr:cNvPicPr>
          <a:picLocks noChangeAspect="1"/>
        </xdr:cNvPicPr>
      </xdr:nvPicPr>
      <xdr:blipFill>
        <a:blip xmlns:r="http://schemas.openxmlformats.org/officeDocument/2006/relationships" r:embed="rId29"/>
        <a:stretch>
          <a:fillRect/>
        </a:stretch>
      </xdr:blipFill>
      <xdr:spPr>
        <a:xfrm>
          <a:off x="11421535" y="166877999"/>
          <a:ext cx="3041754" cy="1617135"/>
        </a:xfrm>
        <a:prstGeom prst="rect">
          <a:avLst/>
        </a:prstGeom>
      </xdr:spPr>
    </xdr:pic>
    <xdr:clientData/>
  </xdr:twoCellAnchor>
  <xdr:twoCellAnchor editAs="oneCell">
    <xdr:from>
      <xdr:col>7</xdr:col>
      <xdr:colOff>330203</xdr:colOff>
      <xdr:row>760</xdr:row>
      <xdr:rowOff>245533</xdr:rowOff>
    </xdr:from>
    <xdr:to>
      <xdr:col>12</xdr:col>
      <xdr:colOff>27623</xdr:colOff>
      <xdr:row>767</xdr:row>
      <xdr:rowOff>67734</xdr:rowOff>
    </xdr:to>
    <xdr:pic>
      <xdr:nvPicPr>
        <xdr:cNvPr id="95" name="Imagen 94">
          <a:extLst>
            <a:ext uri="{FF2B5EF4-FFF2-40B4-BE49-F238E27FC236}">
              <a16:creationId xmlns:a16="http://schemas.microsoft.com/office/drawing/2014/main" id="{95F1E3A2-6D06-4A36-82E5-27AE373E8F9D}"/>
            </a:ext>
          </a:extLst>
        </xdr:cNvPr>
        <xdr:cNvPicPr>
          <a:picLocks noChangeAspect="1"/>
        </xdr:cNvPicPr>
      </xdr:nvPicPr>
      <xdr:blipFill>
        <a:blip xmlns:r="http://schemas.openxmlformats.org/officeDocument/2006/relationships" r:embed="rId29"/>
        <a:stretch>
          <a:fillRect/>
        </a:stretch>
      </xdr:blipFill>
      <xdr:spPr>
        <a:xfrm>
          <a:off x="11472336" y="168816866"/>
          <a:ext cx="3041754" cy="1617135"/>
        </a:xfrm>
        <a:prstGeom prst="rect">
          <a:avLst/>
        </a:prstGeom>
      </xdr:spPr>
    </xdr:pic>
    <xdr:clientData/>
  </xdr:twoCellAnchor>
  <xdr:twoCellAnchor editAs="oneCell">
    <xdr:from>
      <xdr:col>7</xdr:col>
      <xdr:colOff>364070</xdr:colOff>
      <xdr:row>769</xdr:row>
      <xdr:rowOff>186266</xdr:rowOff>
    </xdr:from>
    <xdr:to>
      <xdr:col>12</xdr:col>
      <xdr:colOff>61490</xdr:colOff>
      <xdr:row>777</xdr:row>
      <xdr:rowOff>16935</xdr:rowOff>
    </xdr:to>
    <xdr:pic>
      <xdr:nvPicPr>
        <xdr:cNvPr id="96" name="Imagen 95">
          <a:extLst>
            <a:ext uri="{FF2B5EF4-FFF2-40B4-BE49-F238E27FC236}">
              <a16:creationId xmlns:a16="http://schemas.microsoft.com/office/drawing/2014/main" id="{11940E28-1F77-40CC-BD5B-D9986B1C5B9D}"/>
            </a:ext>
          </a:extLst>
        </xdr:cNvPr>
        <xdr:cNvPicPr>
          <a:picLocks noChangeAspect="1"/>
        </xdr:cNvPicPr>
      </xdr:nvPicPr>
      <xdr:blipFill>
        <a:blip xmlns:r="http://schemas.openxmlformats.org/officeDocument/2006/relationships" r:embed="rId29"/>
        <a:stretch>
          <a:fillRect/>
        </a:stretch>
      </xdr:blipFill>
      <xdr:spPr>
        <a:xfrm>
          <a:off x="11506203" y="170908133"/>
          <a:ext cx="3041754" cy="1617135"/>
        </a:xfrm>
        <a:prstGeom prst="rect">
          <a:avLst/>
        </a:prstGeom>
      </xdr:spPr>
    </xdr:pic>
    <xdr:clientData/>
  </xdr:twoCellAnchor>
  <xdr:twoCellAnchor editAs="oneCell">
    <xdr:from>
      <xdr:col>7</xdr:col>
      <xdr:colOff>575734</xdr:colOff>
      <xdr:row>778</xdr:row>
      <xdr:rowOff>406400</xdr:rowOff>
    </xdr:from>
    <xdr:to>
      <xdr:col>11</xdr:col>
      <xdr:colOff>155982</xdr:colOff>
      <xdr:row>784</xdr:row>
      <xdr:rowOff>138123</xdr:rowOff>
    </xdr:to>
    <xdr:pic>
      <xdr:nvPicPr>
        <xdr:cNvPr id="97" name="Imagen 96">
          <a:extLst>
            <a:ext uri="{FF2B5EF4-FFF2-40B4-BE49-F238E27FC236}">
              <a16:creationId xmlns:a16="http://schemas.microsoft.com/office/drawing/2014/main" id="{20BBB501-840F-1BCC-275F-A1FDC8FF8438}"/>
            </a:ext>
          </a:extLst>
        </xdr:cNvPr>
        <xdr:cNvPicPr>
          <a:picLocks noChangeAspect="1"/>
        </xdr:cNvPicPr>
      </xdr:nvPicPr>
      <xdr:blipFill>
        <a:blip xmlns:r="http://schemas.openxmlformats.org/officeDocument/2006/relationships" r:embed="rId30"/>
        <a:stretch>
          <a:fillRect/>
        </a:stretch>
      </xdr:blipFill>
      <xdr:spPr>
        <a:xfrm>
          <a:off x="11717867" y="173092533"/>
          <a:ext cx="2255715" cy="1348857"/>
        </a:xfrm>
        <a:prstGeom prst="rect">
          <a:avLst/>
        </a:prstGeom>
      </xdr:spPr>
    </xdr:pic>
    <xdr:clientData/>
  </xdr:twoCellAnchor>
  <xdr:twoCellAnchor editAs="oneCell">
    <xdr:from>
      <xdr:col>7</xdr:col>
      <xdr:colOff>279401</xdr:colOff>
      <xdr:row>787</xdr:row>
      <xdr:rowOff>135467</xdr:rowOff>
    </xdr:from>
    <xdr:to>
      <xdr:col>11</xdr:col>
      <xdr:colOff>563152</xdr:colOff>
      <xdr:row>794</xdr:row>
      <xdr:rowOff>101600</xdr:rowOff>
    </xdr:to>
    <xdr:pic>
      <xdr:nvPicPr>
        <xdr:cNvPr id="98" name="Imagen 97">
          <a:extLst>
            <a:ext uri="{FF2B5EF4-FFF2-40B4-BE49-F238E27FC236}">
              <a16:creationId xmlns:a16="http://schemas.microsoft.com/office/drawing/2014/main" id="{029CAC4B-3A66-41CA-868F-C849337255CF}"/>
            </a:ext>
          </a:extLst>
        </xdr:cNvPr>
        <xdr:cNvPicPr>
          <a:picLocks noChangeAspect="1"/>
        </xdr:cNvPicPr>
      </xdr:nvPicPr>
      <xdr:blipFill>
        <a:blip xmlns:r="http://schemas.openxmlformats.org/officeDocument/2006/relationships" r:embed="rId30"/>
        <a:stretch>
          <a:fillRect/>
        </a:stretch>
      </xdr:blipFill>
      <xdr:spPr>
        <a:xfrm>
          <a:off x="11421534" y="174972134"/>
          <a:ext cx="2959218" cy="1769533"/>
        </a:xfrm>
        <a:prstGeom prst="rect">
          <a:avLst/>
        </a:prstGeom>
      </xdr:spPr>
    </xdr:pic>
    <xdr:clientData/>
  </xdr:twoCellAnchor>
  <xdr:twoCellAnchor editAs="oneCell">
    <xdr:from>
      <xdr:col>7</xdr:col>
      <xdr:colOff>237068</xdr:colOff>
      <xdr:row>796</xdr:row>
      <xdr:rowOff>135467</xdr:rowOff>
    </xdr:from>
    <xdr:to>
      <xdr:col>11</xdr:col>
      <xdr:colOff>520819</xdr:colOff>
      <xdr:row>803</xdr:row>
      <xdr:rowOff>84667</xdr:rowOff>
    </xdr:to>
    <xdr:pic>
      <xdr:nvPicPr>
        <xdr:cNvPr id="99" name="Imagen 98">
          <a:extLst>
            <a:ext uri="{FF2B5EF4-FFF2-40B4-BE49-F238E27FC236}">
              <a16:creationId xmlns:a16="http://schemas.microsoft.com/office/drawing/2014/main" id="{49023AC8-1D59-43DE-A3A5-75E2634EEF5A}"/>
            </a:ext>
          </a:extLst>
        </xdr:cNvPr>
        <xdr:cNvPicPr>
          <a:picLocks noChangeAspect="1"/>
        </xdr:cNvPicPr>
      </xdr:nvPicPr>
      <xdr:blipFill>
        <a:blip xmlns:r="http://schemas.openxmlformats.org/officeDocument/2006/relationships" r:embed="rId30"/>
        <a:stretch>
          <a:fillRect/>
        </a:stretch>
      </xdr:blipFill>
      <xdr:spPr>
        <a:xfrm>
          <a:off x="11379201" y="177131134"/>
          <a:ext cx="2959218" cy="17695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240754</xdr:colOff>
      <xdr:row>1</xdr:row>
      <xdr:rowOff>7620</xdr:rowOff>
    </xdr:from>
    <xdr:to>
      <xdr:col>16</xdr:col>
      <xdr:colOff>373948</xdr:colOff>
      <xdr:row>40</xdr:row>
      <xdr:rowOff>52074</xdr:rowOff>
    </xdr:to>
    <xdr:pic>
      <xdr:nvPicPr>
        <xdr:cNvPr id="2" name="Imagen 1">
          <a:extLst>
            <a:ext uri="{FF2B5EF4-FFF2-40B4-BE49-F238E27FC236}">
              <a16:creationId xmlns:a16="http://schemas.microsoft.com/office/drawing/2014/main" id="{56FE128B-CCD2-5B3F-E68B-C6CA0F582407}"/>
            </a:ext>
          </a:extLst>
        </xdr:cNvPr>
        <xdr:cNvPicPr>
          <a:picLocks noChangeAspect="1"/>
        </xdr:cNvPicPr>
      </xdr:nvPicPr>
      <xdr:blipFill>
        <a:blip xmlns:r="http://schemas.openxmlformats.org/officeDocument/2006/relationships" r:embed="rId1"/>
        <a:stretch>
          <a:fillRect/>
        </a:stretch>
      </xdr:blipFill>
      <xdr:spPr>
        <a:xfrm>
          <a:off x="11030674" y="281940"/>
          <a:ext cx="5497674" cy="61880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143494</xdr:colOff>
      <xdr:row>35</xdr:row>
      <xdr:rowOff>246166</xdr:rowOff>
    </xdr:from>
    <xdr:to>
      <xdr:col>1</xdr:col>
      <xdr:colOff>2012692</xdr:colOff>
      <xdr:row>36</xdr:row>
      <xdr:rowOff>436665</xdr:rowOff>
    </xdr:to>
    <xdr:grpSp>
      <xdr:nvGrpSpPr>
        <xdr:cNvPr id="2" name="Grupo 1">
          <a:hlinkClick xmlns:r="http://schemas.openxmlformats.org/officeDocument/2006/relationships" r:id="rId1"/>
          <a:extLst>
            <a:ext uri="{FF2B5EF4-FFF2-40B4-BE49-F238E27FC236}">
              <a16:creationId xmlns:a16="http://schemas.microsoft.com/office/drawing/2014/main" id="{73FD0B01-B86F-439C-A25D-A130912A1296}"/>
            </a:ext>
          </a:extLst>
        </xdr:cNvPr>
        <xdr:cNvGrpSpPr/>
      </xdr:nvGrpSpPr>
      <xdr:grpSpPr>
        <a:xfrm>
          <a:off x="324469" y="13390666"/>
          <a:ext cx="1869198" cy="571499"/>
          <a:chOff x="1288677" y="80368588"/>
          <a:chExt cx="1916206" cy="571499"/>
        </a:xfrm>
      </xdr:grpSpPr>
      <xdr:pic>
        <xdr:nvPicPr>
          <xdr:cNvPr id="3" name="Imagen 2">
            <a:extLst>
              <a:ext uri="{FF2B5EF4-FFF2-40B4-BE49-F238E27FC236}">
                <a16:creationId xmlns:a16="http://schemas.microsoft.com/office/drawing/2014/main" id="{1AD2F012-A707-73C4-D753-96EA6D97425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8677" y="80368588"/>
            <a:ext cx="571499" cy="571499"/>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sp macro="" textlink="">
        <xdr:nvSpPr>
          <xdr:cNvPr id="4" name="Rectángulo redondeado 3">
            <a:extLst>
              <a:ext uri="{FF2B5EF4-FFF2-40B4-BE49-F238E27FC236}">
                <a16:creationId xmlns:a16="http://schemas.microsoft.com/office/drawing/2014/main" id="{1722BF4A-D050-3E8C-4448-75D1D6CBE00D}"/>
              </a:ext>
            </a:extLst>
          </xdr:cNvPr>
          <xdr:cNvSpPr/>
        </xdr:nvSpPr>
        <xdr:spPr>
          <a:xfrm>
            <a:off x="1770530" y="80480647"/>
            <a:ext cx="1434353" cy="358589"/>
          </a:xfrm>
          <a:prstGeom prst="roundRect">
            <a:avLst/>
          </a:prstGeom>
          <a:scene3d>
            <a:camera prst="orthographicFront"/>
            <a:lightRig rig="threePt" dir="t"/>
          </a:scene3d>
          <a:sp3d>
            <a:bevelT/>
          </a:sp3d>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es-CO" sz="2000" b="1"/>
              <a:t>INDICE</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PLANTILLAS%20GOBANT\PRESUPUESTO%20GENERAL%20RESTAURANTES%2020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d684529fdad80ef5/PLANTILLAS/PLANTILLA%20PRESUPUESTO%20GENERAL%20202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JVALENCIAGA\Descargas\22.%20PLANTILLA%20PRESUPUESTO%20GENERAL%20HNO%20DANIEL%201209%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APITULOS"/>
      <sheetName val="ACTIVIDADES"/>
      <sheetName val="MEMORIAS"/>
      <sheetName val="APU"/>
      <sheetName val="APA"/>
      <sheetName val="MANO DE OBRA"/>
      <sheetName val="FORM-AU"/>
      <sheetName val="POLIZAS"/>
      <sheetName val="ESTAMPILLAS"/>
      <sheetName val="FORM-INTER"/>
      <sheetName val="FACTOR XDOR"/>
      <sheetName val="POL INTERV"/>
      <sheetName val="PGIO"/>
      <sheetName val="CRONOGRAMA"/>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8">
          <cell r="H8" t="str">
            <v/>
          </cell>
        </row>
        <row r="9">
          <cell r="H9" t="str">
            <v/>
          </cell>
        </row>
        <row r="10">
          <cell r="H10" t="str">
            <v/>
          </cell>
        </row>
        <row r="11">
          <cell r="H11" t="str">
            <v/>
          </cell>
        </row>
        <row r="12">
          <cell r="H12" t="str">
            <v/>
          </cell>
        </row>
      </sheetData>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IOS"/>
      <sheetName val="DATOS INICIALES"/>
      <sheetName val="INDICE"/>
      <sheetName val="RESUMEN"/>
      <sheetName val="CAPITULOS"/>
      <sheetName val="INSUMOS"/>
      <sheetName val="MEMORIAS"/>
      <sheetName val="PRESUPUESTO"/>
      <sheetName val="APU"/>
      <sheetName val="APA"/>
      <sheetName val="MANO DE OBRA"/>
      <sheetName val="FORM-AU"/>
      <sheetName val="POLIZAS"/>
      <sheetName val="ESTAMPILLAS"/>
      <sheetName val="FORM-INTER"/>
      <sheetName val="FACTOR XDOR"/>
      <sheetName val="POL INTERV"/>
      <sheetName val="PGIO"/>
      <sheetName val="CRONOGRAMA"/>
      <sheetName val="CRONOGRAMA (2)"/>
      <sheetName val="CRONO OPCIONAL"/>
    </sheetNames>
    <sheetDataSet>
      <sheetData sheetId="0"/>
      <sheetData sheetId="1"/>
      <sheetData sheetId="2"/>
      <sheetData sheetId="3"/>
      <sheetData sheetId="4"/>
      <sheetData sheetId="5">
        <row r="2">
          <cell r="B2" t="str">
            <v>DEPARTAMENTO DE ANTIOQUIA</v>
          </cell>
        </row>
      </sheetData>
      <sheetData sheetId="6"/>
      <sheetData sheetId="7">
        <row r="2">
          <cell r="B2" t="str">
            <v>DEPARTAMENTO DE ANTIOQUIA</v>
          </cell>
        </row>
      </sheetData>
      <sheetData sheetId="8"/>
      <sheetData sheetId="9"/>
      <sheetData sheetId="10">
        <row r="2">
          <cell r="B2" t="str">
            <v>DEPARTAMENTO DE ANTIOQUIA</v>
          </cell>
        </row>
      </sheetData>
      <sheetData sheetId="11">
        <row r="50">
          <cell r="J50">
            <v>0</v>
          </cell>
        </row>
      </sheetData>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IOS"/>
      <sheetName val="DATOS INICIALES"/>
      <sheetName val="INDICE"/>
      <sheetName val="RESUMEN"/>
      <sheetName val="CAPITULOS"/>
      <sheetName val="INSUMOS"/>
      <sheetName val="MEMORIAS"/>
      <sheetName val="PRESUPUESTO"/>
      <sheetName val="APU"/>
      <sheetName val="APA"/>
      <sheetName val="MANO DE OBRA"/>
      <sheetName val="FORM-AU"/>
      <sheetName val="POLIZAS"/>
      <sheetName val="ESTAMPILLAS"/>
      <sheetName val="FORM-INTER"/>
      <sheetName val="FACTOR XDOR"/>
      <sheetName val="POL INTERV"/>
      <sheetName val="PGIO"/>
      <sheetName val="CRONOGRAMA"/>
      <sheetName val="CRONOGRAMA (2)"/>
      <sheetName val="CRONO OPCION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20">
          <cell r="H20">
            <v>39185253.899999999</v>
          </cell>
        </row>
      </sheetData>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3"/>
  <sheetViews>
    <sheetView showGridLines="0" tabSelected="1" topLeftCell="A33" workbookViewId="0">
      <selection activeCell="D57" sqref="D57"/>
    </sheetView>
  </sheetViews>
  <sheetFormatPr defaultColWidth="8.75" defaultRowHeight="14.25"/>
  <cols>
    <col min="1" max="1" width="22" customWidth="1"/>
    <col min="2" max="2" width="13" customWidth="1"/>
    <col min="3" max="3" width="51" customWidth="1"/>
    <col min="4" max="4" width="21" customWidth="1"/>
    <col min="5" max="5" width="16" customWidth="1"/>
    <col min="7" max="7" width="10.875" bestFit="1" customWidth="1"/>
  </cols>
  <sheetData>
    <row r="1" spans="1:5" ht="24" customHeight="1">
      <c r="A1" s="389" t="s">
        <v>0</v>
      </c>
      <c r="B1" s="389" t="s">
        <v>0</v>
      </c>
      <c r="C1" s="389" t="s">
        <v>0</v>
      </c>
      <c r="D1" s="389" t="s">
        <v>0</v>
      </c>
      <c r="E1" s="389" t="s">
        <v>0</v>
      </c>
    </row>
    <row r="2" spans="1:5" ht="48" customHeight="1">
      <c r="A2" s="389" t="s">
        <v>1</v>
      </c>
      <c r="B2" s="389" t="s">
        <v>1</v>
      </c>
      <c r="C2" s="389" t="s">
        <v>1</v>
      </c>
      <c r="D2" s="389" t="s">
        <v>1</v>
      </c>
      <c r="E2" s="389" t="s">
        <v>1</v>
      </c>
    </row>
    <row r="3" spans="1:5">
      <c r="A3" s="47"/>
      <c r="B3" s="47"/>
      <c r="C3" s="47"/>
      <c r="D3" s="47"/>
      <c r="E3" s="47"/>
    </row>
    <row r="4" spans="1:5" ht="25.5">
      <c r="A4" s="242" t="s">
        <v>2</v>
      </c>
      <c r="B4" s="242" t="s">
        <v>3</v>
      </c>
      <c r="C4" s="242" t="s">
        <v>4</v>
      </c>
      <c r="D4" s="242" t="s">
        <v>5</v>
      </c>
      <c r="E4" s="242" t="s">
        <v>6</v>
      </c>
    </row>
    <row r="5" spans="1:5">
      <c r="A5" s="243" t="s">
        <v>7</v>
      </c>
      <c r="B5" s="243"/>
      <c r="C5" s="243" t="s">
        <v>8</v>
      </c>
      <c r="D5" s="244">
        <f>ROUND(ACTIVIDADES!$H$82,0)</f>
        <v>314940879</v>
      </c>
      <c r="E5" s="245">
        <f t="shared" ref="E5:E29" ca="1" si="0">IFERROR(D5/$D$44,0)</f>
        <v>0.48337892083880496</v>
      </c>
    </row>
    <row r="6" spans="1:5">
      <c r="A6" s="39" t="s">
        <v>7</v>
      </c>
      <c r="B6" s="39" t="s">
        <v>7</v>
      </c>
      <c r="C6" s="39" t="s">
        <v>9</v>
      </c>
      <c r="D6" s="43">
        <f>ROUND(ACTIVIDADES!$H$10,0)</f>
        <v>2672875</v>
      </c>
      <c r="E6" s="46">
        <f t="shared" ca="1" si="0"/>
        <v>4.1023935576080641E-3</v>
      </c>
    </row>
    <row r="7" spans="1:5">
      <c r="A7" s="39" t="s">
        <v>7</v>
      </c>
      <c r="B7" s="39" t="s">
        <v>10</v>
      </c>
      <c r="C7" s="39" t="s">
        <v>11</v>
      </c>
      <c r="D7" s="43">
        <f>ROUND(ACTIVIDADES!$H$32,0)</f>
        <v>123692782</v>
      </c>
      <c r="E7" s="46">
        <f t="shared" ca="1" si="0"/>
        <v>0.18984669017422015</v>
      </c>
    </row>
    <row r="8" spans="1:5">
      <c r="A8" s="39" t="s">
        <v>7</v>
      </c>
      <c r="B8" s="39" t="s">
        <v>12</v>
      </c>
      <c r="C8" s="39" t="s">
        <v>13</v>
      </c>
      <c r="D8" s="43">
        <f>ROUND(ACTIVIDADES!$H$36,0)</f>
        <v>24435515</v>
      </c>
      <c r="E8" s="46">
        <f t="shared" ca="1" si="0"/>
        <v>3.750422272378439E-2</v>
      </c>
    </row>
    <row r="9" spans="1:5">
      <c r="A9" s="39" t="s">
        <v>7</v>
      </c>
      <c r="B9" s="39" t="s">
        <v>14</v>
      </c>
      <c r="C9" s="39" t="s">
        <v>15</v>
      </c>
      <c r="D9" s="43">
        <f>ROUND(ACTIVIDADES!$H$40,0)</f>
        <v>65161995</v>
      </c>
      <c r="E9" s="46">
        <f t="shared" ca="1" si="0"/>
        <v>0.10001221474587808</v>
      </c>
    </row>
    <row r="10" spans="1:5">
      <c r="A10" s="39" t="s">
        <v>7</v>
      </c>
      <c r="B10" s="39" t="s">
        <v>16</v>
      </c>
      <c r="C10" s="39" t="s">
        <v>17</v>
      </c>
      <c r="D10" s="43">
        <f>ROUND(ACTIVIDADES!$H$47,0)</f>
        <v>15079367</v>
      </c>
      <c r="E10" s="46">
        <f t="shared" ca="1" si="0"/>
        <v>2.3144179220355474E-2</v>
      </c>
    </row>
    <row r="11" spans="1:5">
      <c r="A11" s="39" t="s">
        <v>7</v>
      </c>
      <c r="B11" s="39" t="s">
        <v>18</v>
      </c>
      <c r="C11" s="39" t="s">
        <v>19</v>
      </c>
      <c r="D11" s="43">
        <f>ROUND(ACTIVIDADES!$H$52,0)</f>
        <v>58188657</v>
      </c>
      <c r="E11" s="46">
        <f t="shared" ca="1" si="0"/>
        <v>8.9309365983319594E-2</v>
      </c>
    </row>
    <row r="12" spans="1:5">
      <c r="A12" s="39" t="s">
        <v>7</v>
      </c>
      <c r="B12" s="39" t="s">
        <v>20</v>
      </c>
      <c r="C12" s="39" t="s">
        <v>21</v>
      </c>
      <c r="D12" s="43">
        <f>ROUND(ACTIVIDADES!$H$55,0)</f>
        <v>2646275</v>
      </c>
      <c r="E12" s="46">
        <f t="shared" ca="1" si="0"/>
        <v>4.0615672306633412E-3</v>
      </c>
    </row>
    <row r="13" spans="1:5">
      <c r="A13" s="39" t="s">
        <v>7</v>
      </c>
      <c r="B13" s="39" t="s">
        <v>22</v>
      </c>
      <c r="C13" s="39" t="s">
        <v>23</v>
      </c>
      <c r="D13" s="43">
        <f>ROUND(ACTIVIDADES!$H$68,0)</f>
        <v>14757276</v>
      </c>
      <c r="E13" s="46">
        <f t="shared" ca="1" si="0"/>
        <v>2.2649826119906132E-2</v>
      </c>
    </row>
    <row r="14" spans="1:5">
      <c r="A14" s="39" t="s">
        <v>7</v>
      </c>
      <c r="B14" s="39" t="s">
        <v>24</v>
      </c>
      <c r="C14" s="39" t="s">
        <v>25</v>
      </c>
      <c r="D14" s="43">
        <f>ROUND(ACTIVIDADES!$H$72,0)</f>
        <v>1484940</v>
      </c>
      <c r="E14" s="46">
        <f t="shared" ca="1" si="0"/>
        <v>2.2791220275675136E-3</v>
      </c>
    </row>
    <row r="15" spans="1:5">
      <c r="A15" s="39" t="s">
        <v>7</v>
      </c>
      <c r="B15" s="39" t="s">
        <v>26</v>
      </c>
      <c r="C15" s="39" t="s">
        <v>27</v>
      </c>
      <c r="D15" s="43">
        <f>ROUND(ACTIVIDADES!$H$75,0)</f>
        <v>2636771</v>
      </c>
      <c r="E15" s="46">
        <f t="shared" ca="1" si="0"/>
        <v>4.0469802603143703E-3</v>
      </c>
    </row>
    <row r="16" spans="1:5">
      <c r="A16" s="39" t="s">
        <v>7</v>
      </c>
      <c r="B16" s="39" t="s">
        <v>28</v>
      </c>
      <c r="C16" s="39" t="s">
        <v>29</v>
      </c>
      <c r="D16" s="43">
        <f>ROUND(ACTIVIDADES!$H$78,0)</f>
        <v>3810176</v>
      </c>
      <c r="E16" s="46">
        <f t="shared" ca="1" si="0"/>
        <v>5.8479507929674462E-3</v>
      </c>
    </row>
    <row r="17" spans="1:5">
      <c r="A17" s="39" t="s">
        <v>7</v>
      </c>
      <c r="B17" s="39" t="s">
        <v>30</v>
      </c>
      <c r="C17" s="39" t="s">
        <v>31</v>
      </c>
      <c r="D17" s="43">
        <f>ROUND(ACTIVIDADES!$H$81,0)</f>
        <v>374250</v>
      </c>
      <c r="E17" s="46">
        <f t="shared" ca="1" si="0"/>
        <v>5.7440800222038739E-4</v>
      </c>
    </row>
    <row r="18" spans="1:5">
      <c r="A18" s="243" t="s">
        <v>10</v>
      </c>
      <c r="B18" s="243"/>
      <c r="C18" s="243" t="s">
        <v>32</v>
      </c>
      <c r="D18" s="244">
        <f>ROUND(ACTIVIDADES!$H$143,0)</f>
        <v>82603534</v>
      </c>
      <c r="E18" s="245">
        <f t="shared" ca="1" si="0"/>
        <v>0.12678191300276245</v>
      </c>
    </row>
    <row r="19" spans="1:5">
      <c r="A19" s="39" t="s">
        <v>10</v>
      </c>
      <c r="B19" s="39" t="s">
        <v>7</v>
      </c>
      <c r="C19" s="39" t="s">
        <v>9</v>
      </c>
      <c r="D19" s="43">
        <f>ROUND(ACTIVIDADES!$H$87,0)</f>
        <v>251650</v>
      </c>
      <c r="E19" s="46">
        <f t="shared" ca="1" si="0"/>
        <v>3.8623854043756976E-4</v>
      </c>
    </row>
    <row r="20" spans="1:5">
      <c r="A20" s="39" t="s">
        <v>10</v>
      </c>
      <c r="B20" s="39" t="s">
        <v>10</v>
      </c>
      <c r="C20" s="39" t="s">
        <v>33</v>
      </c>
      <c r="D20" s="43">
        <f>ROUND(ACTIVIDADES!$H$91,0)</f>
        <v>641619</v>
      </c>
      <c r="E20" s="46">
        <f t="shared" ca="1" si="0"/>
        <v>9.8477244616337412E-4</v>
      </c>
    </row>
    <row r="21" spans="1:5">
      <c r="A21" s="39" t="s">
        <v>10</v>
      </c>
      <c r="B21" s="39" t="s">
        <v>12</v>
      </c>
      <c r="C21" s="39" t="s">
        <v>34</v>
      </c>
      <c r="D21" s="43">
        <f>ROUND(ACTIVIDADES!$H$99,0)</f>
        <v>15289358</v>
      </c>
      <c r="E21" s="46">
        <f t="shared" ca="1" si="0"/>
        <v>2.3466478514394918E-2</v>
      </c>
    </row>
    <row r="22" spans="1:5">
      <c r="A22" s="39" t="s">
        <v>10</v>
      </c>
      <c r="B22" s="39" t="s">
        <v>14</v>
      </c>
      <c r="C22" s="39" t="s">
        <v>17</v>
      </c>
      <c r="D22" s="43">
        <f>ROUND(ACTIVIDADES!$H$104,0)</f>
        <v>6184061</v>
      </c>
      <c r="E22" s="46">
        <f t="shared" ca="1" si="0"/>
        <v>9.4914472267709042E-3</v>
      </c>
    </row>
    <row r="23" spans="1:5">
      <c r="A23" s="39" t="s">
        <v>10</v>
      </c>
      <c r="B23" s="39" t="s">
        <v>16</v>
      </c>
      <c r="C23" s="39" t="s">
        <v>23</v>
      </c>
      <c r="D23" s="43">
        <f>ROUND(ACTIVIDADES!$H$108,0)</f>
        <v>1102810</v>
      </c>
      <c r="E23" s="46">
        <f t="shared" ca="1" si="0"/>
        <v>1.6926196096958327E-3</v>
      </c>
    </row>
    <row r="24" spans="1:5">
      <c r="A24" s="39" t="s">
        <v>10</v>
      </c>
      <c r="B24" s="39" t="s">
        <v>35</v>
      </c>
      <c r="C24" s="39" t="s">
        <v>36</v>
      </c>
      <c r="D24" s="43">
        <f>ROUND(ACTIVIDADES!$H$113,0)</f>
        <v>1684982</v>
      </c>
      <c r="E24" s="46">
        <f t="shared" ca="1" si="0"/>
        <v>2.5861513544350374E-3</v>
      </c>
    </row>
    <row r="25" spans="1:5">
      <c r="A25" s="39" t="s">
        <v>10</v>
      </c>
      <c r="B25" s="39" t="s">
        <v>37</v>
      </c>
      <c r="C25" s="39" t="s">
        <v>38</v>
      </c>
      <c r="D25" s="43">
        <f>ROUND(ACTIVIDADES!$H$129,0)</f>
        <v>27006943</v>
      </c>
      <c r="E25" s="46">
        <f t="shared" ca="1" si="0"/>
        <v>4.1450912958476617E-2</v>
      </c>
    </row>
    <row r="26" spans="1:5">
      <c r="A26" s="39" t="s">
        <v>10</v>
      </c>
      <c r="B26" s="39" t="s">
        <v>20</v>
      </c>
      <c r="C26" s="39" t="s">
        <v>27</v>
      </c>
      <c r="D26" s="43">
        <f>ROUND(ACTIVIDADES!$H$133,0)</f>
        <v>5711834</v>
      </c>
      <c r="E26" s="46">
        <f t="shared" ca="1" si="0"/>
        <v>8.7666617420293497E-3</v>
      </c>
    </row>
    <row r="27" spans="1:5">
      <c r="A27" s="39" t="s">
        <v>10</v>
      </c>
      <c r="B27" s="39" t="s">
        <v>22</v>
      </c>
      <c r="C27" s="39" t="s">
        <v>29</v>
      </c>
      <c r="D27" s="43">
        <f>ROUND(ACTIVIDADES!$H$137,0)</f>
        <v>1142914</v>
      </c>
      <c r="E27" s="46">
        <f t="shared" ca="1" si="0"/>
        <v>1.754172204274447E-3</v>
      </c>
    </row>
    <row r="28" spans="1:5">
      <c r="A28" s="39" t="s">
        <v>10</v>
      </c>
      <c r="B28" s="39" t="s">
        <v>24</v>
      </c>
      <c r="C28" s="39" t="s">
        <v>39</v>
      </c>
      <c r="D28" s="43">
        <f>ROUND(ACTIVIDADES!$H$142,0)</f>
        <v>23587363</v>
      </c>
      <c r="E28" s="46">
        <f t="shared" ca="1" si="0"/>
        <v>3.6202458406084388E-2</v>
      </c>
    </row>
    <row r="29" spans="1:5">
      <c r="A29" s="390" t="s">
        <v>40</v>
      </c>
      <c r="B29" s="390"/>
      <c r="C29" s="390"/>
      <c r="D29" s="246">
        <f>ROUND(ACTIVIDADES!$H$145,0)</f>
        <v>397544413</v>
      </c>
      <c r="E29" s="247">
        <f t="shared" ca="1" si="0"/>
        <v>0.61016083384156738</v>
      </c>
    </row>
    <row r="30" spans="1:5">
      <c r="A30" s="41"/>
      <c r="B30" s="41"/>
      <c r="C30" s="41"/>
      <c r="D30" s="48"/>
      <c r="E30" s="49"/>
    </row>
    <row r="31" spans="1:5">
      <c r="A31" s="391" t="s">
        <v>41</v>
      </c>
      <c r="B31" s="391"/>
      <c r="C31" s="391"/>
      <c r="D31" s="248">
        <f>ROUND(D29,0)</f>
        <v>397544413</v>
      </c>
      <c r="E31" s="249">
        <f ca="1">IFERROR(D31/$D$44,0)</f>
        <v>0.61016083384156738</v>
      </c>
    </row>
    <row r="32" spans="1:5">
      <c r="A32" s="41"/>
      <c r="B32" s="41"/>
      <c r="C32" s="41"/>
      <c r="D32" s="48"/>
      <c r="E32" s="49"/>
    </row>
    <row r="33" spans="1:8">
      <c r="A33" s="391" t="s">
        <v>42</v>
      </c>
      <c r="B33" s="391"/>
      <c r="C33" s="391"/>
      <c r="D33" s="248">
        <f ca="1">ROUND('FORM-AU'!$K$57,0)</f>
        <v>142153792</v>
      </c>
      <c r="E33" s="249">
        <f ca="1">IFERROR(D33/$D$44,0)</f>
        <v>0.21818109731669336</v>
      </c>
    </row>
    <row r="34" spans="1:8">
      <c r="A34" s="391" t="s">
        <v>43</v>
      </c>
      <c r="B34" s="391"/>
      <c r="C34" s="391"/>
      <c r="D34" s="248">
        <f>ROUND('FORM-AU'!$K$59,0)</f>
        <v>19877221</v>
      </c>
      <c r="E34" s="249">
        <f ca="1">IFERROR(D34/$D$44,0)</f>
        <v>3.0508042229266882E-2</v>
      </c>
    </row>
    <row r="35" spans="1:8">
      <c r="A35" s="41"/>
      <c r="B35" s="41"/>
      <c r="C35" s="41"/>
      <c r="D35" s="48"/>
      <c r="E35" s="49"/>
    </row>
    <row r="36" spans="1:8">
      <c r="A36" s="390" t="s">
        <v>44</v>
      </c>
      <c r="B36" s="390"/>
      <c r="C36" s="390"/>
      <c r="D36" s="246">
        <f ca="1">ROUND(SUM(D31,D33:D34),0)</f>
        <v>559575426</v>
      </c>
      <c r="E36" s="247">
        <f ca="1">IFERROR(D36/$D$44,0)</f>
        <v>0.85884997338752767</v>
      </c>
    </row>
    <row r="37" spans="1:8">
      <c r="A37" s="41"/>
      <c r="B37" s="41"/>
      <c r="C37" s="41"/>
      <c r="D37" s="48"/>
      <c r="E37" s="49"/>
    </row>
    <row r="38" spans="1:8">
      <c r="A38" s="391" t="s">
        <v>45</v>
      </c>
      <c r="B38" s="391"/>
      <c r="C38" s="391"/>
      <c r="D38" s="248">
        <f>ROUND(PGIO!$F$35,0)</f>
        <v>11634058</v>
      </c>
      <c r="E38" s="249">
        <f ca="1">IFERROR(D38/$D$44,0)</f>
        <v>1.7856235173002312E-2</v>
      </c>
    </row>
    <row r="39" spans="1:8">
      <c r="A39" s="391" t="s">
        <v>46</v>
      </c>
      <c r="B39" s="391"/>
      <c r="C39" s="391"/>
      <c r="D39" s="248">
        <f ca="1">ROUND(POLIZAS!G44,0)</f>
        <v>4731360</v>
      </c>
      <c r="E39" s="249">
        <f ca="1">IFERROR(D39/$D$44,0)</f>
        <v>7.26180640049553E-3</v>
      </c>
      <c r="G39" s="22"/>
    </row>
    <row r="40" spans="1:8">
      <c r="A40" s="391" t="s">
        <v>47</v>
      </c>
      <c r="B40" s="391"/>
      <c r="C40" s="391"/>
      <c r="D40" s="248">
        <f ca="1">ROUND('FORM-INTER'!$H$32,0)</f>
        <v>75599522</v>
      </c>
      <c r="E40" s="249">
        <f ca="1">IFERROR(D40/$D$44,0)</f>
        <v>0.11603198503897455</v>
      </c>
      <c r="H40" s="361">
        <f ca="1">+D40/D44</f>
        <v>0.11603198503897455</v>
      </c>
    </row>
    <row r="41" spans="1:8">
      <c r="A41" s="391" t="s">
        <v>48</v>
      </c>
      <c r="B41" s="391"/>
      <c r="C41" s="391"/>
      <c r="D41" s="248">
        <v>0</v>
      </c>
      <c r="E41" s="249">
        <f ca="1">IFERROR(D41/$D$44,0)</f>
        <v>0</v>
      </c>
    </row>
    <row r="42" spans="1:8">
      <c r="A42" s="390" t="s">
        <v>49</v>
      </c>
      <c r="B42" s="390"/>
      <c r="C42" s="390"/>
      <c r="D42" s="246">
        <f ca="1">ROUND(SUM(D38:D41),0)</f>
        <v>91964940</v>
      </c>
      <c r="E42" s="247">
        <f ca="1">IFERROR(D42/$D$44,0)</f>
        <v>0.14115002661247239</v>
      </c>
    </row>
    <row r="43" spans="1:8">
      <c r="A43" s="41"/>
      <c r="B43" s="41"/>
      <c r="C43" s="41"/>
      <c r="D43" s="48"/>
      <c r="E43" s="49"/>
    </row>
    <row r="44" spans="1:8">
      <c r="A44" s="390" t="s">
        <v>50</v>
      </c>
      <c r="B44" s="390"/>
      <c r="C44" s="390"/>
      <c r="D44" s="246">
        <f ca="1">ROUND(D36+D42,0)</f>
        <v>651540366</v>
      </c>
      <c r="E44" s="247">
        <f ca="1">IFERROR(D44/$D$44,0)</f>
        <v>1</v>
      </c>
    </row>
    <row r="46" spans="1:8">
      <c r="A46" s="519" t="s">
        <v>51</v>
      </c>
      <c r="B46" s="519"/>
      <c r="C46" s="519"/>
      <c r="D46" s="519"/>
      <c r="E46" s="519"/>
    </row>
    <row r="47" spans="1:8">
      <c r="A47" s="519" t="s">
        <v>52</v>
      </c>
      <c r="B47" s="519"/>
      <c r="C47" s="519"/>
      <c r="D47" s="92">
        <f ca="1">ROUND(D44*E47,0)</f>
        <v>456078256</v>
      </c>
      <c r="E47" s="74">
        <f>70%</f>
        <v>0.7</v>
      </c>
    </row>
    <row r="48" spans="1:8">
      <c r="A48" s="519" t="s">
        <v>53</v>
      </c>
      <c r="B48" s="519"/>
      <c r="C48" s="519"/>
      <c r="D48" s="92">
        <f ca="1">ROUND(D44-D47,0)</f>
        <v>195462110</v>
      </c>
      <c r="E48" s="74">
        <f>30%</f>
        <v>0.3</v>
      </c>
    </row>
    <row r="49" spans="1:5">
      <c r="A49" s="519" t="s">
        <v>54</v>
      </c>
      <c r="B49" s="519"/>
      <c r="C49" s="519"/>
      <c r="D49" s="388">
        <f ca="1">SUM(D47:D48)</f>
        <v>651540366</v>
      </c>
      <c r="E49" s="74">
        <f>SUM(E47:E48)</f>
        <v>1</v>
      </c>
    </row>
    <row r="51" spans="1:5">
      <c r="D51" s="128"/>
    </row>
    <row r="52" spans="1:5">
      <c r="D52" s="132"/>
    </row>
    <row r="53" spans="1:5">
      <c r="D53" s="132"/>
    </row>
  </sheetData>
  <mergeCells count="17">
    <mergeCell ref="A48:C48"/>
    <mergeCell ref="A49:C49"/>
    <mergeCell ref="A41:C41"/>
    <mergeCell ref="A42:C42"/>
    <mergeCell ref="A44:C44"/>
    <mergeCell ref="A46:E46"/>
    <mergeCell ref="A47:C47"/>
    <mergeCell ref="A34:C34"/>
    <mergeCell ref="A36:C36"/>
    <mergeCell ref="A38:C38"/>
    <mergeCell ref="A39:C39"/>
    <mergeCell ref="A40:C40"/>
    <mergeCell ref="A1:E1"/>
    <mergeCell ref="A2:E2"/>
    <mergeCell ref="A29:C29"/>
    <mergeCell ref="A31:C31"/>
    <mergeCell ref="A33:C3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45"/>
  <sheetViews>
    <sheetView showGridLines="0" zoomScale="90" zoomScaleNormal="90" workbookViewId="0">
      <selection activeCell="F5" sqref="F5:F141"/>
    </sheetView>
  </sheetViews>
  <sheetFormatPr defaultColWidth="8.75" defaultRowHeight="12.75"/>
  <cols>
    <col min="1" max="1" width="11" style="77" customWidth="1"/>
    <col min="2" max="2" width="13" style="77" customWidth="1"/>
    <col min="3" max="3" width="18" style="77" customWidth="1"/>
    <col min="4" max="4" width="84" style="77" customWidth="1"/>
    <col min="5" max="5" width="10" style="77" customWidth="1"/>
    <col min="6" max="6" width="16" style="77" customWidth="1"/>
    <col min="7" max="7" width="19" style="77" customWidth="1"/>
    <col min="8" max="8" width="21" style="77" customWidth="1"/>
    <col min="9" max="16384" width="8.75" style="77"/>
  </cols>
  <sheetData>
    <row r="1" spans="1:8" ht="12.75" customHeight="1">
      <c r="A1" s="387" t="s">
        <v>0</v>
      </c>
      <c r="B1" s="387" t="s">
        <v>0</v>
      </c>
      <c r="C1" s="387" t="s">
        <v>0</v>
      </c>
      <c r="D1" s="387" t="s">
        <v>0</v>
      </c>
      <c r="E1" s="387" t="s">
        <v>0</v>
      </c>
      <c r="F1" s="387" t="s">
        <v>0</v>
      </c>
      <c r="G1" s="387" t="s">
        <v>0</v>
      </c>
      <c r="H1" s="387" t="s">
        <v>0</v>
      </c>
    </row>
    <row r="2" spans="1:8" ht="12.75" customHeight="1">
      <c r="A2" s="387" t="s">
        <v>1</v>
      </c>
      <c r="B2" s="387" t="s">
        <v>1</v>
      </c>
      <c r="C2" s="387" t="s">
        <v>1</v>
      </c>
      <c r="D2" s="387" t="s">
        <v>1</v>
      </c>
      <c r="E2" s="387" t="s">
        <v>1</v>
      </c>
      <c r="F2" s="387" t="s">
        <v>1</v>
      </c>
      <c r="G2" s="387" t="s">
        <v>1</v>
      </c>
      <c r="H2" s="387" t="s">
        <v>1</v>
      </c>
    </row>
    <row r="3" spans="1:8" ht="12.75" customHeight="1">
      <c r="A3" s="387" t="s">
        <v>55</v>
      </c>
      <c r="B3" s="387" t="s">
        <v>55</v>
      </c>
      <c r="C3" s="387" t="s">
        <v>55</v>
      </c>
      <c r="D3" s="387" t="s">
        <v>55</v>
      </c>
      <c r="E3" s="387" t="s">
        <v>55</v>
      </c>
      <c r="F3" s="387" t="s">
        <v>55</v>
      </c>
      <c r="G3" s="387" t="s">
        <v>55</v>
      </c>
      <c r="H3" s="387" t="s">
        <v>55</v>
      </c>
    </row>
    <row r="4" spans="1:8">
      <c r="A4" s="78"/>
      <c r="B4" s="78"/>
      <c r="C4" s="78"/>
      <c r="D4" s="78"/>
      <c r="E4" s="78"/>
      <c r="F4" s="78"/>
      <c r="G4" s="78"/>
      <c r="H4" s="78"/>
    </row>
    <row r="5" spans="1:8">
      <c r="A5" s="79" t="s">
        <v>56</v>
      </c>
      <c r="B5" s="79" t="s">
        <v>3</v>
      </c>
      <c r="C5" s="79" t="s">
        <v>57</v>
      </c>
      <c r="D5" s="79" t="s">
        <v>4</v>
      </c>
      <c r="E5" s="79" t="s">
        <v>58</v>
      </c>
      <c r="F5" s="79" t="s">
        <v>59</v>
      </c>
      <c r="G5" s="79" t="s">
        <v>60</v>
      </c>
      <c r="H5" s="79" t="s">
        <v>61</v>
      </c>
    </row>
    <row r="6" spans="1:8">
      <c r="A6" s="380" t="s">
        <v>62</v>
      </c>
      <c r="B6" s="380" t="s">
        <v>62</v>
      </c>
      <c r="C6" s="380" t="s">
        <v>62</v>
      </c>
      <c r="D6" s="381" t="s">
        <v>62</v>
      </c>
      <c r="E6" s="380" t="s">
        <v>62</v>
      </c>
      <c r="F6" s="382" t="s">
        <v>62</v>
      </c>
      <c r="G6" s="383" t="s">
        <v>62</v>
      </c>
      <c r="H6" s="383" t="s">
        <v>62</v>
      </c>
    </row>
    <row r="7" spans="1:8">
      <c r="A7" s="38" t="s">
        <v>7</v>
      </c>
      <c r="B7" s="38" t="s">
        <v>7</v>
      </c>
      <c r="C7" s="38"/>
      <c r="D7" s="38" t="s">
        <v>9</v>
      </c>
      <c r="E7" s="38"/>
      <c r="F7" s="51"/>
      <c r="G7" s="42"/>
      <c r="H7" s="42"/>
    </row>
    <row r="8" spans="1:8" ht="25.5">
      <c r="A8" s="39" t="s">
        <v>7</v>
      </c>
      <c r="B8" s="39" t="s">
        <v>7</v>
      </c>
      <c r="C8" s="39" t="s">
        <v>63</v>
      </c>
      <c r="D8" s="39" t="s">
        <v>64</v>
      </c>
      <c r="E8" s="39" t="s">
        <v>65</v>
      </c>
      <c r="F8" s="250">
        <v>125</v>
      </c>
      <c r="G8" s="251">
        <f>ROUND(APU!$G$22,0)</f>
        <v>7190</v>
      </c>
      <c r="H8" s="43">
        <f>ROUND(F8*G8,0)</f>
        <v>898750</v>
      </c>
    </row>
    <row r="9" spans="1:8" ht="51">
      <c r="A9" s="39" t="s">
        <v>7</v>
      </c>
      <c r="B9" s="39" t="s">
        <v>7</v>
      </c>
      <c r="C9" s="39" t="s">
        <v>66</v>
      </c>
      <c r="D9" s="39" t="s">
        <v>67</v>
      </c>
      <c r="E9" s="39" t="s">
        <v>68</v>
      </c>
      <c r="F9" s="250">
        <v>57</v>
      </c>
      <c r="G9" s="251">
        <f>ROUND(APU!$G$38,0)</f>
        <v>31125</v>
      </c>
      <c r="H9" s="43">
        <f>ROUND(F9*G9,0)</f>
        <v>1774125</v>
      </c>
    </row>
    <row r="10" spans="1:8">
      <c r="A10" s="367" t="s">
        <v>69</v>
      </c>
      <c r="B10" s="367" t="s">
        <v>69</v>
      </c>
      <c r="C10" s="367" t="s">
        <v>69</v>
      </c>
      <c r="D10" s="368" t="s">
        <v>69</v>
      </c>
      <c r="E10" s="367" t="s">
        <v>69</v>
      </c>
      <c r="F10" s="369" t="s">
        <v>69</v>
      </c>
      <c r="G10" s="370" t="s">
        <v>69</v>
      </c>
      <c r="H10" s="370">
        <f>ROUND(SUM(H8:H9),0)</f>
        <v>2672875</v>
      </c>
    </row>
    <row r="11" spans="1:8">
      <c r="A11" s="38" t="s">
        <v>7</v>
      </c>
      <c r="B11" s="38" t="s">
        <v>10</v>
      </c>
      <c r="C11" s="38"/>
      <c r="D11" s="38" t="s">
        <v>34</v>
      </c>
      <c r="E11" s="38"/>
      <c r="F11" s="51"/>
      <c r="G11" s="42"/>
      <c r="H11" s="42"/>
    </row>
    <row r="12" spans="1:8" ht="51">
      <c r="A12" s="39" t="s">
        <v>7</v>
      </c>
      <c r="B12" s="39" t="s">
        <v>10</v>
      </c>
      <c r="C12" s="39" t="s">
        <v>70</v>
      </c>
      <c r="D12" s="39" t="s">
        <v>71</v>
      </c>
      <c r="E12" s="39" t="s">
        <v>72</v>
      </c>
      <c r="F12" s="250">
        <v>139.97</v>
      </c>
      <c r="G12" s="251">
        <f>ROUND(APU!$G$48,0)</f>
        <v>79360</v>
      </c>
      <c r="H12" s="43">
        <f t="shared" ref="H12:H31" si="0">ROUND(F12*G12,0)</f>
        <v>11108019</v>
      </c>
    </row>
    <row r="13" spans="1:8" ht="38.25">
      <c r="A13" s="39" t="s">
        <v>7</v>
      </c>
      <c r="B13" s="39" t="s">
        <v>10</v>
      </c>
      <c r="C13" s="39" t="s">
        <v>73</v>
      </c>
      <c r="D13" s="39" t="s">
        <v>74</v>
      </c>
      <c r="E13" s="39" t="s">
        <v>72</v>
      </c>
      <c r="F13" s="250">
        <v>85</v>
      </c>
      <c r="G13" s="251">
        <f>ROUND(APU!$G$60,0)</f>
        <v>64239</v>
      </c>
      <c r="H13" s="43">
        <f t="shared" si="0"/>
        <v>5460315</v>
      </c>
    </row>
    <row r="14" spans="1:8" ht="38.25">
      <c r="A14" s="39" t="s">
        <v>7</v>
      </c>
      <c r="B14" s="39" t="s">
        <v>10</v>
      </c>
      <c r="C14" s="39" t="s">
        <v>75</v>
      </c>
      <c r="D14" s="39" t="s">
        <v>76</v>
      </c>
      <c r="E14" s="39" t="s">
        <v>65</v>
      </c>
      <c r="F14" s="250">
        <v>20.059999999999999</v>
      </c>
      <c r="G14" s="251">
        <f>ROUND(APU!$G$75,0)</f>
        <v>55079</v>
      </c>
      <c r="H14" s="43">
        <f t="shared" si="0"/>
        <v>1104885</v>
      </c>
    </row>
    <row r="15" spans="1:8" ht="25.5">
      <c r="A15" s="39" t="s">
        <v>7</v>
      </c>
      <c r="B15" s="39" t="s">
        <v>10</v>
      </c>
      <c r="C15" s="39" t="s">
        <v>77</v>
      </c>
      <c r="D15" s="39" t="s">
        <v>78</v>
      </c>
      <c r="E15" s="39" t="s">
        <v>72</v>
      </c>
      <c r="F15" s="250">
        <v>2.35</v>
      </c>
      <c r="G15" s="251">
        <f>ROUND(APU!$G$95,0)</f>
        <v>1191123</v>
      </c>
      <c r="H15" s="43">
        <f t="shared" si="0"/>
        <v>2799139</v>
      </c>
    </row>
    <row r="16" spans="1:8" ht="25.5">
      <c r="A16" s="39" t="s">
        <v>7</v>
      </c>
      <c r="B16" s="39" t="s">
        <v>10</v>
      </c>
      <c r="C16" s="39" t="s">
        <v>79</v>
      </c>
      <c r="D16" s="39" t="s">
        <v>80</v>
      </c>
      <c r="E16" s="39" t="s">
        <v>72</v>
      </c>
      <c r="F16" s="250">
        <v>3.04</v>
      </c>
      <c r="G16" s="251">
        <f>ROUND(APU!$G$115,0)</f>
        <v>1498064</v>
      </c>
      <c r="H16" s="43">
        <f t="shared" si="0"/>
        <v>4554115</v>
      </c>
    </row>
    <row r="17" spans="1:8" ht="25.5">
      <c r="A17" s="39" t="s">
        <v>7</v>
      </c>
      <c r="B17" s="39" t="s">
        <v>10</v>
      </c>
      <c r="C17" s="39" t="s">
        <v>81</v>
      </c>
      <c r="D17" s="39" t="s">
        <v>82</v>
      </c>
      <c r="E17" s="39" t="s">
        <v>72</v>
      </c>
      <c r="F17" s="250">
        <v>5.76</v>
      </c>
      <c r="G17" s="251">
        <f>ROUND(APU!$G$135,0)</f>
        <v>1283205</v>
      </c>
      <c r="H17" s="43">
        <f t="shared" si="0"/>
        <v>7391261</v>
      </c>
    </row>
    <row r="18" spans="1:8" ht="25.5">
      <c r="A18" s="39" t="s">
        <v>7</v>
      </c>
      <c r="B18" s="39" t="s">
        <v>10</v>
      </c>
      <c r="C18" s="39" t="s">
        <v>83</v>
      </c>
      <c r="D18" s="39" t="s">
        <v>84</v>
      </c>
      <c r="E18" s="39" t="s">
        <v>72</v>
      </c>
      <c r="F18" s="250">
        <v>1.8</v>
      </c>
      <c r="G18" s="251">
        <f>ROUND(APU!$G$155,0)</f>
        <v>1498064</v>
      </c>
      <c r="H18" s="43">
        <f t="shared" si="0"/>
        <v>2696515</v>
      </c>
    </row>
    <row r="19" spans="1:8" ht="25.5">
      <c r="A19" s="39" t="s">
        <v>7</v>
      </c>
      <c r="B19" s="39" t="s">
        <v>10</v>
      </c>
      <c r="C19" s="39" t="s">
        <v>85</v>
      </c>
      <c r="D19" s="39" t="s">
        <v>86</v>
      </c>
      <c r="E19" s="39" t="s">
        <v>72</v>
      </c>
      <c r="F19" s="250">
        <v>5.98</v>
      </c>
      <c r="G19" s="251">
        <f>ROUND(APU!$G$175,0)</f>
        <v>1390635</v>
      </c>
      <c r="H19" s="43">
        <f t="shared" si="0"/>
        <v>8315997</v>
      </c>
    </row>
    <row r="20" spans="1:8" ht="25.5">
      <c r="A20" s="39" t="s">
        <v>7</v>
      </c>
      <c r="B20" s="39" t="s">
        <v>10</v>
      </c>
      <c r="C20" s="39" t="s">
        <v>87</v>
      </c>
      <c r="D20" s="39" t="s">
        <v>88</v>
      </c>
      <c r="E20" s="39" t="s">
        <v>72</v>
      </c>
      <c r="F20" s="250">
        <v>0.82</v>
      </c>
      <c r="G20" s="251">
        <f>ROUND(APU!$G$195,0)</f>
        <v>1498064</v>
      </c>
      <c r="H20" s="43">
        <f t="shared" si="0"/>
        <v>1228412</v>
      </c>
    </row>
    <row r="21" spans="1:8" ht="25.5">
      <c r="A21" s="39" t="s">
        <v>7</v>
      </c>
      <c r="B21" s="39" t="s">
        <v>10</v>
      </c>
      <c r="C21" s="39" t="s">
        <v>89</v>
      </c>
      <c r="D21" s="39" t="s">
        <v>90</v>
      </c>
      <c r="E21" s="39" t="s">
        <v>72</v>
      </c>
      <c r="F21" s="250">
        <v>0.92</v>
      </c>
      <c r="G21" s="251">
        <f>ROUND(APU!$G$215,0)</f>
        <v>1240234</v>
      </c>
      <c r="H21" s="43">
        <f t="shared" si="0"/>
        <v>1141015</v>
      </c>
    </row>
    <row r="22" spans="1:8" ht="25.5">
      <c r="A22" s="39" t="s">
        <v>7</v>
      </c>
      <c r="B22" s="39" t="s">
        <v>10</v>
      </c>
      <c r="C22" s="39" t="s">
        <v>91</v>
      </c>
      <c r="D22" s="39" t="s">
        <v>92</v>
      </c>
      <c r="E22" s="39" t="s">
        <v>72</v>
      </c>
      <c r="F22" s="250">
        <v>1.5</v>
      </c>
      <c r="G22" s="251">
        <f>ROUND(APU!$G$235,0)</f>
        <v>1784541</v>
      </c>
      <c r="H22" s="43">
        <f t="shared" si="0"/>
        <v>2676812</v>
      </c>
    </row>
    <row r="23" spans="1:8" ht="51">
      <c r="A23" s="39" t="s">
        <v>7</v>
      </c>
      <c r="B23" s="39" t="s">
        <v>10</v>
      </c>
      <c r="C23" s="39" t="s">
        <v>93</v>
      </c>
      <c r="D23" s="39" t="s">
        <v>94</v>
      </c>
      <c r="E23" s="39" t="s">
        <v>65</v>
      </c>
      <c r="F23" s="250">
        <v>125</v>
      </c>
      <c r="G23" s="251">
        <f>ROUND(APU!$G$254,0)</f>
        <v>133758</v>
      </c>
      <c r="H23" s="43">
        <f t="shared" si="0"/>
        <v>16719750</v>
      </c>
    </row>
    <row r="24" spans="1:8" ht="51">
      <c r="A24" s="39" t="s">
        <v>7</v>
      </c>
      <c r="B24" s="39" t="s">
        <v>10</v>
      </c>
      <c r="C24" s="39" t="s">
        <v>95</v>
      </c>
      <c r="D24" s="39" t="s">
        <v>96</v>
      </c>
      <c r="E24" s="39" t="s">
        <v>65</v>
      </c>
      <c r="F24" s="250">
        <v>25.2</v>
      </c>
      <c r="G24" s="251">
        <f>ROUND(APU!$G$273,0)</f>
        <v>377337</v>
      </c>
      <c r="H24" s="43">
        <f t="shared" si="0"/>
        <v>9508892</v>
      </c>
    </row>
    <row r="25" spans="1:8" ht="25.5">
      <c r="A25" s="39" t="s">
        <v>7</v>
      </c>
      <c r="B25" s="39" t="s">
        <v>10</v>
      </c>
      <c r="C25" s="39" t="s">
        <v>97</v>
      </c>
      <c r="D25" s="39" t="s">
        <v>98</v>
      </c>
      <c r="E25" s="39" t="s">
        <v>72</v>
      </c>
      <c r="F25" s="250">
        <v>1.45</v>
      </c>
      <c r="G25" s="251">
        <f>ROUND(APU!$G$293,0)</f>
        <v>1927780</v>
      </c>
      <c r="H25" s="43">
        <f t="shared" si="0"/>
        <v>2795281</v>
      </c>
    </row>
    <row r="26" spans="1:8" ht="38.25">
      <c r="A26" s="39" t="s">
        <v>7</v>
      </c>
      <c r="B26" s="39" t="s">
        <v>10</v>
      </c>
      <c r="C26" s="39" t="s">
        <v>99</v>
      </c>
      <c r="D26" s="39" t="s">
        <v>100</v>
      </c>
      <c r="E26" s="39" t="s">
        <v>72</v>
      </c>
      <c r="F26" s="250">
        <v>3.89</v>
      </c>
      <c r="G26" s="251">
        <f>ROUND(APU!$G$313,0)</f>
        <v>1317736</v>
      </c>
      <c r="H26" s="43">
        <f t="shared" si="0"/>
        <v>5125993</v>
      </c>
    </row>
    <row r="27" spans="1:8" ht="25.5">
      <c r="A27" s="39" t="s">
        <v>7</v>
      </c>
      <c r="B27" s="39" t="s">
        <v>10</v>
      </c>
      <c r="C27" s="39" t="s">
        <v>101</v>
      </c>
      <c r="D27" s="39" t="s">
        <v>102</v>
      </c>
      <c r="E27" s="39" t="s">
        <v>103</v>
      </c>
      <c r="F27" s="250">
        <v>2</v>
      </c>
      <c r="G27" s="251">
        <f>ROUND(APU!$G$328,0)</f>
        <v>184861</v>
      </c>
      <c r="H27" s="43">
        <f t="shared" si="0"/>
        <v>369722</v>
      </c>
    </row>
    <row r="28" spans="1:8" ht="38.25">
      <c r="A28" s="39" t="s">
        <v>7</v>
      </c>
      <c r="B28" s="39" t="s">
        <v>10</v>
      </c>
      <c r="C28" s="39" t="s">
        <v>104</v>
      </c>
      <c r="D28" s="39" t="s">
        <v>105</v>
      </c>
      <c r="E28" s="39" t="s">
        <v>72</v>
      </c>
      <c r="F28" s="250">
        <v>75</v>
      </c>
      <c r="G28" s="251">
        <f>ROUND(APU!$G$338,0)</f>
        <v>79360</v>
      </c>
      <c r="H28" s="43">
        <f t="shared" si="0"/>
        <v>5952000</v>
      </c>
    </row>
    <row r="29" spans="1:8" ht="38.25">
      <c r="A29" s="39" t="s">
        <v>7</v>
      </c>
      <c r="B29" s="39" t="s">
        <v>10</v>
      </c>
      <c r="C29" s="39" t="s">
        <v>106</v>
      </c>
      <c r="D29" s="39" t="s">
        <v>107</v>
      </c>
      <c r="E29" s="39" t="s">
        <v>65</v>
      </c>
      <c r="F29" s="250">
        <v>24.6</v>
      </c>
      <c r="G29" s="251">
        <f>ROUND(APU!$G$353,0)</f>
        <v>55079</v>
      </c>
      <c r="H29" s="43">
        <f t="shared" si="0"/>
        <v>1354943</v>
      </c>
    </row>
    <row r="30" spans="1:8" ht="25.5">
      <c r="A30" s="39" t="s">
        <v>7</v>
      </c>
      <c r="B30" s="39" t="s">
        <v>10</v>
      </c>
      <c r="C30" s="39" t="s">
        <v>108</v>
      </c>
      <c r="D30" s="39" t="s">
        <v>109</v>
      </c>
      <c r="E30" s="39" t="s">
        <v>72</v>
      </c>
      <c r="F30" s="250">
        <v>13.84</v>
      </c>
      <c r="G30" s="251">
        <f>ROUND(APU!$G$373,0)</f>
        <v>1135465</v>
      </c>
      <c r="H30" s="43">
        <f t="shared" si="0"/>
        <v>15714836</v>
      </c>
    </row>
    <row r="31" spans="1:8" ht="25.5">
      <c r="A31" s="39" t="s">
        <v>7</v>
      </c>
      <c r="B31" s="39" t="s">
        <v>10</v>
      </c>
      <c r="C31" s="39" t="s">
        <v>110</v>
      </c>
      <c r="D31" s="39" t="s">
        <v>111</v>
      </c>
      <c r="E31" s="39" t="s">
        <v>72</v>
      </c>
      <c r="F31" s="250">
        <v>13.39</v>
      </c>
      <c r="G31" s="251">
        <f>ROUND(APU!$G$393,0)</f>
        <v>1320006</v>
      </c>
      <c r="H31" s="43">
        <f t="shared" si="0"/>
        <v>17674880</v>
      </c>
    </row>
    <row r="32" spans="1:8">
      <c r="A32" s="367" t="s">
        <v>112</v>
      </c>
      <c r="B32" s="367" t="s">
        <v>112</v>
      </c>
      <c r="C32" s="367" t="s">
        <v>112</v>
      </c>
      <c r="D32" s="368" t="s">
        <v>112</v>
      </c>
      <c r="E32" s="367" t="s">
        <v>112</v>
      </c>
      <c r="F32" s="369" t="s">
        <v>112</v>
      </c>
      <c r="G32" s="370" t="s">
        <v>112</v>
      </c>
      <c r="H32" s="370">
        <f>ROUND(SUM(H12:H31),0)</f>
        <v>123692782</v>
      </c>
    </row>
    <row r="33" spans="1:8">
      <c r="A33" s="38" t="s">
        <v>7</v>
      </c>
      <c r="B33" s="38" t="s">
        <v>12</v>
      </c>
      <c r="C33" s="38"/>
      <c r="D33" s="38" t="s">
        <v>13</v>
      </c>
      <c r="E33" s="38"/>
      <c r="F33" s="51"/>
      <c r="G33" s="42"/>
      <c r="H33" s="42"/>
    </row>
    <row r="34" spans="1:8" ht="25.5">
      <c r="A34" s="39" t="s">
        <v>7</v>
      </c>
      <c r="B34" s="39" t="s">
        <v>12</v>
      </c>
      <c r="C34" s="39" t="s">
        <v>113</v>
      </c>
      <c r="D34" s="39" t="s">
        <v>114</v>
      </c>
      <c r="E34" s="39" t="s">
        <v>65</v>
      </c>
      <c r="F34" s="250">
        <v>66.42</v>
      </c>
      <c r="G34" s="251">
        <f>ROUND(APU!$G$410,0)</f>
        <v>191877</v>
      </c>
      <c r="H34" s="43">
        <f>ROUND(F34*G34,0)</f>
        <v>12744470</v>
      </c>
    </row>
    <row r="35" spans="1:8" ht="25.5">
      <c r="A35" s="39" t="s">
        <v>7</v>
      </c>
      <c r="B35" s="39" t="s">
        <v>12</v>
      </c>
      <c r="C35" s="39" t="s">
        <v>115</v>
      </c>
      <c r="D35" s="39" t="s">
        <v>116</v>
      </c>
      <c r="E35" s="39" t="s">
        <v>65</v>
      </c>
      <c r="F35" s="250">
        <v>59.17</v>
      </c>
      <c r="G35" s="251">
        <f>ROUND(APU!$G$427,0)</f>
        <v>197584</v>
      </c>
      <c r="H35" s="43">
        <f>ROUND(F35*G35,0)</f>
        <v>11691045</v>
      </c>
    </row>
    <row r="36" spans="1:8">
      <c r="A36" s="367" t="s">
        <v>117</v>
      </c>
      <c r="B36" s="367" t="s">
        <v>117</v>
      </c>
      <c r="C36" s="367" t="s">
        <v>117</v>
      </c>
      <c r="D36" s="368" t="s">
        <v>117</v>
      </c>
      <c r="E36" s="367" t="s">
        <v>117</v>
      </c>
      <c r="F36" s="369" t="s">
        <v>117</v>
      </c>
      <c r="G36" s="370" t="s">
        <v>117</v>
      </c>
      <c r="H36" s="370">
        <f>ROUND(SUM(H34:H35),0)</f>
        <v>24435515</v>
      </c>
    </row>
    <row r="37" spans="1:8">
      <c r="A37" s="38" t="s">
        <v>7</v>
      </c>
      <c r="B37" s="38" t="s">
        <v>14</v>
      </c>
      <c r="C37" s="38"/>
      <c r="D37" s="38" t="s">
        <v>15</v>
      </c>
      <c r="E37" s="38"/>
      <c r="F37" s="51"/>
      <c r="G37" s="42"/>
      <c r="H37" s="42"/>
    </row>
    <row r="38" spans="1:8" ht="38.25">
      <c r="A38" s="39" t="s">
        <v>7</v>
      </c>
      <c r="B38" s="39" t="s">
        <v>14</v>
      </c>
      <c r="C38" s="39" t="s">
        <v>118</v>
      </c>
      <c r="D38" s="39" t="s">
        <v>119</v>
      </c>
      <c r="E38" s="39" t="s">
        <v>120</v>
      </c>
      <c r="F38" s="250">
        <v>5475</v>
      </c>
      <c r="G38" s="251">
        <f>ROUND(APU!$G$443,0)</f>
        <v>11210</v>
      </c>
      <c r="H38" s="43">
        <f>ROUND(F38*G38,0)</f>
        <v>61374750</v>
      </c>
    </row>
    <row r="39" spans="1:8" ht="38.25">
      <c r="A39" s="39" t="s">
        <v>7</v>
      </c>
      <c r="B39" s="39" t="s">
        <v>14</v>
      </c>
      <c r="C39" s="39" t="s">
        <v>121</v>
      </c>
      <c r="D39" s="39" t="s">
        <v>122</v>
      </c>
      <c r="E39" s="39" t="s">
        <v>103</v>
      </c>
      <c r="F39" s="250">
        <v>15</v>
      </c>
      <c r="G39" s="251">
        <f>ROUND(APU!$G$458,0)</f>
        <v>252483</v>
      </c>
      <c r="H39" s="43">
        <f>ROUND(F39*G39,0)</f>
        <v>3787245</v>
      </c>
    </row>
    <row r="40" spans="1:8">
      <c r="A40" s="367" t="s">
        <v>123</v>
      </c>
      <c r="B40" s="367" t="s">
        <v>123</v>
      </c>
      <c r="C40" s="367" t="s">
        <v>123</v>
      </c>
      <c r="D40" s="368" t="s">
        <v>123</v>
      </c>
      <c r="E40" s="367" t="s">
        <v>123</v>
      </c>
      <c r="F40" s="369" t="s">
        <v>123</v>
      </c>
      <c r="G40" s="370" t="s">
        <v>123</v>
      </c>
      <c r="H40" s="370">
        <f>ROUND(SUM(H38:H39),0)</f>
        <v>65161995</v>
      </c>
    </row>
    <row r="41" spans="1:8">
      <c r="A41" s="38" t="s">
        <v>7</v>
      </c>
      <c r="B41" s="38" t="s">
        <v>16</v>
      </c>
      <c r="C41" s="38"/>
      <c r="D41" s="38" t="s">
        <v>17</v>
      </c>
      <c r="E41" s="38"/>
      <c r="F41" s="51"/>
      <c r="G41" s="42"/>
      <c r="H41" s="42"/>
    </row>
    <row r="42" spans="1:8" ht="25.5">
      <c r="A42" s="39" t="s">
        <v>7</v>
      </c>
      <c r="B42" s="39" t="s">
        <v>16</v>
      </c>
      <c r="C42" s="39" t="s">
        <v>124</v>
      </c>
      <c r="D42" s="39" t="s">
        <v>125</v>
      </c>
      <c r="E42" s="39" t="s">
        <v>68</v>
      </c>
      <c r="F42" s="250">
        <v>32.6</v>
      </c>
      <c r="G42" s="251">
        <f>ROUND(APU!$G$473,0)</f>
        <v>88711</v>
      </c>
      <c r="H42" s="43">
        <f>ROUND(F42*G42,0)</f>
        <v>2891979</v>
      </c>
    </row>
    <row r="43" spans="1:8" ht="25.5">
      <c r="A43" s="39" t="s">
        <v>7</v>
      </c>
      <c r="B43" s="39" t="s">
        <v>16</v>
      </c>
      <c r="C43" s="39" t="s">
        <v>126</v>
      </c>
      <c r="D43" s="39" t="s">
        <v>127</v>
      </c>
      <c r="E43" s="39" t="s">
        <v>65</v>
      </c>
      <c r="F43" s="250">
        <v>51</v>
      </c>
      <c r="G43" s="251">
        <f>ROUND(APU!$G$488,0)</f>
        <v>65777</v>
      </c>
      <c r="H43" s="43">
        <f>ROUND(F43*G43,0)</f>
        <v>3354627</v>
      </c>
    </row>
    <row r="44" spans="1:8" ht="25.5">
      <c r="A44" s="39" t="s">
        <v>7</v>
      </c>
      <c r="B44" s="39" t="s">
        <v>16</v>
      </c>
      <c r="C44" s="39" t="s">
        <v>128</v>
      </c>
      <c r="D44" s="39" t="s">
        <v>129</v>
      </c>
      <c r="E44" s="39" t="s">
        <v>68</v>
      </c>
      <c r="F44" s="250">
        <v>6</v>
      </c>
      <c r="G44" s="251">
        <f>ROUND(APU!$G$508,0)</f>
        <v>94722</v>
      </c>
      <c r="H44" s="43">
        <f>ROUND(F44*G44,0)</f>
        <v>568332</v>
      </c>
    </row>
    <row r="45" spans="1:8" ht="25.5">
      <c r="A45" s="39" t="s">
        <v>7</v>
      </c>
      <c r="B45" s="39" t="s">
        <v>16</v>
      </c>
      <c r="C45" s="39" t="s">
        <v>130</v>
      </c>
      <c r="D45" s="39" t="s">
        <v>131</v>
      </c>
      <c r="E45" s="39" t="s">
        <v>65</v>
      </c>
      <c r="F45" s="250">
        <v>34.4</v>
      </c>
      <c r="G45" s="251">
        <f>ROUND(APU!$G$523,0)</f>
        <v>124478</v>
      </c>
      <c r="H45" s="43">
        <f>ROUND(F45*G45,0)</f>
        <v>4282043</v>
      </c>
    </row>
    <row r="46" spans="1:8" ht="25.5">
      <c r="A46" s="39" t="s">
        <v>7</v>
      </c>
      <c r="B46" s="39" t="s">
        <v>16</v>
      </c>
      <c r="C46" s="39" t="s">
        <v>132</v>
      </c>
      <c r="D46" s="39" t="s">
        <v>133</v>
      </c>
      <c r="E46" s="39" t="s">
        <v>65</v>
      </c>
      <c r="F46" s="250">
        <v>102</v>
      </c>
      <c r="G46" s="251">
        <f>ROUND(APU!$G$537,0)</f>
        <v>39043</v>
      </c>
      <c r="H46" s="43">
        <f>ROUND(F46*G46,0)</f>
        <v>3982386</v>
      </c>
    </row>
    <row r="47" spans="1:8">
      <c r="A47" s="367" t="s">
        <v>134</v>
      </c>
      <c r="B47" s="367" t="s">
        <v>134</v>
      </c>
      <c r="C47" s="367" t="s">
        <v>134</v>
      </c>
      <c r="D47" s="368" t="s">
        <v>134</v>
      </c>
      <c r="E47" s="367" t="s">
        <v>134</v>
      </c>
      <c r="F47" s="369" t="s">
        <v>134</v>
      </c>
      <c r="G47" s="370" t="s">
        <v>134</v>
      </c>
      <c r="H47" s="370">
        <f>ROUND(SUM(H42:H46),0)</f>
        <v>15079367</v>
      </c>
    </row>
    <row r="48" spans="1:8">
      <c r="A48" s="38" t="s">
        <v>7</v>
      </c>
      <c r="B48" s="38" t="s">
        <v>18</v>
      </c>
      <c r="C48" s="38"/>
      <c r="D48" s="38" t="s">
        <v>19</v>
      </c>
      <c r="E48" s="38"/>
      <c r="F48" s="51"/>
      <c r="G48" s="42"/>
      <c r="H48" s="42"/>
    </row>
    <row r="49" spans="1:8" ht="51">
      <c r="A49" s="39" t="s">
        <v>7</v>
      </c>
      <c r="B49" s="39" t="s">
        <v>18</v>
      </c>
      <c r="C49" s="39" t="s">
        <v>35</v>
      </c>
      <c r="D49" s="39" t="s">
        <v>135</v>
      </c>
      <c r="E49" s="39" t="s">
        <v>120</v>
      </c>
      <c r="F49" s="250">
        <v>960</v>
      </c>
      <c r="G49" s="251">
        <f>ROUND(APU!$G$556,0)</f>
        <v>24162</v>
      </c>
      <c r="H49" s="43">
        <f>ROUND(F49*G49,0)</f>
        <v>23195520</v>
      </c>
    </row>
    <row r="50" spans="1:8" ht="38.25">
      <c r="A50" s="39" t="s">
        <v>7</v>
      </c>
      <c r="B50" s="39" t="s">
        <v>18</v>
      </c>
      <c r="C50" s="39" t="s">
        <v>37</v>
      </c>
      <c r="D50" s="39" t="s">
        <v>136</v>
      </c>
      <c r="E50" s="39" t="s">
        <v>68</v>
      </c>
      <c r="F50" s="250">
        <v>32.4</v>
      </c>
      <c r="G50" s="251">
        <f>ROUND(APU!$G$577,0)</f>
        <v>44422</v>
      </c>
      <c r="H50" s="43">
        <f>ROUND(F50*G50,0)</f>
        <v>1439273</v>
      </c>
    </row>
    <row r="51" spans="1:8" ht="38.25">
      <c r="A51" s="39" t="s">
        <v>7</v>
      </c>
      <c r="B51" s="39" t="s">
        <v>18</v>
      </c>
      <c r="C51" s="39" t="s">
        <v>137</v>
      </c>
      <c r="D51" s="39" t="s">
        <v>138</v>
      </c>
      <c r="E51" s="39" t="s">
        <v>65</v>
      </c>
      <c r="F51" s="250">
        <v>94</v>
      </c>
      <c r="G51" s="251">
        <f>ROUND(APU!$G$593,0)</f>
        <v>356956</v>
      </c>
      <c r="H51" s="43">
        <f>ROUND(F51*G51,0)</f>
        <v>33553864</v>
      </c>
    </row>
    <row r="52" spans="1:8">
      <c r="A52" s="367" t="s">
        <v>139</v>
      </c>
      <c r="B52" s="367" t="s">
        <v>139</v>
      </c>
      <c r="C52" s="367" t="s">
        <v>139</v>
      </c>
      <c r="D52" s="368" t="s">
        <v>139</v>
      </c>
      <c r="E52" s="367" t="s">
        <v>139</v>
      </c>
      <c r="F52" s="369" t="s">
        <v>139</v>
      </c>
      <c r="G52" s="370" t="s">
        <v>139</v>
      </c>
      <c r="H52" s="370">
        <f>ROUND(SUM(H49:H51),0)</f>
        <v>58188657</v>
      </c>
    </row>
    <row r="53" spans="1:8">
      <c r="A53" s="38" t="s">
        <v>7</v>
      </c>
      <c r="B53" s="38" t="s">
        <v>20</v>
      </c>
      <c r="C53" s="38"/>
      <c r="D53" s="38" t="s">
        <v>21</v>
      </c>
      <c r="E53" s="38"/>
      <c r="F53" s="51"/>
      <c r="G53" s="42"/>
      <c r="H53" s="42"/>
    </row>
    <row r="54" spans="1:8" ht="38.25">
      <c r="A54" s="39" t="s">
        <v>7</v>
      </c>
      <c r="B54" s="39" t="s">
        <v>20</v>
      </c>
      <c r="C54" s="39" t="s">
        <v>140</v>
      </c>
      <c r="D54" s="39" t="s">
        <v>141</v>
      </c>
      <c r="E54" s="39" t="s">
        <v>65</v>
      </c>
      <c r="F54" s="250">
        <v>25</v>
      </c>
      <c r="G54" s="251">
        <f>ROUND(APU!$G$607,0)</f>
        <v>105851</v>
      </c>
      <c r="H54" s="43">
        <f>ROUND(F54*G54,0)</f>
        <v>2646275</v>
      </c>
    </row>
    <row r="55" spans="1:8">
      <c r="A55" s="367" t="s">
        <v>142</v>
      </c>
      <c r="B55" s="367" t="s">
        <v>142</v>
      </c>
      <c r="C55" s="367" t="s">
        <v>142</v>
      </c>
      <c r="D55" s="368" t="s">
        <v>142</v>
      </c>
      <c r="E55" s="367" t="s">
        <v>142</v>
      </c>
      <c r="F55" s="369" t="s">
        <v>142</v>
      </c>
      <c r="G55" s="370" t="s">
        <v>142</v>
      </c>
      <c r="H55" s="370">
        <f>ROUND(SUM(H54:H54),0)</f>
        <v>2646275</v>
      </c>
    </row>
    <row r="56" spans="1:8">
      <c r="A56" s="38" t="s">
        <v>7</v>
      </c>
      <c r="B56" s="38" t="s">
        <v>22</v>
      </c>
      <c r="C56" s="38"/>
      <c r="D56" s="38" t="s">
        <v>23</v>
      </c>
      <c r="E56" s="38"/>
      <c r="F56" s="51"/>
      <c r="G56" s="42"/>
      <c r="H56" s="42"/>
    </row>
    <row r="57" spans="1:8" ht="25.5">
      <c r="A57" s="39" t="s">
        <v>7</v>
      </c>
      <c r="B57" s="39" t="s">
        <v>22</v>
      </c>
      <c r="C57" s="39" t="s">
        <v>143</v>
      </c>
      <c r="D57" s="39" t="s">
        <v>144</v>
      </c>
      <c r="E57" s="39" t="s">
        <v>103</v>
      </c>
      <c r="F57" s="250">
        <v>10</v>
      </c>
      <c r="G57" s="251">
        <f>ROUND(APU!$G$639,0)</f>
        <v>256678</v>
      </c>
      <c r="H57" s="43">
        <f t="shared" ref="H57:H67" si="1">ROUND(F57*G57,0)</f>
        <v>2566780</v>
      </c>
    </row>
    <row r="58" spans="1:8" ht="25.5">
      <c r="A58" s="39" t="s">
        <v>7</v>
      </c>
      <c r="B58" s="39" t="s">
        <v>22</v>
      </c>
      <c r="C58" s="39" t="s">
        <v>145</v>
      </c>
      <c r="D58" s="39" t="s">
        <v>146</v>
      </c>
      <c r="E58" s="39" t="s">
        <v>103</v>
      </c>
      <c r="F58" s="250">
        <v>4</v>
      </c>
      <c r="G58" s="251">
        <f>ROUND(APU!$G$671,0)</f>
        <v>258423</v>
      </c>
      <c r="H58" s="43">
        <f t="shared" si="1"/>
        <v>1033692</v>
      </c>
    </row>
    <row r="59" spans="1:8" ht="25.5">
      <c r="A59" s="39" t="s">
        <v>7</v>
      </c>
      <c r="B59" s="39" t="s">
        <v>22</v>
      </c>
      <c r="C59" s="39" t="s">
        <v>147</v>
      </c>
      <c r="D59" s="39" t="s">
        <v>148</v>
      </c>
      <c r="E59" s="39" t="s">
        <v>103</v>
      </c>
      <c r="F59" s="250">
        <v>10</v>
      </c>
      <c r="G59" s="251">
        <f>ROUND(APU!$G$701,0)</f>
        <v>308771</v>
      </c>
      <c r="H59" s="43">
        <f t="shared" si="1"/>
        <v>3087710</v>
      </c>
    </row>
    <row r="60" spans="1:8" ht="25.5">
      <c r="A60" s="39" t="s">
        <v>7</v>
      </c>
      <c r="B60" s="39" t="s">
        <v>22</v>
      </c>
      <c r="C60" s="39" t="s">
        <v>149</v>
      </c>
      <c r="D60" s="39" t="s">
        <v>150</v>
      </c>
      <c r="E60" s="39" t="s">
        <v>68</v>
      </c>
      <c r="F60" s="250">
        <v>25</v>
      </c>
      <c r="G60" s="251">
        <f>ROUND(APU!$G$728,0)</f>
        <v>73467</v>
      </c>
      <c r="H60" s="43">
        <f t="shared" si="1"/>
        <v>1836675</v>
      </c>
    </row>
    <row r="61" spans="1:8" ht="25.5">
      <c r="A61" s="39" t="s">
        <v>7</v>
      </c>
      <c r="B61" s="39" t="s">
        <v>22</v>
      </c>
      <c r="C61" s="39" t="s">
        <v>151</v>
      </c>
      <c r="D61" s="39" t="s">
        <v>152</v>
      </c>
      <c r="E61" s="39" t="s">
        <v>103</v>
      </c>
      <c r="F61" s="250">
        <v>4</v>
      </c>
      <c r="G61" s="251">
        <f>ROUND(APU!$G$749,0)</f>
        <v>335069</v>
      </c>
      <c r="H61" s="43">
        <f t="shared" si="1"/>
        <v>1340276</v>
      </c>
    </row>
    <row r="62" spans="1:8" ht="25.5">
      <c r="A62" s="39" t="s">
        <v>7</v>
      </c>
      <c r="B62" s="39" t="s">
        <v>22</v>
      </c>
      <c r="C62" s="39" t="s">
        <v>153</v>
      </c>
      <c r="D62" s="39" t="s">
        <v>154</v>
      </c>
      <c r="E62" s="39" t="s">
        <v>103</v>
      </c>
      <c r="F62" s="250">
        <v>4</v>
      </c>
      <c r="G62" s="251">
        <f>ROUND(APU!$G$769,0)</f>
        <v>49155</v>
      </c>
      <c r="H62" s="43">
        <f t="shared" si="1"/>
        <v>196620</v>
      </c>
    </row>
    <row r="63" spans="1:8" ht="25.5">
      <c r="A63" s="39" t="s">
        <v>7</v>
      </c>
      <c r="B63" s="39" t="s">
        <v>22</v>
      </c>
      <c r="C63" s="39" t="s">
        <v>155</v>
      </c>
      <c r="D63" s="39" t="s">
        <v>156</v>
      </c>
      <c r="E63" s="39" t="s">
        <v>68</v>
      </c>
      <c r="F63" s="250">
        <v>6</v>
      </c>
      <c r="G63" s="251">
        <f>ROUND(APU!$G$790,0)</f>
        <v>89907</v>
      </c>
      <c r="H63" s="43">
        <f t="shared" si="1"/>
        <v>539442</v>
      </c>
    </row>
    <row r="64" spans="1:8" ht="25.5">
      <c r="A64" s="39" t="s">
        <v>7</v>
      </c>
      <c r="B64" s="39" t="s">
        <v>22</v>
      </c>
      <c r="C64" s="39" t="s">
        <v>157</v>
      </c>
      <c r="D64" s="39" t="s">
        <v>158</v>
      </c>
      <c r="E64" s="39" t="s">
        <v>103</v>
      </c>
      <c r="F64" s="250">
        <v>1</v>
      </c>
      <c r="G64" s="251">
        <f>ROUND(APU!$G$810,0)</f>
        <v>538231</v>
      </c>
      <c r="H64" s="43">
        <f t="shared" si="1"/>
        <v>538231</v>
      </c>
    </row>
    <row r="65" spans="1:8" ht="25.5">
      <c r="A65" s="39" t="s">
        <v>7</v>
      </c>
      <c r="B65" s="39" t="s">
        <v>22</v>
      </c>
      <c r="C65" s="39" t="s">
        <v>159</v>
      </c>
      <c r="D65" s="39" t="s">
        <v>160</v>
      </c>
      <c r="E65" s="39" t="s">
        <v>103</v>
      </c>
      <c r="F65" s="250">
        <v>1</v>
      </c>
      <c r="G65" s="251">
        <f>ROUND(APU!$G$829,0)</f>
        <v>199761</v>
      </c>
      <c r="H65" s="43">
        <f t="shared" si="1"/>
        <v>199761</v>
      </c>
    </row>
    <row r="66" spans="1:8" ht="38.25">
      <c r="A66" s="39" t="s">
        <v>7</v>
      </c>
      <c r="B66" s="39" t="s">
        <v>22</v>
      </c>
      <c r="C66" s="39" t="s">
        <v>161</v>
      </c>
      <c r="D66" s="39" t="s">
        <v>162</v>
      </c>
      <c r="E66" s="39" t="s">
        <v>103</v>
      </c>
      <c r="F66" s="250">
        <v>4</v>
      </c>
      <c r="G66" s="251">
        <f>ROUND(APU!$G$843,0)</f>
        <v>589691</v>
      </c>
      <c r="H66" s="43">
        <f t="shared" si="1"/>
        <v>2358764</v>
      </c>
    </row>
    <row r="67" spans="1:8" ht="25.5">
      <c r="A67" s="39" t="s">
        <v>7</v>
      </c>
      <c r="B67" s="39" t="s">
        <v>22</v>
      </c>
      <c r="C67" s="39" t="s">
        <v>163</v>
      </c>
      <c r="D67" s="39" t="s">
        <v>164</v>
      </c>
      <c r="E67" s="39" t="s">
        <v>68</v>
      </c>
      <c r="F67" s="250">
        <v>25</v>
      </c>
      <c r="G67" s="251">
        <f>ROUND(APU!$G$869,0)</f>
        <v>42373</v>
      </c>
      <c r="H67" s="43">
        <f t="shared" si="1"/>
        <v>1059325</v>
      </c>
    </row>
    <row r="68" spans="1:8">
      <c r="A68" s="367" t="s">
        <v>165</v>
      </c>
      <c r="B68" s="367" t="s">
        <v>165</v>
      </c>
      <c r="C68" s="367" t="s">
        <v>165</v>
      </c>
      <c r="D68" s="368" t="s">
        <v>165</v>
      </c>
      <c r="E68" s="367" t="s">
        <v>165</v>
      </c>
      <c r="F68" s="369" t="s">
        <v>165</v>
      </c>
      <c r="G68" s="370" t="s">
        <v>165</v>
      </c>
      <c r="H68" s="370">
        <f>ROUND(SUM(H57:H67),0)</f>
        <v>14757276</v>
      </c>
    </row>
    <row r="69" spans="1:8">
      <c r="A69" s="38" t="s">
        <v>7</v>
      </c>
      <c r="B69" s="38" t="s">
        <v>24</v>
      </c>
      <c r="C69" s="38"/>
      <c r="D69" s="38" t="s">
        <v>25</v>
      </c>
      <c r="E69" s="38"/>
      <c r="F69" s="51"/>
      <c r="G69" s="42"/>
      <c r="H69" s="42"/>
    </row>
    <row r="70" spans="1:8" ht="25.5">
      <c r="A70" s="39" t="s">
        <v>7</v>
      </c>
      <c r="B70" s="39" t="s">
        <v>24</v>
      </c>
      <c r="C70" s="39" t="s">
        <v>166</v>
      </c>
      <c r="D70" s="39" t="s">
        <v>167</v>
      </c>
      <c r="E70" s="39" t="s">
        <v>103</v>
      </c>
      <c r="F70" s="250">
        <v>6</v>
      </c>
      <c r="G70" s="251">
        <f>ROUND(APU!$G$889,0)</f>
        <v>170470</v>
      </c>
      <c r="H70" s="43">
        <f>ROUND(F70*G70,0)</f>
        <v>1022820</v>
      </c>
    </row>
    <row r="71" spans="1:8" ht="25.5">
      <c r="A71" s="39" t="s">
        <v>7</v>
      </c>
      <c r="B71" s="39" t="s">
        <v>24</v>
      </c>
      <c r="C71" s="39" t="s">
        <v>168</v>
      </c>
      <c r="D71" s="39" t="s">
        <v>169</v>
      </c>
      <c r="E71" s="39" t="s">
        <v>103</v>
      </c>
      <c r="F71" s="250">
        <v>4</v>
      </c>
      <c r="G71" s="251">
        <f>ROUND(APU!$G$903,0)</f>
        <v>115530</v>
      </c>
      <c r="H71" s="43">
        <f>ROUND(F71*G71,0)</f>
        <v>462120</v>
      </c>
    </row>
    <row r="72" spans="1:8">
      <c r="A72" s="367" t="s">
        <v>170</v>
      </c>
      <c r="B72" s="367" t="s">
        <v>170</v>
      </c>
      <c r="C72" s="367" t="s">
        <v>170</v>
      </c>
      <c r="D72" s="368" t="s">
        <v>170</v>
      </c>
      <c r="E72" s="367" t="s">
        <v>170</v>
      </c>
      <c r="F72" s="369" t="s">
        <v>170</v>
      </c>
      <c r="G72" s="370" t="s">
        <v>170</v>
      </c>
      <c r="H72" s="370">
        <f>ROUND(SUM(H70:H71),0)</f>
        <v>1484940</v>
      </c>
    </row>
    <row r="73" spans="1:8">
      <c r="A73" s="38" t="s">
        <v>7</v>
      </c>
      <c r="B73" s="38" t="s">
        <v>26</v>
      </c>
      <c r="C73" s="38"/>
      <c r="D73" s="38" t="s">
        <v>27</v>
      </c>
      <c r="E73" s="38"/>
      <c r="F73" s="51"/>
      <c r="G73" s="42"/>
      <c r="H73" s="42"/>
    </row>
    <row r="74" spans="1:8" ht="38.25">
      <c r="A74" s="39" t="s">
        <v>7</v>
      </c>
      <c r="B74" s="39" t="s">
        <v>26</v>
      </c>
      <c r="C74" s="39" t="s">
        <v>171</v>
      </c>
      <c r="D74" s="39" t="s">
        <v>172</v>
      </c>
      <c r="E74" s="39" t="s">
        <v>65</v>
      </c>
      <c r="F74" s="250">
        <v>2.64</v>
      </c>
      <c r="G74" s="251">
        <f>ROUND(APU!$G$923,0)</f>
        <v>998777</v>
      </c>
      <c r="H74" s="43">
        <f>ROUND(F74*G74,0)</f>
        <v>2636771</v>
      </c>
    </row>
    <row r="75" spans="1:8">
      <c r="A75" s="367" t="s">
        <v>173</v>
      </c>
      <c r="B75" s="367" t="s">
        <v>173</v>
      </c>
      <c r="C75" s="367" t="s">
        <v>173</v>
      </c>
      <c r="D75" s="368" t="s">
        <v>173</v>
      </c>
      <c r="E75" s="367" t="s">
        <v>173</v>
      </c>
      <c r="F75" s="369" t="s">
        <v>173</v>
      </c>
      <c r="G75" s="370" t="s">
        <v>173</v>
      </c>
      <c r="H75" s="370">
        <f>ROUND(SUM(H74:H74),0)</f>
        <v>2636771</v>
      </c>
    </row>
    <row r="76" spans="1:8">
      <c r="A76" s="38" t="s">
        <v>7</v>
      </c>
      <c r="B76" s="38" t="s">
        <v>28</v>
      </c>
      <c r="C76" s="38"/>
      <c r="D76" s="38" t="s">
        <v>29</v>
      </c>
      <c r="E76" s="38"/>
      <c r="F76" s="51"/>
      <c r="G76" s="42"/>
      <c r="H76" s="42"/>
    </row>
    <row r="77" spans="1:8" ht="38.25">
      <c r="A77" s="39" t="s">
        <v>7</v>
      </c>
      <c r="B77" s="39" t="s">
        <v>28</v>
      </c>
      <c r="C77" s="39" t="s">
        <v>174</v>
      </c>
      <c r="D77" s="39" t="s">
        <v>175</v>
      </c>
      <c r="E77" s="39" t="s">
        <v>65</v>
      </c>
      <c r="F77" s="250">
        <v>128</v>
      </c>
      <c r="G77" s="251">
        <f>ROUND(APU!$G$939,0)</f>
        <v>29767</v>
      </c>
      <c r="H77" s="43">
        <f>ROUND(F77*G77,0)</f>
        <v>3810176</v>
      </c>
    </row>
    <row r="78" spans="1:8">
      <c r="A78" s="367" t="s">
        <v>176</v>
      </c>
      <c r="B78" s="367" t="s">
        <v>176</v>
      </c>
      <c r="C78" s="367" t="s">
        <v>176</v>
      </c>
      <c r="D78" s="368" t="s">
        <v>176</v>
      </c>
      <c r="E78" s="367" t="s">
        <v>176</v>
      </c>
      <c r="F78" s="369" t="s">
        <v>176</v>
      </c>
      <c r="G78" s="370" t="s">
        <v>176</v>
      </c>
      <c r="H78" s="370">
        <f>ROUND(SUM(H77:H77),0)</f>
        <v>3810176</v>
      </c>
    </row>
    <row r="79" spans="1:8">
      <c r="A79" s="252" t="s">
        <v>7</v>
      </c>
      <c r="B79" s="252" t="s">
        <v>30</v>
      </c>
      <c r="C79" s="252"/>
      <c r="D79" s="243" t="s">
        <v>31</v>
      </c>
      <c r="E79" s="252"/>
      <c r="F79" s="253"/>
      <c r="G79" s="254"/>
      <c r="H79" s="254"/>
    </row>
    <row r="80" spans="1:8" ht="25.5">
      <c r="A80" s="40" t="s">
        <v>7</v>
      </c>
      <c r="B80" s="40" t="s">
        <v>30</v>
      </c>
      <c r="C80" s="40" t="s">
        <v>177</v>
      </c>
      <c r="D80" s="39" t="s">
        <v>178</v>
      </c>
      <c r="E80" s="40" t="s">
        <v>65</v>
      </c>
      <c r="F80" s="255">
        <v>125</v>
      </c>
      <c r="G80" s="256">
        <f>ROUND(APU!$G$1616,0)</f>
        <v>2994</v>
      </c>
      <c r="H80" s="44">
        <f>ROUND(F80*G80,0)</f>
        <v>374250</v>
      </c>
    </row>
    <row r="81" spans="1:8">
      <c r="A81" s="376" t="s">
        <v>179</v>
      </c>
      <c r="B81" s="376" t="s">
        <v>179</v>
      </c>
      <c r="C81" s="376" t="s">
        <v>179</v>
      </c>
      <c r="D81" s="377" t="s">
        <v>179</v>
      </c>
      <c r="E81" s="376" t="s">
        <v>179</v>
      </c>
      <c r="F81" s="378" t="s">
        <v>179</v>
      </c>
      <c r="G81" s="379" t="s">
        <v>179</v>
      </c>
      <c r="H81" s="379">
        <f>ROUND(SUM(H80:H80),0)</f>
        <v>374250</v>
      </c>
    </row>
    <row r="82" spans="1:8" ht="13.5" customHeight="1">
      <c r="A82" s="373" t="s">
        <v>180</v>
      </c>
      <c r="B82" s="373" t="s">
        <v>180</v>
      </c>
      <c r="C82" s="373" t="s">
        <v>180</v>
      </c>
      <c r="D82" s="373" t="s">
        <v>180</v>
      </c>
      <c r="E82" s="373" t="s">
        <v>180</v>
      </c>
      <c r="F82" s="374" t="s">
        <v>180</v>
      </c>
      <c r="G82" s="375" t="s">
        <v>180</v>
      </c>
      <c r="H82" s="375">
        <f>ROUND(SUM(H10,H32,H36,H40,H47,H52,H55,H68,H72,H75,H78,H81),0)</f>
        <v>314940879</v>
      </c>
    </row>
    <row r="83" spans="1:8">
      <c r="A83" s="384"/>
      <c r="B83" s="385"/>
      <c r="C83" s="385"/>
      <c r="D83" s="385"/>
      <c r="E83" s="385"/>
      <c r="F83" s="385"/>
      <c r="G83" s="385"/>
      <c r="H83" s="386"/>
    </row>
    <row r="84" spans="1:8">
      <c r="A84" s="380" t="s">
        <v>181</v>
      </c>
      <c r="B84" s="380" t="s">
        <v>181</v>
      </c>
      <c r="C84" s="380" t="s">
        <v>181</v>
      </c>
      <c r="D84" s="381" t="s">
        <v>181</v>
      </c>
      <c r="E84" s="380" t="s">
        <v>181</v>
      </c>
      <c r="F84" s="382" t="s">
        <v>181</v>
      </c>
      <c r="G84" s="383" t="s">
        <v>181</v>
      </c>
      <c r="H84" s="383" t="s">
        <v>181</v>
      </c>
    </row>
    <row r="85" spans="1:8">
      <c r="A85" s="38" t="s">
        <v>10</v>
      </c>
      <c r="B85" s="38" t="s">
        <v>7</v>
      </c>
      <c r="C85" s="38"/>
      <c r="D85" s="38" t="s">
        <v>9</v>
      </c>
      <c r="E85" s="38"/>
      <c r="F85" s="51"/>
      <c r="G85" s="42"/>
      <c r="H85" s="42"/>
    </row>
    <row r="86" spans="1:8" ht="25.5">
      <c r="A86" s="39" t="s">
        <v>10</v>
      </c>
      <c r="B86" s="39" t="s">
        <v>7</v>
      </c>
      <c r="C86" s="39" t="s">
        <v>182</v>
      </c>
      <c r="D86" s="39" t="s">
        <v>183</v>
      </c>
      <c r="E86" s="39" t="s">
        <v>65</v>
      </c>
      <c r="F86" s="250">
        <v>35</v>
      </c>
      <c r="G86" s="251">
        <f>ROUND(APU!$G$958,0)</f>
        <v>7190</v>
      </c>
      <c r="H86" s="43">
        <f>ROUND(F86*G86,0)</f>
        <v>251650</v>
      </c>
    </row>
    <row r="87" spans="1:8">
      <c r="A87" s="367" t="s">
        <v>69</v>
      </c>
      <c r="B87" s="367" t="s">
        <v>69</v>
      </c>
      <c r="C87" s="367" t="s">
        <v>69</v>
      </c>
      <c r="D87" s="368" t="s">
        <v>69</v>
      </c>
      <c r="E87" s="367" t="s">
        <v>69</v>
      </c>
      <c r="F87" s="369" t="s">
        <v>69</v>
      </c>
      <c r="G87" s="370" t="s">
        <v>69</v>
      </c>
      <c r="H87" s="370">
        <f>ROUND(SUM(H86:H86),0)</f>
        <v>251650</v>
      </c>
    </row>
    <row r="88" spans="1:8">
      <c r="A88" s="38" t="s">
        <v>10</v>
      </c>
      <c r="B88" s="38" t="s">
        <v>10</v>
      </c>
      <c r="C88" s="38"/>
      <c r="D88" s="38" t="s">
        <v>33</v>
      </c>
      <c r="E88" s="38"/>
      <c r="F88" s="51"/>
      <c r="G88" s="42"/>
      <c r="H88" s="42"/>
    </row>
    <row r="89" spans="1:8" ht="25.5">
      <c r="A89" s="39" t="s">
        <v>10</v>
      </c>
      <c r="B89" s="39" t="s">
        <v>10</v>
      </c>
      <c r="C89" s="39" t="s">
        <v>184</v>
      </c>
      <c r="D89" s="39" t="s">
        <v>185</v>
      </c>
      <c r="E89" s="39" t="s">
        <v>72</v>
      </c>
      <c r="F89" s="250">
        <v>5.38</v>
      </c>
      <c r="G89" s="251">
        <f>ROUND(APU!$G$970,0)</f>
        <v>64239</v>
      </c>
      <c r="H89" s="76">
        <f>ROUND(F89*G89,0)</f>
        <v>345606</v>
      </c>
    </row>
    <row r="90" spans="1:8" ht="25.5">
      <c r="A90" s="39" t="s">
        <v>10</v>
      </c>
      <c r="B90" s="39" t="s">
        <v>10</v>
      </c>
      <c r="C90" s="39" t="s">
        <v>186</v>
      </c>
      <c r="D90" s="39" t="s">
        <v>187</v>
      </c>
      <c r="E90" s="39" t="s">
        <v>72</v>
      </c>
      <c r="F90" s="250">
        <v>3.73</v>
      </c>
      <c r="G90" s="251">
        <f>ROUND(APU!$G$980,0)</f>
        <v>79360</v>
      </c>
      <c r="H90" s="43">
        <f>ROUND(F90*G90,0)</f>
        <v>296013</v>
      </c>
    </row>
    <row r="91" spans="1:8">
      <c r="A91" s="367" t="s">
        <v>188</v>
      </c>
      <c r="B91" s="367" t="s">
        <v>188</v>
      </c>
      <c r="C91" s="367" t="s">
        <v>188</v>
      </c>
      <c r="D91" s="368" t="s">
        <v>188</v>
      </c>
      <c r="E91" s="367" t="s">
        <v>188</v>
      </c>
      <c r="F91" s="369" t="s">
        <v>188</v>
      </c>
      <c r="G91" s="370" t="s">
        <v>188</v>
      </c>
      <c r="H91" s="370">
        <f>ROUND(SUM(H89:H90),0)</f>
        <v>641619</v>
      </c>
    </row>
    <row r="92" spans="1:8">
      <c r="A92" s="38" t="s">
        <v>10</v>
      </c>
      <c r="B92" s="38" t="s">
        <v>12</v>
      </c>
      <c r="C92" s="38"/>
      <c r="D92" s="38" t="s">
        <v>34</v>
      </c>
      <c r="E92" s="38"/>
      <c r="F92" s="51"/>
      <c r="G92" s="42"/>
      <c r="H92" s="42"/>
    </row>
    <row r="93" spans="1:8" ht="25.5">
      <c r="A93" s="39" t="s">
        <v>10</v>
      </c>
      <c r="B93" s="39" t="s">
        <v>12</v>
      </c>
      <c r="C93" s="39" t="s">
        <v>113</v>
      </c>
      <c r="D93" s="39" t="s">
        <v>189</v>
      </c>
      <c r="E93" s="39" t="s">
        <v>72</v>
      </c>
      <c r="F93" s="250">
        <v>2.8</v>
      </c>
      <c r="G93" s="251">
        <f>ROUND(APU!$G$1000,0)</f>
        <v>1354825</v>
      </c>
      <c r="H93" s="43">
        <f t="shared" ref="H93:H98" si="2">ROUND(F93*G93,0)</f>
        <v>3793510</v>
      </c>
    </row>
    <row r="94" spans="1:8" ht="38.25">
      <c r="A94" s="39" t="s">
        <v>10</v>
      </c>
      <c r="B94" s="39" t="s">
        <v>12</v>
      </c>
      <c r="C94" s="39" t="s">
        <v>115</v>
      </c>
      <c r="D94" s="39" t="s">
        <v>190</v>
      </c>
      <c r="E94" s="39" t="s">
        <v>68</v>
      </c>
      <c r="F94" s="250">
        <v>18.66</v>
      </c>
      <c r="G94" s="251">
        <f>ROUND(APU!$G$1020,0)</f>
        <v>141434</v>
      </c>
      <c r="H94" s="43">
        <f t="shared" si="2"/>
        <v>2639158</v>
      </c>
    </row>
    <row r="95" spans="1:8" ht="25.5">
      <c r="A95" s="39" t="s">
        <v>10</v>
      </c>
      <c r="B95" s="39" t="s">
        <v>12</v>
      </c>
      <c r="C95" s="39" t="s">
        <v>191</v>
      </c>
      <c r="D95" s="39" t="s">
        <v>192</v>
      </c>
      <c r="E95" s="39" t="s">
        <v>68</v>
      </c>
      <c r="F95" s="250">
        <v>31.08</v>
      </c>
      <c r="G95" s="251">
        <f>ROUND(APU!$G$1040,0)</f>
        <v>115651</v>
      </c>
      <c r="H95" s="43">
        <f t="shared" si="2"/>
        <v>3594433</v>
      </c>
    </row>
    <row r="96" spans="1:8" ht="25.5">
      <c r="A96" s="40" t="s">
        <v>10</v>
      </c>
      <c r="B96" s="40" t="s">
        <v>12</v>
      </c>
      <c r="C96" s="40" t="s">
        <v>193</v>
      </c>
      <c r="D96" s="39" t="s">
        <v>194</v>
      </c>
      <c r="E96" s="40" t="s">
        <v>68</v>
      </c>
      <c r="F96" s="250">
        <v>22.46</v>
      </c>
      <c r="G96" s="251">
        <f>ROUND(APU!$G$1061,0)</f>
        <v>114542</v>
      </c>
      <c r="H96" s="44">
        <f t="shared" si="2"/>
        <v>2572613</v>
      </c>
    </row>
    <row r="97" spans="1:8" ht="25.5">
      <c r="A97" s="39" t="s">
        <v>10</v>
      </c>
      <c r="B97" s="39" t="s">
        <v>12</v>
      </c>
      <c r="C97" s="39" t="s">
        <v>195</v>
      </c>
      <c r="D97" s="39" t="s">
        <v>196</v>
      </c>
      <c r="E97" s="39" t="s">
        <v>68</v>
      </c>
      <c r="F97" s="250">
        <v>2.6</v>
      </c>
      <c r="G97" s="251">
        <f>ROUND(APU!$G$1082,0)</f>
        <v>111548</v>
      </c>
      <c r="H97" s="43">
        <f t="shared" si="2"/>
        <v>290025</v>
      </c>
    </row>
    <row r="98" spans="1:8" ht="25.5">
      <c r="A98" s="39" t="s">
        <v>10</v>
      </c>
      <c r="B98" s="39" t="s">
        <v>12</v>
      </c>
      <c r="C98" s="39" t="s">
        <v>197</v>
      </c>
      <c r="D98" s="39" t="s">
        <v>198</v>
      </c>
      <c r="E98" s="39" t="s">
        <v>65</v>
      </c>
      <c r="F98" s="250">
        <v>17.940000000000001</v>
      </c>
      <c r="G98" s="251">
        <f>ROUND(APU!$G$1101,0)</f>
        <v>133758</v>
      </c>
      <c r="H98" s="43">
        <f t="shared" si="2"/>
        <v>2399619</v>
      </c>
    </row>
    <row r="99" spans="1:8">
      <c r="A99" s="367" t="s">
        <v>199</v>
      </c>
      <c r="B99" s="367" t="s">
        <v>199</v>
      </c>
      <c r="C99" s="367" t="s">
        <v>199</v>
      </c>
      <c r="D99" s="368" t="s">
        <v>199</v>
      </c>
      <c r="E99" s="367" t="s">
        <v>199</v>
      </c>
      <c r="F99" s="369" t="s">
        <v>199</v>
      </c>
      <c r="G99" s="370" t="s">
        <v>199</v>
      </c>
      <c r="H99" s="370">
        <f>ROUND(SUM(H93:H98),0)</f>
        <v>15289358</v>
      </c>
    </row>
    <row r="100" spans="1:8">
      <c r="A100" s="38" t="s">
        <v>10</v>
      </c>
      <c r="B100" s="38" t="s">
        <v>14</v>
      </c>
      <c r="C100" s="38"/>
      <c r="D100" s="38" t="s">
        <v>17</v>
      </c>
      <c r="E100" s="38"/>
      <c r="F100" s="51"/>
      <c r="G100" s="42"/>
      <c r="H100" s="42"/>
    </row>
    <row r="101" spans="1:8" ht="25.5">
      <c r="A101" s="40" t="s">
        <v>10</v>
      </c>
      <c r="B101" s="40" t="s">
        <v>14</v>
      </c>
      <c r="C101" s="40" t="s">
        <v>118</v>
      </c>
      <c r="D101" s="39" t="s">
        <v>127</v>
      </c>
      <c r="E101" s="40" t="s">
        <v>65</v>
      </c>
      <c r="F101" s="250">
        <v>40.39</v>
      </c>
      <c r="G101" s="251">
        <f>ROUND(APU!$G$1116,0)</f>
        <v>65777</v>
      </c>
      <c r="H101" s="44">
        <f>ROUND(F101*G101,0)</f>
        <v>2656733</v>
      </c>
    </row>
    <row r="102" spans="1:8" ht="25.5">
      <c r="A102" s="39" t="s">
        <v>10</v>
      </c>
      <c r="B102" s="39" t="s">
        <v>14</v>
      </c>
      <c r="C102" s="39" t="s">
        <v>121</v>
      </c>
      <c r="D102" s="39" t="s">
        <v>131</v>
      </c>
      <c r="E102" s="39" t="s">
        <v>65</v>
      </c>
      <c r="F102" s="250">
        <v>3</v>
      </c>
      <c r="G102" s="251">
        <f>ROUND(APU!$G$1131,0)</f>
        <v>124478</v>
      </c>
      <c r="H102" s="43">
        <f>ROUND(F102*G102,0)</f>
        <v>373434</v>
      </c>
    </row>
    <row r="103" spans="1:8" ht="25.5">
      <c r="A103" s="39" t="s">
        <v>10</v>
      </c>
      <c r="B103" s="39" t="s">
        <v>14</v>
      </c>
      <c r="C103" s="39" t="s">
        <v>200</v>
      </c>
      <c r="D103" s="39" t="s">
        <v>133</v>
      </c>
      <c r="E103" s="39" t="s">
        <v>65</v>
      </c>
      <c r="F103" s="250">
        <v>80.78</v>
      </c>
      <c r="G103" s="251">
        <f>ROUND(APU!$G$1145,0)</f>
        <v>39043</v>
      </c>
      <c r="H103" s="43">
        <f>ROUND(F103*G103,0)</f>
        <v>3153894</v>
      </c>
    </row>
    <row r="104" spans="1:8" ht="13.9" customHeight="1">
      <c r="A104" s="367" t="s">
        <v>201</v>
      </c>
      <c r="B104" s="367" t="s">
        <v>201</v>
      </c>
      <c r="C104" s="367" t="s">
        <v>201</v>
      </c>
      <c r="D104" s="368" t="s">
        <v>201</v>
      </c>
      <c r="E104" s="367" t="s">
        <v>201</v>
      </c>
      <c r="F104" s="369" t="s">
        <v>201</v>
      </c>
      <c r="G104" s="370" t="s">
        <v>201</v>
      </c>
      <c r="H104" s="370">
        <f>ROUND(SUM(H101:H103),0)</f>
        <v>6184061</v>
      </c>
    </row>
    <row r="105" spans="1:8">
      <c r="A105" s="38" t="s">
        <v>10</v>
      </c>
      <c r="B105" s="38" t="s">
        <v>16</v>
      </c>
      <c r="C105" s="38"/>
      <c r="D105" s="38" t="s">
        <v>23</v>
      </c>
      <c r="E105" s="38"/>
      <c r="F105" s="51"/>
      <c r="G105" s="42"/>
      <c r="H105" s="42"/>
    </row>
    <row r="106" spans="1:8" ht="13.9" customHeight="1">
      <c r="A106" s="39" t="s">
        <v>10</v>
      </c>
      <c r="B106" s="39" t="s">
        <v>16</v>
      </c>
      <c r="C106" s="39" t="s">
        <v>202</v>
      </c>
      <c r="D106" s="39" t="s">
        <v>148</v>
      </c>
      <c r="E106" s="39" t="s">
        <v>103</v>
      </c>
      <c r="F106" s="250">
        <v>2</v>
      </c>
      <c r="G106" s="251">
        <f>ROUND(APU!$G$1173,0)</f>
        <v>307465</v>
      </c>
      <c r="H106" s="43">
        <f>ROUND(F106*G106,0)</f>
        <v>614930</v>
      </c>
    </row>
    <row r="107" spans="1:8" ht="38.25">
      <c r="A107" s="39" t="s">
        <v>10</v>
      </c>
      <c r="B107" s="39" t="s">
        <v>16</v>
      </c>
      <c r="C107" s="39" t="s">
        <v>203</v>
      </c>
      <c r="D107" s="39" t="s">
        <v>204</v>
      </c>
      <c r="E107" s="39" t="s">
        <v>103</v>
      </c>
      <c r="F107" s="250">
        <v>4</v>
      </c>
      <c r="G107" s="251">
        <f>ROUND(APU!$G$1193,0)</f>
        <v>121970</v>
      </c>
      <c r="H107" s="43">
        <f>ROUND(F107*G107,0)</f>
        <v>487880</v>
      </c>
    </row>
    <row r="108" spans="1:8" ht="13.9" customHeight="1">
      <c r="A108" s="367" t="s">
        <v>205</v>
      </c>
      <c r="B108" s="367" t="s">
        <v>205</v>
      </c>
      <c r="C108" s="367" t="s">
        <v>205</v>
      </c>
      <c r="D108" s="368" t="s">
        <v>205</v>
      </c>
      <c r="E108" s="367" t="s">
        <v>205</v>
      </c>
      <c r="F108" s="369" t="s">
        <v>205</v>
      </c>
      <c r="G108" s="370" t="s">
        <v>205</v>
      </c>
      <c r="H108" s="370">
        <f>ROUND(SUM(H106:H107),0)</f>
        <v>1102810</v>
      </c>
    </row>
    <row r="109" spans="1:8">
      <c r="A109" s="38" t="s">
        <v>10</v>
      </c>
      <c r="B109" s="38" t="s">
        <v>35</v>
      </c>
      <c r="C109" s="38"/>
      <c r="D109" s="38" t="s">
        <v>36</v>
      </c>
      <c r="E109" s="38"/>
      <c r="F109" s="51"/>
      <c r="G109" s="42"/>
      <c r="H109" s="42"/>
    </row>
    <row r="110" spans="1:8" ht="38.25">
      <c r="A110" s="40" t="s">
        <v>10</v>
      </c>
      <c r="B110" s="40" t="s">
        <v>35</v>
      </c>
      <c r="C110" s="40" t="s">
        <v>206</v>
      </c>
      <c r="D110" s="39" t="s">
        <v>207</v>
      </c>
      <c r="E110" s="40" t="s">
        <v>68</v>
      </c>
      <c r="F110" s="250">
        <v>20</v>
      </c>
      <c r="G110" s="251">
        <f>ROUND(APU!$G$1210,0)</f>
        <v>36482</v>
      </c>
      <c r="H110" s="44">
        <f>ROUND(F110*G110,0)</f>
        <v>729640</v>
      </c>
    </row>
    <row r="111" spans="1:8" ht="38.25">
      <c r="A111" s="39" t="s">
        <v>10</v>
      </c>
      <c r="B111" s="39" t="s">
        <v>35</v>
      </c>
      <c r="C111" s="39" t="s">
        <v>208</v>
      </c>
      <c r="D111" s="39" t="s">
        <v>209</v>
      </c>
      <c r="E111" s="39" t="s">
        <v>103</v>
      </c>
      <c r="F111" s="250">
        <v>10</v>
      </c>
      <c r="G111" s="251">
        <f>ROUND(APU!$G$1230,0)</f>
        <v>75306</v>
      </c>
      <c r="H111" s="43">
        <f>ROUND(F111*G111,0)</f>
        <v>753060</v>
      </c>
    </row>
    <row r="112" spans="1:8" ht="25.5">
      <c r="A112" s="39" t="s">
        <v>10</v>
      </c>
      <c r="B112" s="39" t="s">
        <v>35</v>
      </c>
      <c r="C112" s="39" t="s">
        <v>210</v>
      </c>
      <c r="D112" s="39" t="s">
        <v>211</v>
      </c>
      <c r="E112" s="39" t="s">
        <v>103</v>
      </c>
      <c r="F112" s="250">
        <v>2</v>
      </c>
      <c r="G112" s="251">
        <f>ROUND(APU!$G$1249,0)</f>
        <v>101141</v>
      </c>
      <c r="H112" s="43">
        <f>ROUND(F112*G112,0)</f>
        <v>202282</v>
      </c>
    </row>
    <row r="113" spans="1:8" ht="13.9" customHeight="1">
      <c r="A113" s="367" t="s">
        <v>212</v>
      </c>
      <c r="B113" s="367" t="s">
        <v>212</v>
      </c>
      <c r="C113" s="367" t="s">
        <v>212</v>
      </c>
      <c r="D113" s="368" t="s">
        <v>212</v>
      </c>
      <c r="E113" s="367" t="s">
        <v>212</v>
      </c>
      <c r="F113" s="369" t="s">
        <v>212</v>
      </c>
      <c r="G113" s="370" t="s">
        <v>212</v>
      </c>
      <c r="H113" s="370">
        <f>ROUND(SUM(H110:H112),0)</f>
        <v>1684982</v>
      </c>
    </row>
    <row r="114" spans="1:8">
      <c r="A114" s="38" t="s">
        <v>10</v>
      </c>
      <c r="B114" s="38" t="s">
        <v>37</v>
      </c>
      <c r="C114" s="38"/>
      <c r="D114" s="38" t="s">
        <v>38</v>
      </c>
      <c r="E114" s="38"/>
      <c r="F114" s="51"/>
      <c r="G114" s="42"/>
      <c r="H114" s="42"/>
    </row>
    <row r="115" spans="1:8" ht="25.5">
      <c r="A115" s="39" t="s">
        <v>10</v>
      </c>
      <c r="B115" s="39" t="s">
        <v>37</v>
      </c>
      <c r="C115" s="39" t="s">
        <v>213</v>
      </c>
      <c r="D115" s="39" t="s">
        <v>214</v>
      </c>
      <c r="E115" s="39" t="s">
        <v>103</v>
      </c>
      <c r="F115" s="250">
        <v>3</v>
      </c>
      <c r="G115" s="251">
        <f>ROUND(APU!$G$1268,0)</f>
        <v>112783</v>
      </c>
      <c r="H115" s="43">
        <f t="shared" ref="H115:H128" si="3">ROUND(F115*G115,0)</f>
        <v>338349</v>
      </c>
    </row>
    <row r="116" spans="1:8" ht="25.5">
      <c r="A116" s="39" t="s">
        <v>10</v>
      </c>
      <c r="B116" s="39" t="s">
        <v>37</v>
      </c>
      <c r="C116" s="39" t="s">
        <v>215</v>
      </c>
      <c r="D116" s="39" t="s">
        <v>216</v>
      </c>
      <c r="E116" s="39" t="s">
        <v>103</v>
      </c>
      <c r="F116" s="250">
        <v>7</v>
      </c>
      <c r="G116" s="251">
        <f>ROUND(APU!$G$1287,0)</f>
        <v>83627</v>
      </c>
      <c r="H116" s="43">
        <f t="shared" si="3"/>
        <v>585389</v>
      </c>
    </row>
    <row r="117" spans="1:8" ht="25.5">
      <c r="A117" s="39" t="s">
        <v>10</v>
      </c>
      <c r="B117" s="39" t="s">
        <v>37</v>
      </c>
      <c r="C117" s="39" t="s">
        <v>217</v>
      </c>
      <c r="D117" s="39" t="s">
        <v>218</v>
      </c>
      <c r="E117" s="39" t="s">
        <v>103</v>
      </c>
      <c r="F117" s="250">
        <v>2</v>
      </c>
      <c r="G117" s="251">
        <f>ROUND(APU!$G$1301,0)</f>
        <v>44895</v>
      </c>
      <c r="H117" s="43">
        <f t="shared" si="3"/>
        <v>89790</v>
      </c>
    </row>
    <row r="118" spans="1:8" ht="25.5">
      <c r="A118" s="39" t="s">
        <v>10</v>
      </c>
      <c r="B118" s="39" t="s">
        <v>37</v>
      </c>
      <c r="C118" s="39" t="s">
        <v>219</v>
      </c>
      <c r="D118" s="39" t="s">
        <v>220</v>
      </c>
      <c r="E118" s="39" t="s">
        <v>68</v>
      </c>
      <c r="F118" s="250">
        <v>3</v>
      </c>
      <c r="G118" s="251">
        <f>ROUND(APU!$G$1321,0)</f>
        <v>417369</v>
      </c>
      <c r="H118" s="43">
        <f t="shared" si="3"/>
        <v>1252107</v>
      </c>
    </row>
    <row r="119" spans="1:8" ht="25.5">
      <c r="A119" s="39" t="s">
        <v>10</v>
      </c>
      <c r="B119" s="39" t="s">
        <v>37</v>
      </c>
      <c r="C119" s="39" t="s">
        <v>221</v>
      </c>
      <c r="D119" s="39" t="s">
        <v>222</v>
      </c>
      <c r="E119" s="39" t="s">
        <v>65</v>
      </c>
      <c r="F119" s="250">
        <v>50</v>
      </c>
      <c r="G119" s="251">
        <f>ROUND(APU!$G$1338,0)</f>
        <v>117598</v>
      </c>
      <c r="H119" s="43">
        <f t="shared" si="3"/>
        <v>5879900</v>
      </c>
    </row>
    <row r="120" spans="1:8" ht="25.5">
      <c r="A120" s="39" t="s">
        <v>10</v>
      </c>
      <c r="B120" s="39" t="s">
        <v>37</v>
      </c>
      <c r="C120" s="39" t="s">
        <v>223</v>
      </c>
      <c r="D120" s="39" t="s">
        <v>224</v>
      </c>
      <c r="E120" s="39" t="s">
        <v>65</v>
      </c>
      <c r="F120" s="250">
        <v>16.2</v>
      </c>
      <c r="G120" s="251">
        <f>ROUND(APU!$G$1355,0)</f>
        <v>197191</v>
      </c>
      <c r="H120" s="43">
        <f t="shared" si="3"/>
        <v>3194494</v>
      </c>
    </row>
    <row r="121" spans="1:8" ht="25.5">
      <c r="A121" s="39" t="s">
        <v>10</v>
      </c>
      <c r="B121" s="39" t="s">
        <v>37</v>
      </c>
      <c r="C121" s="39" t="s">
        <v>225</v>
      </c>
      <c r="D121" s="39" t="s">
        <v>226</v>
      </c>
      <c r="E121" s="39" t="s">
        <v>65</v>
      </c>
      <c r="F121" s="250">
        <v>1.4</v>
      </c>
      <c r="G121" s="251">
        <f>ROUND(APU!$G$1370,0)</f>
        <v>627945</v>
      </c>
      <c r="H121" s="43">
        <f t="shared" si="3"/>
        <v>879123</v>
      </c>
    </row>
    <row r="122" spans="1:8" ht="25.5">
      <c r="A122" s="39" t="s">
        <v>10</v>
      </c>
      <c r="B122" s="39" t="s">
        <v>37</v>
      </c>
      <c r="C122" s="39" t="s">
        <v>227</v>
      </c>
      <c r="D122" s="39" t="s">
        <v>228</v>
      </c>
      <c r="E122" s="39" t="s">
        <v>103</v>
      </c>
      <c r="F122" s="250">
        <v>3</v>
      </c>
      <c r="G122" s="251">
        <f>ROUND(APU!$G$1386,0)</f>
        <v>954341</v>
      </c>
      <c r="H122" s="43">
        <f t="shared" si="3"/>
        <v>2863023</v>
      </c>
    </row>
    <row r="123" spans="1:8" ht="25.5">
      <c r="A123" s="39" t="s">
        <v>10</v>
      </c>
      <c r="B123" s="39" t="s">
        <v>37</v>
      </c>
      <c r="C123" s="39" t="s">
        <v>229</v>
      </c>
      <c r="D123" s="39" t="s">
        <v>230</v>
      </c>
      <c r="E123" s="39" t="s">
        <v>103</v>
      </c>
      <c r="F123" s="250">
        <v>1</v>
      </c>
      <c r="G123" s="251">
        <f>ROUND(APU!$G$1400,0)</f>
        <v>1102620</v>
      </c>
      <c r="H123" s="43">
        <f t="shared" si="3"/>
        <v>1102620</v>
      </c>
    </row>
    <row r="124" spans="1:8" ht="25.5">
      <c r="A124" s="39" t="s">
        <v>10</v>
      </c>
      <c r="B124" s="39" t="s">
        <v>37</v>
      </c>
      <c r="C124" s="39" t="s">
        <v>231</v>
      </c>
      <c r="D124" s="39" t="s">
        <v>232</v>
      </c>
      <c r="E124" s="39" t="s">
        <v>103</v>
      </c>
      <c r="F124" s="250">
        <v>4</v>
      </c>
      <c r="G124" s="251">
        <f>ROUND(APU!$G$1415,0)</f>
        <v>297282</v>
      </c>
      <c r="H124" s="43">
        <f t="shared" si="3"/>
        <v>1189128</v>
      </c>
    </row>
    <row r="125" spans="1:8">
      <c r="A125" s="39" t="s">
        <v>10</v>
      </c>
      <c r="B125" s="39" t="s">
        <v>37</v>
      </c>
      <c r="C125" s="39" t="s">
        <v>233</v>
      </c>
      <c r="D125" s="39" t="s">
        <v>234</v>
      </c>
      <c r="E125" s="39" t="s">
        <v>103</v>
      </c>
      <c r="F125" s="250">
        <v>3</v>
      </c>
      <c r="G125" s="251">
        <f>ROUND(APU!$G$1430,0)</f>
        <v>90380</v>
      </c>
      <c r="H125" s="43">
        <f t="shared" si="3"/>
        <v>271140</v>
      </c>
    </row>
    <row r="126" spans="1:8" ht="38.25">
      <c r="A126" s="40" t="s">
        <v>10</v>
      </c>
      <c r="B126" s="40" t="s">
        <v>37</v>
      </c>
      <c r="C126" s="40" t="s">
        <v>235</v>
      </c>
      <c r="D126" s="39" t="s">
        <v>236</v>
      </c>
      <c r="E126" s="40" t="s">
        <v>103</v>
      </c>
      <c r="F126" s="250">
        <v>1</v>
      </c>
      <c r="G126" s="251">
        <f>ROUND(APU!$G$1445,0)</f>
        <v>4422750</v>
      </c>
      <c r="H126" s="44">
        <f t="shared" si="3"/>
        <v>4422750</v>
      </c>
    </row>
    <row r="127" spans="1:8" ht="25.5">
      <c r="A127" s="39" t="s">
        <v>10</v>
      </c>
      <c r="B127" s="39" t="s">
        <v>37</v>
      </c>
      <c r="C127" s="39" t="s">
        <v>237</v>
      </c>
      <c r="D127" s="39" t="s">
        <v>238</v>
      </c>
      <c r="E127" s="39" t="s">
        <v>103</v>
      </c>
      <c r="F127" s="250">
        <v>2</v>
      </c>
      <c r="G127" s="251">
        <f>ROUND(APU!$G$1461,0)</f>
        <v>1164415</v>
      </c>
      <c r="H127" s="43">
        <f t="shared" si="3"/>
        <v>2328830</v>
      </c>
    </row>
    <row r="128" spans="1:8" ht="25.5">
      <c r="A128" s="39" t="s">
        <v>10</v>
      </c>
      <c r="B128" s="39" t="s">
        <v>37</v>
      </c>
      <c r="C128" s="39" t="s">
        <v>239</v>
      </c>
      <c r="D128" s="39" t="s">
        <v>240</v>
      </c>
      <c r="E128" s="39" t="s">
        <v>68</v>
      </c>
      <c r="F128" s="250">
        <v>30</v>
      </c>
      <c r="G128" s="251">
        <f>ROUND(APU!$G$1480,0)</f>
        <v>87010</v>
      </c>
      <c r="H128" s="43">
        <f t="shared" si="3"/>
        <v>2610300</v>
      </c>
    </row>
    <row r="129" spans="1:8" ht="13.9" customHeight="1">
      <c r="A129" s="367" t="s">
        <v>241</v>
      </c>
      <c r="B129" s="367" t="s">
        <v>241</v>
      </c>
      <c r="C129" s="367" t="s">
        <v>241</v>
      </c>
      <c r="D129" s="368" t="s">
        <v>241</v>
      </c>
      <c r="E129" s="367" t="s">
        <v>241</v>
      </c>
      <c r="F129" s="369" t="s">
        <v>241</v>
      </c>
      <c r="G129" s="370" t="s">
        <v>241</v>
      </c>
      <c r="H129" s="370">
        <f>ROUND(SUM(H115:H128),0)</f>
        <v>27006943</v>
      </c>
    </row>
    <row r="130" spans="1:8">
      <c r="A130" s="38" t="s">
        <v>10</v>
      </c>
      <c r="B130" s="38" t="s">
        <v>20</v>
      </c>
      <c r="C130" s="38"/>
      <c r="D130" s="38" t="s">
        <v>27</v>
      </c>
      <c r="E130" s="38"/>
      <c r="F130" s="51"/>
      <c r="G130" s="42"/>
      <c r="H130" s="42"/>
    </row>
    <row r="131" spans="1:8" ht="25.5">
      <c r="A131" s="39" t="s">
        <v>10</v>
      </c>
      <c r="B131" s="39" t="s">
        <v>20</v>
      </c>
      <c r="C131" s="39" t="s">
        <v>140</v>
      </c>
      <c r="D131" s="39" t="s">
        <v>242</v>
      </c>
      <c r="E131" s="39" t="s">
        <v>103</v>
      </c>
      <c r="F131" s="250">
        <v>5</v>
      </c>
      <c r="G131" s="251">
        <f>ROUND(APU!$G$1500,0)</f>
        <v>998777</v>
      </c>
      <c r="H131" s="43">
        <f>ROUND(F131*G131,0)</f>
        <v>4993885</v>
      </c>
    </row>
    <row r="132" spans="1:8" ht="25.5">
      <c r="A132" s="39" t="s">
        <v>10</v>
      </c>
      <c r="B132" s="39" t="s">
        <v>20</v>
      </c>
      <c r="C132" s="39" t="s">
        <v>243</v>
      </c>
      <c r="D132" s="39" t="s">
        <v>244</v>
      </c>
      <c r="E132" s="39" t="s">
        <v>65</v>
      </c>
      <c r="F132" s="250">
        <v>1.2</v>
      </c>
      <c r="G132" s="251">
        <f>ROUND(APU!$G$1515,0)</f>
        <v>598291</v>
      </c>
      <c r="H132" s="43">
        <f>ROUND(F132*G132,0)</f>
        <v>717949</v>
      </c>
    </row>
    <row r="133" spans="1:8" ht="13.9" customHeight="1">
      <c r="A133" s="367" t="s">
        <v>245</v>
      </c>
      <c r="B133" s="367" t="s">
        <v>245</v>
      </c>
      <c r="C133" s="367" t="s">
        <v>245</v>
      </c>
      <c r="D133" s="368" t="s">
        <v>245</v>
      </c>
      <c r="E133" s="367" t="s">
        <v>245</v>
      </c>
      <c r="F133" s="369" t="s">
        <v>245</v>
      </c>
      <c r="G133" s="370" t="s">
        <v>245</v>
      </c>
      <c r="H133" s="370">
        <f>ROUND(SUM(H131:H132),0)</f>
        <v>5711834</v>
      </c>
    </row>
    <row r="134" spans="1:8">
      <c r="A134" s="38" t="s">
        <v>10</v>
      </c>
      <c r="B134" s="38" t="s">
        <v>22</v>
      </c>
      <c r="C134" s="38"/>
      <c r="D134" s="38" t="s">
        <v>29</v>
      </c>
      <c r="E134" s="38"/>
      <c r="F134" s="51"/>
      <c r="G134" s="42"/>
      <c r="H134" s="42"/>
    </row>
    <row r="135" spans="1:8" ht="38.25">
      <c r="A135" s="39" t="s">
        <v>10</v>
      </c>
      <c r="B135" s="39" t="s">
        <v>22</v>
      </c>
      <c r="C135" s="39" t="s">
        <v>143</v>
      </c>
      <c r="D135" s="39" t="s">
        <v>246</v>
      </c>
      <c r="E135" s="39" t="s">
        <v>65</v>
      </c>
      <c r="F135" s="250">
        <v>30.78</v>
      </c>
      <c r="G135" s="251">
        <f>ROUND(APU!$G$1531,0)</f>
        <v>29767</v>
      </c>
      <c r="H135" s="43">
        <f>ROUND(F135*G135,0)</f>
        <v>916228</v>
      </c>
    </row>
    <row r="136" spans="1:8" ht="25.5">
      <c r="A136" s="39" t="s">
        <v>10</v>
      </c>
      <c r="B136" s="39" t="s">
        <v>22</v>
      </c>
      <c r="C136" s="39" t="s">
        <v>145</v>
      </c>
      <c r="D136" s="39" t="s">
        <v>247</v>
      </c>
      <c r="E136" s="39" t="s">
        <v>65</v>
      </c>
      <c r="F136" s="250">
        <v>6</v>
      </c>
      <c r="G136" s="251">
        <f>ROUND(APU!$G$1547,0)</f>
        <v>37781</v>
      </c>
      <c r="H136" s="43">
        <f>ROUND(F136*G136,0)</f>
        <v>226686</v>
      </c>
    </row>
    <row r="137" spans="1:8" ht="13.9" customHeight="1">
      <c r="A137" s="367" t="s">
        <v>248</v>
      </c>
      <c r="B137" s="367" t="s">
        <v>248</v>
      </c>
      <c r="C137" s="367" t="s">
        <v>248</v>
      </c>
      <c r="D137" s="368" t="s">
        <v>248</v>
      </c>
      <c r="E137" s="367" t="s">
        <v>248</v>
      </c>
      <c r="F137" s="369" t="s">
        <v>248</v>
      </c>
      <c r="G137" s="370" t="s">
        <v>248</v>
      </c>
      <c r="H137" s="370">
        <f>ROUND(SUM(H135:H136),0)</f>
        <v>1142914</v>
      </c>
    </row>
    <row r="138" spans="1:8">
      <c r="A138" s="38" t="s">
        <v>10</v>
      </c>
      <c r="B138" s="38" t="s">
        <v>24</v>
      </c>
      <c r="C138" s="38"/>
      <c r="D138" s="38" t="s">
        <v>39</v>
      </c>
      <c r="E138" s="38"/>
      <c r="F138" s="51"/>
      <c r="G138" s="42"/>
      <c r="H138" s="42"/>
    </row>
    <row r="139" spans="1:8" ht="38.25">
      <c r="A139" s="40" t="s">
        <v>10</v>
      </c>
      <c r="B139" s="40" t="s">
        <v>24</v>
      </c>
      <c r="C139" s="40" t="s">
        <v>166</v>
      </c>
      <c r="D139" s="39" t="s">
        <v>138</v>
      </c>
      <c r="E139" s="40" t="s">
        <v>65</v>
      </c>
      <c r="F139" s="250">
        <v>29.5</v>
      </c>
      <c r="G139" s="251">
        <f>ROUND(APU!$G$1563,0)</f>
        <v>356956</v>
      </c>
      <c r="H139" s="44">
        <f>ROUND(F139*G139,0)</f>
        <v>10530202</v>
      </c>
    </row>
    <row r="140" spans="1:8" ht="38.25">
      <c r="A140" s="40" t="s">
        <v>10</v>
      </c>
      <c r="B140" s="40" t="s">
        <v>24</v>
      </c>
      <c r="C140" s="40" t="s">
        <v>168</v>
      </c>
      <c r="D140" s="39" t="s">
        <v>249</v>
      </c>
      <c r="E140" s="40" t="s">
        <v>120</v>
      </c>
      <c r="F140" s="250">
        <v>461.64</v>
      </c>
      <c r="G140" s="251">
        <f>ROUND(APU!$G$1582,0)</f>
        <v>24162</v>
      </c>
      <c r="H140" s="44">
        <f>ROUND(F140*G140,0)</f>
        <v>11154146</v>
      </c>
    </row>
    <row r="141" spans="1:8" ht="38.25">
      <c r="A141" s="40" t="s">
        <v>10</v>
      </c>
      <c r="B141" s="40" t="s">
        <v>24</v>
      </c>
      <c r="C141" s="40" t="s">
        <v>250</v>
      </c>
      <c r="D141" s="39" t="s">
        <v>251</v>
      </c>
      <c r="E141" s="40" t="s">
        <v>120</v>
      </c>
      <c r="F141" s="250">
        <v>67.28</v>
      </c>
      <c r="G141" s="251">
        <f>ROUND(APU!$G$1601,0)</f>
        <v>28285</v>
      </c>
      <c r="H141" s="44">
        <f>ROUND(F141*G141,0)</f>
        <v>1903015</v>
      </c>
    </row>
    <row r="142" spans="1:8">
      <c r="A142" s="367" t="s">
        <v>252</v>
      </c>
      <c r="B142" s="367" t="s">
        <v>252</v>
      </c>
      <c r="C142" s="367" t="s">
        <v>252</v>
      </c>
      <c r="D142" s="368" t="s">
        <v>252</v>
      </c>
      <c r="E142" s="367" t="s">
        <v>252</v>
      </c>
      <c r="F142" s="369" t="s">
        <v>252</v>
      </c>
      <c r="G142" s="370" t="s">
        <v>252</v>
      </c>
      <c r="H142" s="370">
        <f>ROUND(SUM(H139:H141),0)</f>
        <v>23587363</v>
      </c>
    </row>
    <row r="143" spans="1:8" ht="13.5" customHeight="1">
      <c r="A143" s="373" t="s">
        <v>253</v>
      </c>
      <c r="B143" s="373" t="s">
        <v>253</v>
      </c>
      <c r="C143" s="373" t="s">
        <v>253</v>
      </c>
      <c r="D143" s="373" t="s">
        <v>253</v>
      </c>
      <c r="E143" s="373" t="s">
        <v>253</v>
      </c>
      <c r="F143" s="374" t="s">
        <v>253</v>
      </c>
      <c r="G143" s="375" t="s">
        <v>253</v>
      </c>
      <c r="H143" s="375">
        <f>ROUND(SUM(H87,H91,H99,H104,H108,H113,H129,H133,H137,H142),0)</f>
        <v>82603534</v>
      </c>
    </row>
    <row r="144" spans="1:8">
      <c r="A144" s="384"/>
      <c r="B144" s="385"/>
      <c r="C144" s="385"/>
      <c r="D144" s="385"/>
      <c r="E144" s="385"/>
      <c r="F144" s="385"/>
      <c r="G144" s="385"/>
      <c r="H144" s="386"/>
    </row>
    <row r="145" spans="1:8">
      <c r="A145" s="371" t="s">
        <v>254</v>
      </c>
      <c r="B145" s="371" t="s">
        <v>255</v>
      </c>
      <c r="C145" s="371" t="s">
        <v>255</v>
      </c>
      <c r="D145" s="366" t="s">
        <v>255</v>
      </c>
      <c r="E145" s="371" t="s">
        <v>255</v>
      </c>
      <c r="F145" s="372" t="s">
        <v>255</v>
      </c>
      <c r="G145" s="257" t="s">
        <v>255</v>
      </c>
      <c r="H145" s="257">
        <f>ROUND(H82+H143,0)</f>
        <v>397544413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804"/>
  <sheetViews>
    <sheetView showGridLines="0" topLeftCell="A773" zoomScale="90" zoomScaleNormal="90" workbookViewId="0">
      <selection activeCell="P788" sqref="P788"/>
    </sheetView>
  </sheetViews>
  <sheetFormatPr defaultColWidth="8.75" defaultRowHeight="12.75"/>
  <cols>
    <col min="1" max="1" width="11.25" style="77" customWidth="1"/>
    <col min="2" max="2" width="58" style="77" customWidth="1"/>
    <col min="3" max="4" width="14" style="77" customWidth="1"/>
    <col min="5" max="5" width="16" style="77" customWidth="1"/>
    <col min="6" max="6" width="17" style="77" customWidth="1"/>
    <col min="7" max="7" width="16" style="77" customWidth="1"/>
    <col min="8" max="16384" width="8.75" style="77"/>
  </cols>
  <sheetData>
    <row r="1" spans="1:7">
      <c r="A1" s="395" t="s">
        <v>0</v>
      </c>
      <c r="B1" s="395" t="s">
        <v>0</v>
      </c>
      <c r="C1" s="395" t="s">
        <v>0</v>
      </c>
      <c r="D1" s="395" t="s">
        <v>0</v>
      </c>
      <c r="E1" s="395" t="s">
        <v>0</v>
      </c>
      <c r="F1" s="395" t="s">
        <v>0</v>
      </c>
      <c r="G1" s="395" t="s">
        <v>0</v>
      </c>
    </row>
    <row r="2" spans="1:7">
      <c r="A2" s="395" t="s">
        <v>1</v>
      </c>
      <c r="B2" s="395" t="s">
        <v>1</v>
      </c>
      <c r="C2" s="395" t="s">
        <v>1</v>
      </c>
      <c r="D2" s="395" t="s">
        <v>1</v>
      </c>
      <c r="E2" s="395" t="s">
        <v>1</v>
      </c>
      <c r="F2" s="395" t="s">
        <v>1</v>
      </c>
      <c r="G2" s="395" t="s">
        <v>1</v>
      </c>
    </row>
    <row r="3" spans="1:7">
      <c r="A3" s="395" t="s">
        <v>256</v>
      </c>
      <c r="B3" s="395" t="s">
        <v>256</v>
      </c>
      <c r="C3" s="395" t="s">
        <v>256</v>
      </c>
      <c r="D3" s="395" t="s">
        <v>256</v>
      </c>
      <c r="E3" s="395" t="s">
        <v>256</v>
      </c>
      <c r="F3" s="395" t="s">
        <v>256</v>
      </c>
      <c r="G3" s="395" t="s">
        <v>256</v>
      </c>
    </row>
    <row r="4" spans="1:7">
      <c r="A4" s="78"/>
      <c r="B4" s="78"/>
      <c r="C4" s="78"/>
      <c r="D4" s="78"/>
      <c r="E4" s="78"/>
      <c r="F4" s="78"/>
      <c r="G4" s="78"/>
    </row>
    <row r="5" spans="1:7" ht="33.6" customHeight="1">
      <c r="A5" s="80" t="s">
        <v>257</v>
      </c>
      <c r="B5" s="80" t="s">
        <v>63</v>
      </c>
      <c r="C5" s="392" t="s">
        <v>64</v>
      </c>
      <c r="D5" s="392"/>
      <c r="E5" s="392"/>
      <c r="F5" s="392"/>
      <c r="G5" s="81" t="s">
        <v>65</v>
      </c>
    </row>
    <row r="6" spans="1:7">
      <c r="A6" s="79" t="s">
        <v>258</v>
      </c>
      <c r="B6" s="79" t="s">
        <v>259</v>
      </c>
      <c r="C6" s="82" t="s">
        <v>260</v>
      </c>
      <c r="D6" s="82" t="s">
        <v>261</v>
      </c>
      <c r="E6" s="82" t="s">
        <v>262</v>
      </c>
      <c r="F6" s="82" t="s">
        <v>263</v>
      </c>
      <c r="G6" s="82" t="s">
        <v>264</v>
      </c>
    </row>
    <row r="7" spans="1:7">
      <c r="A7" s="83">
        <v>1</v>
      </c>
      <c r="B7" s="83" t="s">
        <v>265</v>
      </c>
      <c r="C7" s="258">
        <v>10.403</v>
      </c>
      <c r="D7" s="258">
        <v>12.5</v>
      </c>
      <c r="E7" s="258"/>
      <c r="F7" s="258">
        <v>1</v>
      </c>
      <c r="G7" s="84">
        <f>ROUND(IF(COUNTA(B7:F7)=0,0,IF(C7="",1,C7)*IF(D7="",1,D7)*IF(E7="",1,E7)*IF(F7="",1,F7)),2)</f>
        <v>130.04</v>
      </c>
    </row>
    <row r="8" spans="1:7">
      <c r="A8" s="83">
        <v>2</v>
      </c>
      <c r="B8" s="83"/>
      <c r="C8" s="258"/>
      <c r="D8" s="258"/>
      <c r="E8" s="258"/>
      <c r="F8" s="258"/>
      <c r="G8" s="84">
        <f>ROUND(IF(COUNTA(B8:F8)=0,0,IF(C8="",1,C8)*IF(D8="",1,D8)*IF(E8="",1,E8)*IF(F8="",1,F8)),2)</f>
        <v>0</v>
      </c>
    </row>
    <row r="9" spans="1:7">
      <c r="A9" s="83">
        <v>3</v>
      </c>
      <c r="B9" s="83"/>
      <c r="C9" s="258"/>
      <c r="D9" s="258"/>
      <c r="E9" s="258"/>
      <c r="F9" s="258"/>
      <c r="G9" s="84">
        <f>ROUND(IF(COUNTA(B9:F9)=0,0,IF(C9="",1,C9)*IF(D9="",1,D9)*IF(E9="",1,E9)*IF(F9="",1,F9)),2)</f>
        <v>0</v>
      </c>
    </row>
    <row r="10" spans="1:7">
      <c r="A10" s="83">
        <v>4</v>
      </c>
      <c r="B10" s="83"/>
      <c r="C10" s="258"/>
      <c r="D10" s="258"/>
      <c r="E10" s="258"/>
      <c r="F10" s="258"/>
      <c r="G10" s="84">
        <f>ROUND(IF(COUNTA(B10:F10)=0,0,IF(C10="",1,C10)*IF(D10="",1,D10)*IF(E10="",1,E10)*IF(F10="",1,F10)),2)</f>
        <v>0</v>
      </c>
    </row>
    <row r="11" spans="1:7" ht="13.5" thickBot="1">
      <c r="A11" s="83">
        <v>5</v>
      </c>
      <c r="B11" s="83"/>
      <c r="C11" s="258"/>
      <c r="D11" s="258"/>
      <c r="E11" s="258"/>
      <c r="F11" s="258"/>
      <c r="G11" s="84">
        <f>ROUND(IF(COUNTA(B11:F11)=0,0,IF(C11="",1,C11)*IF(D11="",1,D11)*IF(E11="",1,E11)*IF(F11="",1,F11)),2)</f>
        <v>0</v>
      </c>
    </row>
    <row r="12" spans="1:7" ht="13.5" thickBot="1">
      <c r="A12" s="393" t="s">
        <v>266</v>
      </c>
      <c r="B12" s="393" t="s">
        <v>266</v>
      </c>
      <c r="C12" s="394" t="s">
        <v>266</v>
      </c>
      <c r="D12" s="394" t="s">
        <v>266</v>
      </c>
      <c r="E12" s="394" t="s">
        <v>266</v>
      </c>
      <c r="F12" s="394" t="s">
        <v>266</v>
      </c>
      <c r="G12" s="85">
        <f>ROUND(SUM(G7:G11),2)</f>
        <v>130.04</v>
      </c>
    </row>
    <row r="13" spans="1:7">
      <c r="A13" s="78"/>
      <c r="B13" s="78"/>
      <c r="C13" s="86"/>
      <c r="D13" s="86"/>
      <c r="E13" s="86"/>
      <c r="F13" s="86"/>
      <c r="G13" s="86"/>
    </row>
    <row r="14" spans="1:7" ht="76.150000000000006" customHeight="1">
      <c r="A14" s="80" t="s">
        <v>267</v>
      </c>
      <c r="B14" s="80" t="s">
        <v>66</v>
      </c>
      <c r="C14" s="392" t="s">
        <v>67</v>
      </c>
      <c r="D14" s="392"/>
      <c r="E14" s="392"/>
      <c r="F14" s="392"/>
      <c r="G14" s="81" t="s">
        <v>68</v>
      </c>
    </row>
    <row r="15" spans="1:7">
      <c r="A15" s="79" t="s">
        <v>258</v>
      </c>
      <c r="B15" s="79" t="s">
        <v>259</v>
      </c>
      <c r="C15" s="82" t="s">
        <v>260</v>
      </c>
      <c r="D15" s="82" t="s">
        <v>261</v>
      </c>
      <c r="E15" s="82" t="s">
        <v>262</v>
      </c>
      <c r="F15" s="82" t="s">
        <v>263</v>
      </c>
      <c r="G15" s="82" t="s">
        <v>264</v>
      </c>
    </row>
    <row r="16" spans="1:7">
      <c r="A16" s="83">
        <v>1</v>
      </c>
      <c r="B16" s="83" t="s">
        <v>268</v>
      </c>
      <c r="C16" s="258">
        <v>12.5</v>
      </c>
      <c r="D16" s="258"/>
      <c r="E16" s="258"/>
      <c r="F16" s="258">
        <v>2</v>
      </c>
      <c r="G16" s="84">
        <f>ROUND(IF(COUNTA(B16:F16)=0,0,IF(C16="",1,C16)*IF(D16="",1,D16)*IF(E16="",1,E16)*IF(F16="",1,F16)),2)</f>
        <v>25</v>
      </c>
    </row>
    <row r="17" spans="1:7">
      <c r="A17" s="83">
        <v>2</v>
      </c>
      <c r="B17" s="83" t="s">
        <v>269</v>
      </c>
      <c r="C17" s="258">
        <v>16</v>
      </c>
      <c r="D17" s="258"/>
      <c r="E17" s="258"/>
      <c r="F17" s="258">
        <v>2</v>
      </c>
      <c r="G17" s="84">
        <f>ROUND(IF(COUNTA(B17:F17)=0,0,IF(C17="",1,C17)*IF(D17="",1,D17)*IF(E17="",1,E17)*IF(F17="",1,F17)),2)</f>
        <v>32</v>
      </c>
    </row>
    <row r="18" spans="1:7">
      <c r="A18" s="83">
        <v>3</v>
      </c>
      <c r="B18" s="83"/>
      <c r="C18" s="258"/>
      <c r="D18" s="258"/>
      <c r="E18" s="258"/>
      <c r="F18" s="258"/>
      <c r="G18" s="84">
        <f>ROUND(IF(COUNTA(B18:F18)=0,0,IF(C18="",1,C18)*IF(D18="",1,D18)*IF(E18="",1,E18)*IF(F18="",1,F18)),2)</f>
        <v>0</v>
      </c>
    </row>
    <row r="19" spans="1:7">
      <c r="A19" s="83">
        <v>4</v>
      </c>
      <c r="B19" s="83"/>
      <c r="C19" s="258"/>
      <c r="D19" s="258"/>
      <c r="E19" s="258"/>
      <c r="F19" s="258"/>
      <c r="G19" s="84">
        <f>ROUND(IF(COUNTA(B19:F19)=0,0,IF(C19="",1,C19)*IF(D19="",1,D19)*IF(E19="",1,E19)*IF(F19="",1,F19)),2)</f>
        <v>0</v>
      </c>
    </row>
    <row r="20" spans="1:7" ht="13.5" thickBot="1">
      <c r="A20" s="83">
        <v>5</v>
      </c>
      <c r="B20" s="83"/>
      <c r="C20" s="258"/>
      <c r="D20" s="258"/>
      <c r="E20" s="258"/>
      <c r="F20" s="258"/>
      <c r="G20" s="84">
        <f>ROUND(IF(COUNTA(B20:F20)=0,0,IF(C20="",1,C20)*IF(D20="",1,D20)*IF(E20="",1,E20)*IF(F20="",1,F20)),2)</f>
        <v>0</v>
      </c>
    </row>
    <row r="21" spans="1:7" ht="13.5" thickBot="1">
      <c r="A21" s="393" t="s">
        <v>266</v>
      </c>
      <c r="B21" s="393" t="s">
        <v>266</v>
      </c>
      <c r="C21" s="394" t="s">
        <v>266</v>
      </c>
      <c r="D21" s="394" t="s">
        <v>266</v>
      </c>
      <c r="E21" s="394" t="s">
        <v>266</v>
      </c>
      <c r="F21" s="394" t="s">
        <v>266</v>
      </c>
      <c r="G21" s="85">
        <f>ROUND(SUM(G16:G20),2)</f>
        <v>57</v>
      </c>
    </row>
    <row r="22" spans="1:7">
      <c r="A22" s="78"/>
      <c r="B22" s="78"/>
      <c r="C22" s="86"/>
      <c r="D22" s="86"/>
      <c r="E22" s="86"/>
      <c r="F22" s="86"/>
      <c r="G22" s="86"/>
    </row>
    <row r="23" spans="1:7" ht="72" customHeight="1">
      <c r="A23" s="80" t="s">
        <v>270</v>
      </c>
      <c r="B23" s="80" t="s">
        <v>70</v>
      </c>
      <c r="C23" s="392" t="s">
        <v>71</v>
      </c>
      <c r="D23" s="392"/>
      <c r="E23" s="392"/>
      <c r="F23" s="392"/>
      <c r="G23" s="81" t="s">
        <v>72</v>
      </c>
    </row>
    <row r="24" spans="1:7">
      <c r="A24" s="79" t="s">
        <v>258</v>
      </c>
      <c r="B24" s="79" t="s">
        <v>259</v>
      </c>
      <c r="C24" s="82" t="s">
        <v>260</v>
      </c>
      <c r="D24" s="82" t="s">
        <v>261</v>
      </c>
      <c r="E24" s="82" t="s">
        <v>262</v>
      </c>
      <c r="F24" s="82" t="s">
        <v>263</v>
      </c>
      <c r="G24" s="82" t="s">
        <v>264</v>
      </c>
    </row>
    <row r="25" spans="1:7">
      <c r="A25" s="83">
        <v>1</v>
      </c>
      <c r="B25" s="83" t="s">
        <v>271</v>
      </c>
      <c r="C25" s="258">
        <f>$C$52</f>
        <v>1.4</v>
      </c>
      <c r="D25" s="258">
        <f>$D$52</f>
        <v>1.4</v>
      </c>
      <c r="E25" s="258">
        <v>1</v>
      </c>
      <c r="F25" s="258">
        <f>$F$52</f>
        <v>4</v>
      </c>
      <c r="G25" s="84">
        <f>ROUND(IF(COUNTA(B25:F25)=0,0,IF(C25="",1,C25)*IF(D25="",1,D25)*IF(E25="",1,E25)*IF(F25="",1,F25)),2)</f>
        <v>7.84</v>
      </c>
    </row>
    <row r="26" spans="1:7">
      <c r="A26" s="83">
        <v>2</v>
      </c>
      <c r="B26" s="83" t="s">
        <v>272</v>
      </c>
      <c r="C26" s="258">
        <f>8-$C$52</f>
        <v>6.6</v>
      </c>
      <c r="D26" s="258">
        <f>$D$70</f>
        <v>0.4</v>
      </c>
      <c r="E26" s="258">
        <f>$E$70</f>
        <v>0.45</v>
      </c>
      <c r="F26" s="258">
        <v>2</v>
      </c>
      <c r="G26" s="84">
        <f>ROUND(IF(COUNTA(B26:F26)=0,0,IF(C26="",1,C26)*IF(D26="",1,D26)*IF(E26="",1,E26)*IF(F26="",1,F26)),2)</f>
        <v>2.38</v>
      </c>
    </row>
    <row r="27" spans="1:7">
      <c r="A27" s="83">
        <v>3</v>
      </c>
      <c r="B27" s="83" t="s">
        <v>273</v>
      </c>
      <c r="C27" s="258">
        <f>8.2-$C$52</f>
        <v>6.7999999999999989</v>
      </c>
      <c r="D27" s="258">
        <f>$D$70</f>
        <v>0.4</v>
      </c>
      <c r="E27" s="258">
        <f>$E$70</f>
        <v>0.45</v>
      </c>
      <c r="F27" s="258">
        <v>2</v>
      </c>
      <c r="G27" s="84">
        <f>ROUND(IF(COUNTA(B27:F27)=0,0,IF(C27="",1,C27)*IF(D27="",1,D27)*IF(E27="",1,E27)*IF(F27="",1,F27)),2)</f>
        <v>2.4500000000000002</v>
      </c>
    </row>
    <row r="28" spans="1:7">
      <c r="A28" s="83">
        <v>4</v>
      </c>
      <c r="B28" s="83" t="s">
        <v>274</v>
      </c>
      <c r="C28" s="258">
        <v>44.83</v>
      </c>
      <c r="D28" s="258">
        <v>0.2</v>
      </c>
      <c r="E28" s="258">
        <v>0.2</v>
      </c>
      <c r="F28" s="258">
        <v>1</v>
      </c>
      <c r="G28" s="84">
        <f>ROUND(IF(COUNTA(B28:F28)=0,0,IF(C28="",1,C28)*IF(D28="",1,D28)*IF(E28="",1,E28)*IF(F28="",1,F28)),2)</f>
        <v>1.79</v>
      </c>
    </row>
    <row r="29" spans="1:7">
      <c r="A29" s="83">
        <v>5</v>
      </c>
      <c r="B29" s="83" t="s">
        <v>275</v>
      </c>
      <c r="C29" s="258">
        <v>8</v>
      </c>
      <c r="D29" s="258">
        <v>8</v>
      </c>
      <c r="E29" s="258">
        <v>2</v>
      </c>
      <c r="F29" s="258">
        <v>1</v>
      </c>
      <c r="G29" s="84">
        <f>ROUND(IF(COUNTA(B29:F29)=0,0,IF(C29="",1,C29)*IF(D29="",1,D29)*IF(E29="",1,E29)*IF(F29="",1,F29)),2)</f>
        <v>128</v>
      </c>
    </row>
    <row r="30" spans="1:7">
      <c r="A30" s="393" t="s">
        <v>266</v>
      </c>
      <c r="B30" s="393" t="s">
        <v>266</v>
      </c>
      <c r="C30" s="394" t="s">
        <v>266</v>
      </c>
      <c r="D30" s="394" t="s">
        <v>266</v>
      </c>
      <c r="E30" s="394" t="s">
        <v>266</v>
      </c>
      <c r="F30" s="394" t="s">
        <v>266</v>
      </c>
      <c r="G30" s="85">
        <f>ROUND(SUM(G25:G29),2)</f>
        <v>142.46</v>
      </c>
    </row>
    <row r="31" spans="1:7">
      <c r="A31" s="78"/>
      <c r="B31" s="78"/>
      <c r="C31" s="86"/>
      <c r="D31" s="86"/>
      <c r="E31" s="86"/>
      <c r="F31" s="86"/>
      <c r="G31" s="86"/>
    </row>
    <row r="32" spans="1:7" ht="58.15" customHeight="1">
      <c r="A32" s="80" t="s">
        <v>276</v>
      </c>
      <c r="B32" s="80" t="s">
        <v>73</v>
      </c>
      <c r="C32" s="392" t="s">
        <v>74</v>
      </c>
      <c r="D32" s="392"/>
      <c r="E32" s="392"/>
      <c r="F32" s="392"/>
      <c r="G32" s="81" t="s">
        <v>72</v>
      </c>
    </row>
    <row r="33" spans="1:7">
      <c r="A33" s="79" t="s">
        <v>258</v>
      </c>
      <c r="B33" s="79" t="s">
        <v>259</v>
      </c>
      <c r="C33" s="82" t="s">
        <v>260</v>
      </c>
      <c r="D33" s="82" t="s">
        <v>261</v>
      </c>
      <c r="E33" s="82" t="s">
        <v>262</v>
      </c>
      <c r="F33" s="82" t="s">
        <v>263</v>
      </c>
      <c r="G33" s="82" t="s">
        <v>264</v>
      </c>
    </row>
    <row r="34" spans="1:7">
      <c r="A34" s="83">
        <v>1</v>
      </c>
      <c r="B34" s="83" t="s">
        <v>277</v>
      </c>
      <c r="C34" s="258">
        <v>125</v>
      </c>
      <c r="D34" s="258"/>
      <c r="E34" s="258">
        <v>0.2</v>
      </c>
      <c r="F34" s="258">
        <v>1</v>
      </c>
      <c r="G34" s="84">
        <f>ROUND(IF(COUNTA(B34:F34)=0,0,IF(C34="",1,C34)*IF(D34="",1,D34)*IF(E34="",1,E34)*IF(F34="",1,F34)),2)</f>
        <v>25</v>
      </c>
    </row>
    <row r="35" spans="1:7">
      <c r="A35" s="83">
        <v>2</v>
      </c>
      <c r="B35" s="83" t="s">
        <v>278</v>
      </c>
      <c r="C35" s="258">
        <v>5</v>
      </c>
      <c r="D35" s="258">
        <v>12</v>
      </c>
      <c r="E35" s="258">
        <v>1</v>
      </c>
      <c r="F35" s="258">
        <v>1</v>
      </c>
      <c r="G35" s="84">
        <f>ROUND(IF(COUNTA(B35:F35)=0,0,IF(C35="",1,C35)*IF(D35="",1,D35)*IF(E35="",1,E35)*IF(F35="",1,F35)),2)</f>
        <v>60</v>
      </c>
    </row>
    <row r="36" spans="1:7">
      <c r="A36" s="83">
        <v>3</v>
      </c>
      <c r="B36" s="83"/>
      <c r="C36" s="258"/>
      <c r="D36" s="258"/>
      <c r="E36" s="258"/>
      <c r="F36" s="258"/>
      <c r="G36" s="84">
        <f>ROUND(IF(COUNTA(B36:F36)=0,0,IF(C36="",1,C36)*IF(D36="",1,D36)*IF(E36="",1,E36)*IF(F36="",1,F36)),2)</f>
        <v>0</v>
      </c>
    </row>
    <row r="37" spans="1:7">
      <c r="A37" s="83">
        <v>4</v>
      </c>
      <c r="B37" s="83"/>
      <c r="C37" s="258"/>
      <c r="D37" s="258"/>
      <c r="E37" s="258"/>
      <c r="F37" s="258"/>
      <c r="G37" s="84">
        <f>ROUND(IF(COUNTA(B37:F37)=0,0,IF(C37="",1,C37)*IF(D37="",1,D37)*IF(E37="",1,E37)*IF(F37="",1,F37)),2)</f>
        <v>0</v>
      </c>
    </row>
    <row r="38" spans="1:7">
      <c r="A38" s="83">
        <v>5</v>
      </c>
      <c r="B38" s="83"/>
      <c r="C38" s="258"/>
      <c r="D38" s="258"/>
      <c r="E38" s="258"/>
      <c r="F38" s="258"/>
      <c r="G38" s="84">
        <f>ROUND(IF(COUNTA(B38:F38)=0,0,IF(C38="",1,C38)*IF(D38="",1,D38)*IF(E38="",1,E38)*IF(F38="",1,F38)),2)</f>
        <v>0</v>
      </c>
    </row>
    <row r="39" spans="1:7">
      <c r="A39" s="393" t="s">
        <v>266</v>
      </c>
      <c r="B39" s="393" t="s">
        <v>266</v>
      </c>
      <c r="C39" s="394" t="s">
        <v>266</v>
      </c>
      <c r="D39" s="394" t="s">
        <v>266</v>
      </c>
      <c r="E39" s="394" t="s">
        <v>266</v>
      </c>
      <c r="F39" s="394" t="s">
        <v>266</v>
      </c>
      <c r="G39" s="85">
        <f>ROUND(SUM(G34:G38),2)</f>
        <v>85</v>
      </c>
    </row>
    <row r="40" spans="1:7">
      <c r="A40" s="78"/>
      <c r="B40" s="78"/>
      <c r="C40" s="86"/>
      <c r="D40" s="86"/>
      <c r="E40" s="86"/>
      <c r="F40" s="86"/>
      <c r="G40" s="86"/>
    </row>
    <row r="41" spans="1:7" ht="59.45" customHeight="1">
      <c r="A41" s="80" t="s">
        <v>279</v>
      </c>
      <c r="B41" s="80" t="s">
        <v>75</v>
      </c>
      <c r="C41" s="392" t="s">
        <v>76</v>
      </c>
      <c r="D41" s="392"/>
      <c r="E41" s="392"/>
      <c r="F41" s="392"/>
      <c r="G41" s="81" t="s">
        <v>65</v>
      </c>
    </row>
    <row r="42" spans="1:7">
      <c r="A42" s="79" t="s">
        <v>258</v>
      </c>
      <c r="B42" s="79" t="s">
        <v>259</v>
      </c>
      <c r="C42" s="82" t="s">
        <v>260</v>
      </c>
      <c r="D42" s="82" t="s">
        <v>261</v>
      </c>
      <c r="E42" s="82" t="s">
        <v>262</v>
      </c>
      <c r="F42" s="82" t="s">
        <v>263</v>
      </c>
      <c r="G42" s="82" t="s">
        <v>264</v>
      </c>
    </row>
    <row r="43" spans="1:7">
      <c r="A43" s="83">
        <v>1</v>
      </c>
      <c r="B43" s="83" t="s">
        <v>280</v>
      </c>
      <c r="C43" s="258">
        <v>1.2</v>
      </c>
      <c r="D43" s="258">
        <v>1.2</v>
      </c>
      <c r="E43" s="258"/>
      <c r="F43" s="258">
        <v>8</v>
      </c>
      <c r="G43" s="84">
        <f>ROUND(IF(COUNTA(B43:F43)=0,0,IF(C43="",1,C43)*IF(D43="",1,D43)*IF(E43="",1,E43)*IF(F43="",1,F43)),2)</f>
        <v>11.52</v>
      </c>
    </row>
    <row r="44" spans="1:7">
      <c r="A44" s="83">
        <v>2</v>
      </c>
      <c r="B44" s="83" t="s">
        <v>281</v>
      </c>
      <c r="C44" s="258">
        <v>3.42</v>
      </c>
      <c r="D44" s="258">
        <v>0.3</v>
      </c>
      <c r="E44" s="258"/>
      <c r="F44" s="258">
        <v>2</v>
      </c>
      <c r="G44" s="84">
        <f>ROUND(IF(COUNTA(B44:F44)=0,0,IF(C44="",1,C44)*IF(D44="",1,D44)*IF(E44="",1,E44)*IF(F44="",1,F44)),2)</f>
        <v>2.0499999999999998</v>
      </c>
    </row>
    <row r="45" spans="1:7">
      <c r="A45" s="83">
        <v>3</v>
      </c>
      <c r="B45" s="83" t="s">
        <v>282</v>
      </c>
      <c r="C45" s="258">
        <v>3.62</v>
      </c>
      <c r="D45" s="258">
        <v>0.3</v>
      </c>
      <c r="E45" s="258"/>
      <c r="F45" s="258">
        <v>2</v>
      </c>
      <c r="G45" s="84">
        <f>ROUND(IF(COUNTA(B45:F45)=0,0,IF(C45="",1,C45)*IF(D45="",1,D45)*IF(E45="",1,E45)*IF(F45="",1,F45)),2)</f>
        <v>2.17</v>
      </c>
    </row>
    <row r="46" spans="1:7">
      <c r="A46" s="83">
        <v>4</v>
      </c>
      <c r="B46" s="83" t="s">
        <v>283</v>
      </c>
      <c r="C46" s="258">
        <v>4.25</v>
      </c>
      <c r="D46" s="258">
        <v>0.3</v>
      </c>
      <c r="E46" s="258"/>
      <c r="F46" s="258">
        <v>2</v>
      </c>
      <c r="G46" s="84">
        <f>ROUND(IF(COUNTA(B46:F46)=0,0,IF(C46="",1,C46)*IF(D46="",1,D46)*IF(E46="",1,E46)*IF(F46="",1,F46)),2)</f>
        <v>2.5499999999999998</v>
      </c>
    </row>
    <row r="47" spans="1:7">
      <c r="A47" s="83">
        <v>5</v>
      </c>
      <c r="B47" s="83" t="s">
        <v>284</v>
      </c>
      <c r="C47" s="258">
        <v>2.95</v>
      </c>
      <c r="D47" s="258">
        <v>0.3</v>
      </c>
      <c r="E47" s="258"/>
      <c r="F47" s="258">
        <v>2</v>
      </c>
      <c r="G47" s="84">
        <f>ROUND(IF(COUNTA(B47:F47)=0,0,IF(C47="",1,C47)*IF(D47="",1,D47)*IF(E47="",1,E47)*IF(F47="",1,F47)),2)</f>
        <v>1.77</v>
      </c>
    </row>
    <row r="48" spans="1:7">
      <c r="A48" s="393" t="s">
        <v>266</v>
      </c>
      <c r="B48" s="393" t="s">
        <v>266</v>
      </c>
      <c r="C48" s="394" t="s">
        <v>266</v>
      </c>
      <c r="D48" s="394" t="s">
        <v>266</v>
      </c>
      <c r="E48" s="394" t="s">
        <v>266</v>
      </c>
      <c r="F48" s="394" t="s">
        <v>266</v>
      </c>
      <c r="G48" s="85">
        <f>ROUND(SUM(G43:G47),2)</f>
        <v>20.059999999999999</v>
      </c>
    </row>
    <row r="49" spans="1:7">
      <c r="A49" s="78"/>
      <c r="B49" s="78"/>
      <c r="C49" s="86"/>
      <c r="D49" s="86"/>
      <c r="E49" s="86"/>
      <c r="F49" s="86"/>
      <c r="G49" s="86"/>
    </row>
    <row r="50" spans="1:7" ht="43.9" customHeight="1">
      <c r="A50" s="80" t="s">
        <v>285</v>
      </c>
      <c r="B50" s="80" t="s">
        <v>77</v>
      </c>
      <c r="C50" s="392" t="s">
        <v>78</v>
      </c>
      <c r="D50" s="392"/>
      <c r="E50" s="392"/>
      <c r="F50" s="392"/>
      <c r="G50" s="81" t="s">
        <v>72</v>
      </c>
    </row>
    <row r="51" spans="1:7">
      <c r="A51" s="79" t="s">
        <v>258</v>
      </c>
      <c r="B51" s="79" t="s">
        <v>259</v>
      </c>
      <c r="C51" s="82" t="s">
        <v>260</v>
      </c>
      <c r="D51" s="82" t="s">
        <v>261</v>
      </c>
      <c r="E51" s="82" t="s">
        <v>262</v>
      </c>
      <c r="F51" s="82" t="s">
        <v>263</v>
      </c>
      <c r="G51" s="82" t="s">
        <v>264</v>
      </c>
    </row>
    <row r="52" spans="1:7">
      <c r="A52" s="83">
        <v>1</v>
      </c>
      <c r="B52" s="83" t="s">
        <v>286</v>
      </c>
      <c r="C52" s="258">
        <v>1.4</v>
      </c>
      <c r="D52" s="258">
        <v>1.4</v>
      </c>
      <c r="E52" s="258">
        <v>0.3</v>
      </c>
      <c r="F52" s="258">
        <v>4</v>
      </c>
      <c r="G52" s="84">
        <f>ROUND(IF(COUNTA(B52:F52)=0,0,IF(C52="",1,C52)*IF(D52="",1,D52)*IF(E52="",1,E52)*IF(F52="",1,F52)),2)</f>
        <v>2.35</v>
      </c>
    </row>
    <row r="53" spans="1:7">
      <c r="A53" s="83">
        <v>2</v>
      </c>
      <c r="B53" s="83"/>
      <c r="C53" s="258"/>
      <c r="D53" s="258"/>
      <c r="E53" s="258"/>
      <c r="F53" s="258"/>
      <c r="G53" s="84">
        <f>ROUND(IF(COUNTA(B53:F53)=0,0,IF(C53="",1,C53)*IF(D53="",1,D53)*IF(E53="",1,E53)*IF(F53="",1,F53)),2)</f>
        <v>0</v>
      </c>
    </row>
    <row r="54" spans="1:7">
      <c r="A54" s="83">
        <v>3</v>
      </c>
      <c r="B54" s="83"/>
      <c r="C54" s="258"/>
      <c r="D54" s="258"/>
      <c r="E54" s="258"/>
      <c r="F54" s="258"/>
      <c r="G54" s="84">
        <f>ROUND(IF(COUNTA(B54:F54)=0,0,IF(C54="",1,C54)*IF(D54="",1,D54)*IF(E54="",1,E54)*IF(F54="",1,F54)),2)</f>
        <v>0</v>
      </c>
    </row>
    <row r="55" spans="1:7">
      <c r="A55" s="83">
        <v>4</v>
      </c>
      <c r="B55" s="83"/>
      <c r="C55" s="258"/>
      <c r="D55" s="258"/>
      <c r="E55" s="258"/>
      <c r="F55" s="258"/>
      <c r="G55" s="84">
        <f>ROUND(IF(COUNTA(B55:F55)=0,0,IF(C55="",1,C55)*IF(D55="",1,D55)*IF(E55="",1,E55)*IF(F55="",1,F55)),2)</f>
        <v>0</v>
      </c>
    </row>
    <row r="56" spans="1:7">
      <c r="A56" s="83">
        <v>5</v>
      </c>
      <c r="B56" s="83"/>
      <c r="C56" s="258"/>
      <c r="D56" s="258"/>
      <c r="E56" s="258"/>
      <c r="F56" s="258"/>
      <c r="G56" s="84">
        <f>ROUND(IF(COUNTA(B56:F56)=0,0,IF(C56="",1,C56)*IF(D56="",1,D56)*IF(E56="",1,E56)*IF(F56="",1,F56)),2)</f>
        <v>0</v>
      </c>
    </row>
    <row r="57" spans="1:7">
      <c r="A57" s="393" t="s">
        <v>266</v>
      </c>
      <c r="B57" s="393" t="s">
        <v>266</v>
      </c>
      <c r="C57" s="394" t="s">
        <v>266</v>
      </c>
      <c r="D57" s="394" t="s">
        <v>266</v>
      </c>
      <c r="E57" s="394" t="s">
        <v>266</v>
      </c>
      <c r="F57" s="394" t="s">
        <v>266</v>
      </c>
      <c r="G57" s="85">
        <f>ROUND(SUM(G52:G56),2)</f>
        <v>2.35</v>
      </c>
    </row>
    <row r="58" spans="1:7">
      <c r="A58" s="78"/>
      <c r="B58" s="78"/>
      <c r="C58" s="86"/>
      <c r="D58" s="86"/>
      <c r="E58" s="86"/>
      <c r="F58" s="86"/>
      <c r="G58" s="86"/>
    </row>
    <row r="59" spans="1:7" ht="43.9" customHeight="1">
      <c r="A59" s="80" t="s">
        <v>287</v>
      </c>
      <c r="B59" s="80" t="s">
        <v>79</v>
      </c>
      <c r="C59" s="392" t="s">
        <v>80</v>
      </c>
      <c r="D59" s="392"/>
      <c r="E59" s="392"/>
      <c r="F59" s="392"/>
      <c r="G59" s="81" t="s">
        <v>72</v>
      </c>
    </row>
    <row r="60" spans="1:7">
      <c r="A60" s="79" t="s">
        <v>258</v>
      </c>
      <c r="B60" s="79" t="s">
        <v>259</v>
      </c>
      <c r="C60" s="82" t="s">
        <v>260</v>
      </c>
      <c r="D60" s="82" t="s">
        <v>261</v>
      </c>
      <c r="E60" s="82" t="s">
        <v>262</v>
      </c>
      <c r="F60" s="82" t="s">
        <v>263</v>
      </c>
      <c r="G60" s="82" t="s">
        <v>264</v>
      </c>
    </row>
    <row r="61" spans="1:7">
      <c r="A61" s="83">
        <v>1</v>
      </c>
      <c r="B61" s="83" t="s">
        <v>288</v>
      </c>
      <c r="C61" s="258">
        <v>5.38</v>
      </c>
      <c r="D61" s="258">
        <v>0.4</v>
      </c>
      <c r="E61" s="258">
        <v>0.4</v>
      </c>
      <c r="F61" s="258">
        <v>2</v>
      </c>
      <c r="G61" s="84">
        <f>ROUND(IF(COUNTA(B61:F61)=0,0,IF(C61="",1,C61)*IF(D61="",1,D61)*IF(E61="",1,E61)*IF(F61="",1,F61)),2)</f>
        <v>1.72</v>
      </c>
    </row>
    <row r="62" spans="1:7">
      <c r="A62" s="83">
        <v>2</v>
      </c>
      <c r="B62" s="83" t="s">
        <v>289</v>
      </c>
      <c r="C62" s="258">
        <v>4.12</v>
      </c>
      <c r="D62" s="258">
        <v>0.4</v>
      </c>
      <c r="E62" s="258">
        <v>0.4</v>
      </c>
      <c r="F62" s="258">
        <v>2</v>
      </c>
      <c r="G62" s="84">
        <f>ROUND(IF(COUNTA(B62:F62)=0,0,IF(C62="",1,C62)*IF(D62="",1,D62)*IF(E62="",1,E62)*IF(F62="",1,F62)),2)</f>
        <v>1.32</v>
      </c>
    </row>
    <row r="63" spans="1:7">
      <c r="A63" s="83">
        <v>3</v>
      </c>
      <c r="B63" s="83"/>
      <c r="C63" s="258"/>
      <c r="D63" s="258"/>
      <c r="E63" s="258"/>
      <c r="F63" s="258"/>
      <c r="G63" s="84">
        <f>ROUND(IF(COUNTA(B63:F63)=0,0,IF(C63="",1,C63)*IF(D63="",1,D63)*IF(E63="",1,E63)*IF(F63="",1,F63)),2)</f>
        <v>0</v>
      </c>
    </row>
    <row r="64" spans="1:7">
      <c r="A64" s="83">
        <v>4</v>
      </c>
      <c r="B64" s="83"/>
      <c r="C64" s="258"/>
      <c r="D64" s="258"/>
      <c r="E64" s="258"/>
      <c r="F64" s="258"/>
      <c r="G64" s="84">
        <f>ROUND(IF(COUNTA(B64:F64)=0,0,IF(C64="",1,C64)*IF(D64="",1,D64)*IF(E64="",1,E64)*IF(F64="",1,F64)),2)</f>
        <v>0</v>
      </c>
    </row>
    <row r="65" spans="1:7">
      <c r="A65" s="83">
        <v>5</v>
      </c>
      <c r="B65" s="83"/>
      <c r="C65" s="258"/>
      <c r="D65" s="258"/>
      <c r="E65" s="258"/>
      <c r="F65" s="258"/>
      <c r="G65" s="84">
        <f>ROUND(IF(COUNTA(B65:F65)=0,0,IF(C65="",1,C65)*IF(D65="",1,D65)*IF(E65="",1,E65)*IF(F65="",1,F65)),2)</f>
        <v>0</v>
      </c>
    </row>
    <row r="66" spans="1:7">
      <c r="A66" s="393" t="s">
        <v>266</v>
      </c>
      <c r="B66" s="393" t="s">
        <v>266</v>
      </c>
      <c r="C66" s="394" t="s">
        <v>266</v>
      </c>
      <c r="D66" s="394" t="s">
        <v>266</v>
      </c>
      <c r="E66" s="394" t="s">
        <v>266</v>
      </c>
      <c r="F66" s="394" t="s">
        <v>266</v>
      </c>
      <c r="G66" s="85">
        <f>ROUND(SUM(G61:G65),2)</f>
        <v>3.04</v>
      </c>
    </row>
    <row r="67" spans="1:7">
      <c r="A67" s="78"/>
      <c r="B67" s="78"/>
      <c r="C67" s="86"/>
      <c r="D67" s="86"/>
      <c r="E67" s="86"/>
      <c r="F67" s="86"/>
      <c r="G67" s="86"/>
    </row>
    <row r="68" spans="1:7" ht="42.6" customHeight="1">
      <c r="A68" s="80" t="s">
        <v>290</v>
      </c>
      <c r="B68" s="80" t="s">
        <v>81</v>
      </c>
      <c r="C68" s="392" t="s">
        <v>82</v>
      </c>
      <c r="D68" s="392"/>
      <c r="E68" s="392"/>
      <c r="F68" s="392"/>
      <c r="G68" s="81" t="s">
        <v>72</v>
      </c>
    </row>
    <row r="69" spans="1:7">
      <c r="A69" s="79" t="s">
        <v>258</v>
      </c>
      <c r="B69" s="79" t="s">
        <v>259</v>
      </c>
      <c r="C69" s="82" t="s">
        <v>260</v>
      </c>
      <c r="D69" s="82" t="s">
        <v>261</v>
      </c>
      <c r="E69" s="82" t="s">
        <v>262</v>
      </c>
      <c r="F69" s="82" t="s">
        <v>263</v>
      </c>
      <c r="G69" s="82" t="s">
        <v>264</v>
      </c>
    </row>
    <row r="70" spans="1:7">
      <c r="A70" s="83">
        <v>1</v>
      </c>
      <c r="B70" s="83" t="s">
        <v>291</v>
      </c>
      <c r="C70" s="258">
        <v>7.9</v>
      </c>
      <c r="D70" s="258">
        <v>0.4</v>
      </c>
      <c r="E70" s="258">
        <v>0.45</v>
      </c>
      <c r="F70" s="258">
        <v>2</v>
      </c>
      <c r="G70" s="84">
        <f>ROUND(IF(COUNTA(B70:F70)=0,0,IF(C70="",1,C70)*IF(D70="",1,D70)*IF(E70="",1,E70)*IF(F70="",1,F70)),2)</f>
        <v>2.84</v>
      </c>
    </row>
    <row r="71" spans="1:7">
      <c r="A71" s="83">
        <v>2</v>
      </c>
      <c r="B71" s="83" t="s">
        <v>292</v>
      </c>
      <c r="C71" s="258">
        <v>8.1</v>
      </c>
      <c r="D71" s="258">
        <v>0.4</v>
      </c>
      <c r="E71" s="258">
        <v>0.45</v>
      </c>
      <c r="F71" s="258">
        <v>2</v>
      </c>
      <c r="G71" s="84">
        <f>ROUND(IF(COUNTA(B71:F71)=0,0,IF(C71="",1,C71)*IF(D71="",1,D71)*IF(E71="",1,E71)*IF(F71="",1,F71)),2)</f>
        <v>2.92</v>
      </c>
    </row>
    <row r="72" spans="1:7">
      <c r="A72" s="83">
        <v>3</v>
      </c>
      <c r="B72" s="83"/>
      <c r="C72" s="258"/>
      <c r="D72" s="258"/>
      <c r="E72" s="258"/>
      <c r="F72" s="258"/>
      <c r="G72" s="84">
        <f>ROUND(IF(COUNTA(B72:F72)=0,0,IF(C72="",1,C72)*IF(D72="",1,D72)*IF(E72="",1,E72)*IF(F72="",1,F72)),2)</f>
        <v>0</v>
      </c>
    </row>
    <row r="73" spans="1:7">
      <c r="A73" s="83">
        <v>4</v>
      </c>
      <c r="B73" s="83"/>
      <c r="C73" s="258"/>
      <c r="D73" s="258"/>
      <c r="E73" s="258"/>
      <c r="F73" s="258"/>
      <c r="G73" s="84">
        <f>ROUND(IF(COUNTA(B73:F73)=0,0,IF(C73="",1,C73)*IF(D73="",1,D73)*IF(E73="",1,E73)*IF(F73="",1,F73)),2)</f>
        <v>0</v>
      </c>
    </row>
    <row r="74" spans="1:7">
      <c r="A74" s="83">
        <v>5</v>
      </c>
      <c r="B74" s="83"/>
      <c r="C74" s="258"/>
      <c r="D74" s="258"/>
      <c r="E74" s="258"/>
      <c r="F74" s="258"/>
      <c r="G74" s="84">
        <f>ROUND(IF(COUNTA(B74:F74)=0,0,IF(C74="",1,C74)*IF(D74="",1,D74)*IF(E74="",1,E74)*IF(F74="",1,F74)),2)</f>
        <v>0</v>
      </c>
    </row>
    <row r="75" spans="1:7">
      <c r="A75" s="393" t="s">
        <v>266</v>
      </c>
      <c r="B75" s="393" t="s">
        <v>266</v>
      </c>
      <c r="C75" s="394" t="s">
        <v>266</v>
      </c>
      <c r="D75" s="394" t="s">
        <v>266</v>
      </c>
      <c r="E75" s="394" t="s">
        <v>266</v>
      </c>
      <c r="F75" s="394" t="s">
        <v>266</v>
      </c>
      <c r="G75" s="85">
        <f>ROUND(SUM(G70:G74),2)</f>
        <v>5.76</v>
      </c>
    </row>
    <row r="76" spans="1:7">
      <c r="A76" s="78"/>
      <c r="B76" s="78"/>
      <c r="C76" s="86"/>
      <c r="D76" s="86"/>
      <c r="E76" s="86"/>
      <c r="F76" s="86"/>
      <c r="G76" s="86"/>
    </row>
    <row r="77" spans="1:7" ht="45.6" customHeight="1">
      <c r="A77" s="80" t="s">
        <v>293</v>
      </c>
      <c r="B77" s="80" t="s">
        <v>83</v>
      </c>
      <c r="C77" s="392" t="s">
        <v>84</v>
      </c>
      <c r="D77" s="392"/>
      <c r="E77" s="392"/>
      <c r="F77" s="392"/>
      <c r="G77" s="81" t="s">
        <v>72</v>
      </c>
    </row>
    <row r="78" spans="1:7">
      <c r="A78" s="79" t="s">
        <v>258</v>
      </c>
      <c r="B78" s="79" t="s">
        <v>259</v>
      </c>
      <c r="C78" s="82" t="s">
        <v>260</v>
      </c>
      <c r="D78" s="82" t="s">
        <v>261</v>
      </c>
      <c r="E78" s="82" t="s">
        <v>262</v>
      </c>
      <c r="F78" s="82" t="s">
        <v>263</v>
      </c>
      <c r="G78" s="82" t="s">
        <v>264</v>
      </c>
    </row>
    <row r="79" spans="1:7">
      <c r="A79" s="83">
        <v>1</v>
      </c>
      <c r="B79" s="83" t="s">
        <v>294</v>
      </c>
      <c r="C79" s="258">
        <v>45</v>
      </c>
      <c r="D79" s="258">
        <v>0.2</v>
      </c>
      <c r="E79" s="258">
        <v>0.2</v>
      </c>
      <c r="F79" s="258">
        <v>1</v>
      </c>
      <c r="G79" s="84">
        <f>ROUND(IF(COUNTA(B79:F79)=0,0,IF(C79="",1,C79)*IF(D79="",1,D79)*IF(E79="",1,E79)*IF(F79="",1,F79)),2)</f>
        <v>1.8</v>
      </c>
    </row>
    <row r="80" spans="1:7">
      <c r="A80" s="83">
        <v>2</v>
      </c>
      <c r="B80" s="83"/>
      <c r="C80" s="258"/>
      <c r="D80" s="258"/>
      <c r="E80" s="258"/>
      <c r="F80" s="258"/>
      <c r="G80" s="84">
        <f>ROUND(IF(COUNTA(B80:F80)=0,0,IF(C80="",1,C80)*IF(D80="",1,D80)*IF(E80="",1,E80)*IF(F80="",1,F80)),2)</f>
        <v>0</v>
      </c>
    </row>
    <row r="81" spans="1:7">
      <c r="A81" s="83">
        <v>3</v>
      </c>
      <c r="B81" s="83"/>
      <c r="C81" s="258"/>
      <c r="D81" s="258"/>
      <c r="E81" s="258"/>
      <c r="F81" s="258"/>
      <c r="G81" s="84">
        <f>ROUND(IF(COUNTA(B81:F81)=0,0,IF(C81="",1,C81)*IF(D81="",1,D81)*IF(E81="",1,E81)*IF(F81="",1,F81)),2)</f>
        <v>0</v>
      </c>
    </row>
    <row r="82" spans="1:7">
      <c r="A82" s="83">
        <v>4</v>
      </c>
      <c r="B82" s="83"/>
      <c r="C82" s="258"/>
      <c r="D82" s="258"/>
      <c r="E82" s="258"/>
      <c r="F82" s="258"/>
      <c r="G82" s="84">
        <f>ROUND(IF(COUNTA(B82:F82)=0,0,IF(C82="",1,C82)*IF(D82="",1,D82)*IF(E82="",1,E82)*IF(F82="",1,F82)),2)</f>
        <v>0</v>
      </c>
    </row>
    <row r="83" spans="1:7">
      <c r="A83" s="83">
        <v>5</v>
      </c>
      <c r="B83" s="83"/>
      <c r="C83" s="258"/>
      <c r="D83" s="258"/>
      <c r="E83" s="258"/>
      <c r="F83" s="258"/>
      <c r="G83" s="84">
        <f>ROUND(IF(COUNTA(B83:F83)=0,0,IF(C83="",1,C83)*IF(D83="",1,D83)*IF(E83="",1,E83)*IF(F83="",1,F83)),2)</f>
        <v>0</v>
      </c>
    </row>
    <row r="84" spans="1:7">
      <c r="A84" s="393" t="s">
        <v>266</v>
      </c>
      <c r="B84" s="393" t="s">
        <v>266</v>
      </c>
      <c r="C84" s="394" t="s">
        <v>266</v>
      </c>
      <c r="D84" s="394" t="s">
        <v>266</v>
      </c>
      <c r="E84" s="394" t="s">
        <v>266</v>
      </c>
      <c r="F84" s="394" t="s">
        <v>266</v>
      </c>
      <c r="G84" s="85">
        <f>ROUND(SUM(G79:G83),2)</f>
        <v>1.8</v>
      </c>
    </row>
    <row r="85" spans="1:7">
      <c r="A85" s="78"/>
      <c r="B85" s="78"/>
      <c r="C85" s="86"/>
      <c r="D85" s="86"/>
      <c r="E85" s="86"/>
      <c r="F85" s="86"/>
      <c r="G85" s="86"/>
    </row>
    <row r="86" spans="1:7" ht="42" customHeight="1">
      <c r="A86" s="80" t="s">
        <v>295</v>
      </c>
      <c r="B86" s="80" t="s">
        <v>85</v>
      </c>
      <c r="C86" s="392" t="s">
        <v>86</v>
      </c>
      <c r="D86" s="392"/>
      <c r="E86" s="392"/>
      <c r="F86" s="392"/>
      <c r="G86" s="81" t="s">
        <v>72</v>
      </c>
    </row>
    <row r="87" spans="1:7">
      <c r="A87" s="79" t="s">
        <v>258</v>
      </c>
      <c r="B87" s="79" t="s">
        <v>259</v>
      </c>
      <c r="C87" s="82" t="s">
        <v>260</v>
      </c>
      <c r="D87" s="82" t="s">
        <v>261</v>
      </c>
      <c r="E87" s="82" t="s">
        <v>262</v>
      </c>
      <c r="F87" s="82" t="s">
        <v>263</v>
      </c>
      <c r="G87" s="82" t="s">
        <v>264</v>
      </c>
    </row>
    <row r="88" spans="1:7">
      <c r="A88" s="83">
        <v>1</v>
      </c>
      <c r="B88" s="83" t="s">
        <v>296</v>
      </c>
      <c r="C88" s="258">
        <v>8</v>
      </c>
      <c r="D88" s="258">
        <v>0.4</v>
      </c>
      <c r="E88" s="258">
        <v>0.4</v>
      </c>
      <c r="F88" s="258">
        <v>3</v>
      </c>
      <c r="G88" s="84">
        <f>ROUND(IF(COUNTA(B88:F88)=0,0,IF(C88="",1,C88)*IF(D88="",1,D88)*IF(E88="",1,E88)*IF(F88="",1,F88)),2)</f>
        <v>3.84</v>
      </c>
    </row>
    <row r="89" spans="1:7">
      <c r="A89" s="83">
        <v>2</v>
      </c>
      <c r="B89" s="83" t="s">
        <v>297</v>
      </c>
      <c r="C89" s="258">
        <v>10.7</v>
      </c>
      <c r="D89" s="258">
        <v>0.4</v>
      </c>
      <c r="E89" s="258">
        <v>0.4</v>
      </c>
      <c r="F89" s="258">
        <v>3</v>
      </c>
      <c r="G89" s="84">
        <f>ROUND(IF(COUNTA(B89:F89)=0,0,IF(C89="",1,C89)*IF(D89="",1,D89)*IF(E89="",1,E89)*IF(F89="",1,F89)),2)</f>
        <v>5.14</v>
      </c>
    </row>
    <row r="90" spans="1:7">
      <c r="A90" s="83">
        <v>3</v>
      </c>
      <c r="B90" s="83"/>
      <c r="C90" s="258"/>
      <c r="D90" s="258"/>
      <c r="E90" s="258"/>
      <c r="F90" s="258"/>
      <c r="G90" s="84">
        <f>ROUND(IF(COUNTA(B90:F90)=0,0,IF(C90="",1,C90)*IF(D90="",1,D90)*IF(E90="",1,E90)*IF(F90="",1,F90)),2)</f>
        <v>0</v>
      </c>
    </row>
    <row r="91" spans="1:7">
      <c r="A91" s="83">
        <v>4</v>
      </c>
      <c r="B91" s="83"/>
      <c r="C91" s="258"/>
      <c r="D91" s="258"/>
      <c r="E91" s="258"/>
      <c r="F91" s="258"/>
      <c r="G91" s="84">
        <f>ROUND(IF(COUNTA(B91:F91)=0,0,IF(C91="",1,C91)*IF(D91="",1,D91)*IF(E91="",1,E91)*IF(F91="",1,F91)),2)</f>
        <v>0</v>
      </c>
    </row>
    <row r="92" spans="1:7">
      <c r="A92" s="83">
        <v>5</v>
      </c>
      <c r="B92" s="83"/>
      <c r="C92" s="258"/>
      <c r="D92" s="258"/>
      <c r="E92" s="258"/>
      <c r="F92" s="258"/>
      <c r="G92" s="84">
        <f>ROUND(IF(COUNTA(B92:F92)=0,0,IF(C92="",1,C92)*IF(D92="",1,D92)*IF(E92="",1,E92)*IF(F92="",1,F92)),2)</f>
        <v>0</v>
      </c>
    </row>
    <row r="93" spans="1:7">
      <c r="A93" s="393" t="s">
        <v>266</v>
      </c>
      <c r="B93" s="393" t="s">
        <v>266</v>
      </c>
      <c r="C93" s="394" t="s">
        <v>266</v>
      </c>
      <c r="D93" s="394" t="s">
        <v>266</v>
      </c>
      <c r="E93" s="394" t="s">
        <v>266</v>
      </c>
      <c r="F93" s="394" t="s">
        <v>266</v>
      </c>
      <c r="G93" s="85">
        <f>ROUND(SUM(G88:G92),2)</f>
        <v>8.98</v>
      </c>
    </row>
    <row r="94" spans="1:7">
      <c r="A94" s="78"/>
      <c r="B94" s="78"/>
      <c r="C94" s="86"/>
      <c r="D94" s="86"/>
      <c r="E94" s="86"/>
      <c r="F94" s="86"/>
      <c r="G94" s="86"/>
    </row>
    <row r="95" spans="1:7" ht="45" customHeight="1">
      <c r="A95" s="80" t="s">
        <v>298</v>
      </c>
      <c r="B95" s="80" t="s">
        <v>87</v>
      </c>
      <c r="C95" s="392" t="s">
        <v>88</v>
      </c>
      <c r="D95" s="392"/>
      <c r="E95" s="392"/>
      <c r="F95" s="392"/>
      <c r="G95" s="81" t="s">
        <v>72</v>
      </c>
    </row>
    <row r="96" spans="1:7">
      <c r="A96" s="79" t="s">
        <v>258</v>
      </c>
      <c r="B96" s="79" t="s">
        <v>259</v>
      </c>
      <c r="C96" s="82" t="s">
        <v>260</v>
      </c>
      <c r="D96" s="82" t="s">
        <v>261</v>
      </c>
      <c r="E96" s="82" t="s">
        <v>262</v>
      </c>
      <c r="F96" s="82" t="s">
        <v>263</v>
      </c>
      <c r="G96" s="82" t="s">
        <v>264</v>
      </c>
    </row>
    <row r="97" spans="1:7">
      <c r="A97" s="83">
        <v>1</v>
      </c>
      <c r="B97" s="83" t="s">
        <v>299</v>
      </c>
      <c r="C97" s="258">
        <v>8.5500000000000007</v>
      </c>
      <c r="D97" s="258">
        <v>0.2</v>
      </c>
      <c r="E97" s="258">
        <v>0.12</v>
      </c>
      <c r="F97" s="258">
        <v>2</v>
      </c>
      <c r="G97" s="84">
        <f>ROUND(IF(COUNTA(B97:F97)=0,0,IF(C97="",1,C97)*IF(D97="",1,D97)*IF(E97="",1,E97)*IF(F97="",1,F97)),2)</f>
        <v>0.41</v>
      </c>
    </row>
    <row r="98" spans="1:7">
      <c r="A98" s="83">
        <v>2</v>
      </c>
      <c r="B98" s="83" t="s">
        <v>300</v>
      </c>
      <c r="C98" s="258">
        <v>8.6</v>
      </c>
      <c r="D98" s="258">
        <v>0.2</v>
      </c>
      <c r="E98" s="258">
        <v>0.12</v>
      </c>
      <c r="F98" s="258">
        <v>2</v>
      </c>
      <c r="G98" s="84">
        <f>ROUND(IF(COUNTA(B98:F98)=0,0,IF(C98="",1,C98)*IF(D98="",1,D98)*IF(E98="",1,E98)*IF(F98="",1,F98)),2)</f>
        <v>0.41</v>
      </c>
    </row>
    <row r="99" spans="1:7">
      <c r="A99" s="83">
        <v>3</v>
      </c>
      <c r="B99" s="83"/>
      <c r="C99" s="258"/>
      <c r="D99" s="258"/>
      <c r="E99" s="258"/>
      <c r="F99" s="258"/>
      <c r="G99" s="84">
        <f>ROUND(IF(COUNTA(B99:F99)=0,0,IF(C99="",1,C99)*IF(D99="",1,D99)*IF(E99="",1,E99)*IF(F99="",1,F99)),2)</f>
        <v>0</v>
      </c>
    </row>
    <row r="100" spans="1:7">
      <c r="A100" s="83">
        <v>4</v>
      </c>
      <c r="B100" s="83"/>
      <c r="C100" s="258"/>
      <c r="D100" s="258"/>
      <c r="E100" s="258"/>
      <c r="F100" s="258"/>
      <c r="G100" s="84">
        <f>ROUND(IF(COUNTA(B100:F100)=0,0,IF(C100="",1,C100)*IF(D100="",1,D100)*IF(E100="",1,E100)*IF(F100="",1,F100)),2)</f>
        <v>0</v>
      </c>
    </row>
    <row r="101" spans="1:7">
      <c r="A101" s="83">
        <v>5</v>
      </c>
      <c r="B101" s="83"/>
      <c r="C101" s="258"/>
      <c r="D101" s="258"/>
      <c r="E101" s="258"/>
      <c r="F101" s="258"/>
      <c r="G101" s="84">
        <f>ROUND(IF(COUNTA(B101:F101)=0,0,IF(C101="",1,C101)*IF(D101="",1,D101)*IF(E101="",1,E101)*IF(F101="",1,F101)),2)</f>
        <v>0</v>
      </c>
    </row>
    <row r="102" spans="1:7">
      <c r="A102" s="393" t="s">
        <v>266</v>
      </c>
      <c r="B102" s="393" t="s">
        <v>266</v>
      </c>
      <c r="C102" s="394" t="s">
        <v>266</v>
      </c>
      <c r="D102" s="394" t="s">
        <v>266</v>
      </c>
      <c r="E102" s="394" t="s">
        <v>266</v>
      </c>
      <c r="F102" s="394" t="s">
        <v>266</v>
      </c>
      <c r="G102" s="85">
        <f>ROUND(SUM(G97:G101),2)</f>
        <v>0.82</v>
      </c>
    </row>
    <row r="103" spans="1:7">
      <c r="A103" s="78"/>
      <c r="B103" s="78"/>
      <c r="C103" s="86"/>
      <c r="D103" s="86"/>
      <c r="E103" s="86"/>
      <c r="F103" s="86"/>
      <c r="G103" s="86"/>
    </row>
    <row r="104" spans="1:7" ht="46.15" customHeight="1">
      <c r="A104" s="80" t="s">
        <v>301</v>
      </c>
      <c r="B104" s="80" t="s">
        <v>89</v>
      </c>
      <c r="C104" s="392" t="s">
        <v>90</v>
      </c>
      <c r="D104" s="392"/>
      <c r="E104" s="392"/>
      <c r="F104" s="392"/>
      <c r="G104" s="81" t="s">
        <v>72</v>
      </c>
    </row>
    <row r="105" spans="1:7">
      <c r="A105" s="79" t="s">
        <v>258</v>
      </c>
      <c r="B105" s="79" t="s">
        <v>259</v>
      </c>
      <c r="C105" s="82" t="s">
        <v>260</v>
      </c>
      <c r="D105" s="82" t="s">
        <v>261</v>
      </c>
      <c r="E105" s="82" t="s">
        <v>262</v>
      </c>
      <c r="F105" s="82" t="s">
        <v>263</v>
      </c>
      <c r="G105" s="82" t="s">
        <v>264</v>
      </c>
    </row>
    <row r="106" spans="1:7">
      <c r="A106" s="83">
        <v>1</v>
      </c>
      <c r="B106" s="83" t="s">
        <v>302</v>
      </c>
      <c r="C106" s="258">
        <v>8.1999999999999993</v>
      </c>
      <c r="D106" s="258">
        <v>0.25</v>
      </c>
      <c r="E106" s="258">
        <v>0.45</v>
      </c>
      <c r="F106" s="258">
        <v>4</v>
      </c>
      <c r="G106" s="84">
        <f>ROUND(IF(COUNTA(B106:F106)=0,0,IF(C106="",1,C106)*IF(D106="",1,D106)*IF(E106="",1,E106)*IF(F106="",1,F106)),2)</f>
        <v>3.69</v>
      </c>
    </row>
    <row r="107" spans="1:7">
      <c r="A107" s="83">
        <v>2</v>
      </c>
      <c r="B107" s="83"/>
      <c r="C107" s="258"/>
      <c r="D107" s="258"/>
      <c r="E107" s="258"/>
      <c r="F107" s="258"/>
      <c r="G107" s="84">
        <f>ROUND(IF(COUNTA(B107:F107)=0,0,IF(C107="",1,C107)*IF(D107="",1,D107)*IF(E107="",1,E107)*IF(F107="",1,F107)),2)</f>
        <v>0</v>
      </c>
    </row>
    <row r="108" spans="1:7">
      <c r="A108" s="83">
        <v>3</v>
      </c>
      <c r="B108" s="83"/>
      <c r="C108" s="258"/>
      <c r="D108" s="258"/>
      <c r="E108" s="258"/>
      <c r="F108" s="258"/>
      <c r="G108" s="84">
        <f>ROUND(IF(COUNTA(B108:F108)=0,0,IF(C108="",1,C108)*IF(D108="",1,D108)*IF(E108="",1,E108)*IF(F108="",1,F108)),2)</f>
        <v>0</v>
      </c>
    </row>
    <row r="109" spans="1:7">
      <c r="A109" s="83">
        <v>4</v>
      </c>
      <c r="B109" s="83"/>
      <c r="C109" s="258"/>
      <c r="D109" s="258"/>
      <c r="E109" s="258"/>
      <c r="F109" s="258"/>
      <c r="G109" s="84">
        <f>ROUND(IF(COUNTA(B109:F109)=0,0,IF(C109="",1,C109)*IF(D109="",1,D109)*IF(E109="",1,E109)*IF(F109="",1,F109)),2)</f>
        <v>0</v>
      </c>
    </row>
    <row r="110" spans="1:7">
      <c r="A110" s="83">
        <v>5</v>
      </c>
      <c r="B110" s="83"/>
      <c r="C110" s="258"/>
      <c r="D110" s="258"/>
      <c r="E110" s="258"/>
      <c r="F110" s="258"/>
      <c r="G110" s="84">
        <f>ROUND(IF(COUNTA(B110:F110)=0,0,IF(C110="",1,C110)*IF(D110="",1,D110)*IF(E110="",1,E110)*IF(F110="",1,F110)),2)</f>
        <v>0</v>
      </c>
    </row>
    <row r="111" spans="1:7">
      <c r="A111" s="393" t="s">
        <v>266</v>
      </c>
      <c r="B111" s="393" t="s">
        <v>266</v>
      </c>
      <c r="C111" s="394" t="s">
        <v>266</v>
      </c>
      <c r="D111" s="394" t="s">
        <v>266</v>
      </c>
      <c r="E111" s="394" t="s">
        <v>266</v>
      </c>
      <c r="F111" s="394" t="s">
        <v>266</v>
      </c>
      <c r="G111" s="85">
        <f>ROUND(SUM(G106:G110),2)</f>
        <v>3.69</v>
      </c>
    </row>
    <row r="112" spans="1:7">
      <c r="A112" s="78"/>
      <c r="B112" s="78"/>
      <c r="C112" s="86"/>
      <c r="D112" s="86"/>
      <c r="E112" s="86"/>
      <c r="F112" s="86"/>
      <c r="G112" s="86"/>
    </row>
    <row r="113" spans="1:7" ht="42.6" customHeight="1">
      <c r="A113" s="80" t="s">
        <v>303</v>
      </c>
      <c r="B113" s="80" t="s">
        <v>91</v>
      </c>
      <c r="C113" s="392" t="s">
        <v>92</v>
      </c>
      <c r="D113" s="392"/>
      <c r="E113" s="392"/>
      <c r="F113" s="392"/>
      <c r="G113" s="81" t="s">
        <v>72</v>
      </c>
    </row>
    <row r="114" spans="1:7">
      <c r="A114" s="79" t="s">
        <v>258</v>
      </c>
      <c r="B114" s="79" t="s">
        <v>259</v>
      </c>
      <c r="C114" s="82" t="s">
        <v>260</v>
      </c>
      <c r="D114" s="82" t="s">
        <v>261</v>
      </c>
      <c r="E114" s="82" t="s">
        <v>262</v>
      </c>
      <c r="F114" s="82" t="s">
        <v>263</v>
      </c>
      <c r="G114" s="82" t="s">
        <v>264</v>
      </c>
    </row>
    <row r="115" spans="1:7">
      <c r="A115" s="83">
        <v>1</v>
      </c>
      <c r="B115" s="83" t="s">
        <v>304</v>
      </c>
      <c r="C115" s="258">
        <v>6.24</v>
      </c>
      <c r="D115" s="258">
        <v>0.12</v>
      </c>
      <c r="E115" s="258">
        <v>2</v>
      </c>
      <c r="F115" s="258">
        <v>4</v>
      </c>
      <c r="G115" s="84">
        <f>ROUND(IF(COUNTA(B115:F115)=0,0,IF(C115="",1,C115)*IF(D115="",1,D115)*IF(E115="",1,E115)*IF(F115="",1,F115)),2)</f>
        <v>5.99</v>
      </c>
    </row>
    <row r="116" spans="1:7">
      <c r="A116" s="83">
        <v>2</v>
      </c>
      <c r="B116" s="83"/>
      <c r="C116" s="258"/>
      <c r="D116" s="258"/>
      <c r="E116" s="258"/>
      <c r="F116" s="258"/>
      <c r="G116" s="84">
        <f>ROUND(IF(COUNTA(B116:F116)=0,0,IF(C116="",1,C116)*IF(D116="",1,D116)*IF(E116="",1,E116)*IF(F116="",1,F116)),2)</f>
        <v>0</v>
      </c>
    </row>
    <row r="117" spans="1:7">
      <c r="A117" s="83">
        <v>3</v>
      </c>
      <c r="B117" s="83"/>
      <c r="C117" s="258"/>
      <c r="D117" s="258"/>
      <c r="E117" s="258"/>
      <c r="F117" s="258"/>
      <c r="G117" s="84">
        <f>ROUND(IF(COUNTA(B117:F117)=0,0,IF(C117="",1,C117)*IF(D117="",1,D117)*IF(E117="",1,E117)*IF(F117="",1,F117)),2)</f>
        <v>0</v>
      </c>
    </row>
    <row r="118" spans="1:7">
      <c r="A118" s="83">
        <v>4</v>
      </c>
      <c r="B118" s="83"/>
      <c r="C118" s="258"/>
      <c r="D118" s="258"/>
      <c r="E118" s="258"/>
      <c r="F118" s="258"/>
      <c r="G118" s="84">
        <f>ROUND(IF(COUNTA(B118:F118)=0,0,IF(C118="",1,C118)*IF(D118="",1,D118)*IF(E118="",1,E118)*IF(F118="",1,F118)),2)</f>
        <v>0</v>
      </c>
    </row>
    <row r="119" spans="1:7">
      <c r="A119" s="83">
        <v>5</v>
      </c>
      <c r="B119" s="83"/>
      <c r="C119" s="258"/>
      <c r="D119" s="258"/>
      <c r="E119" s="258"/>
      <c r="F119" s="258"/>
      <c r="G119" s="84">
        <f>ROUND(IF(COUNTA(B119:F119)=0,0,IF(C119="",1,C119)*IF(D119="",1,D119)*IF(E119="",1,E119)*IF(F119="",1,F119)),2)</f>
        <v>0</v>
      </c>
    </row>
    <row r="120" spans="1:7">
      <c r="A120" s="393" t="s">
        <v>266</v>
      </c>
      <c r="B120" s="393" t="s">
        <v>266</v>
      </c>
      <c r="C120" s="394" t="s">
        <v>266</v>
      </c>
      <c r="D120" s="394" t="s">
        <v>266</v>
      </c>
      <c r="E120" s="394" t="s">
        <v>266</v>
      </c>
      <c r="F120" s="394" t="s">
        <v>266</v>
      </c>
      <c r="G120" s="85">
        <f>ROUND(SUM(G115:G119),2)</f>
        <v>5.99</v>
      </c>
    </row>
    <row r="121" spans="1:7">
      <c r="A121" s="78"/>
      <c r="B121" s="78"/>
      <c r="C121" s="86"/>
      <c r="D121" s="86"/>
      <c r="E121" s="86"/>
      <c r="F121" s="86"/>
      <c r="G121" s="86"/>
    </row>
    <row r="122" spans="1:7" ht="70.900000000000006" customHeight="1">
      <c r="A122" s="80" t="s">
        <v>305</v>
      </c>
      <c r="B122" s="80" t="s">
        <v>93</v>
      </c>
      <c r="C122" s="392" t="s">
        <v>94</v>
      </c>
      <c r="D122" s="392"/>
      <c r="E122" s="392"/>
      <c r="F122" s="392"/>
      <c r="G122" s="81" t="s">
        <v>65</v>
      </c>
    </row>
    <row r="123" spans="1:7">
      <c r="A123" s="79" t="s">
        <v>258</v>
      </c>
      <c r="B123" s="79" t="s">
        <v>259</v>
      </c>
      <c r="C123" s="82" t="s">
        <v>260</v>
      </c>
      <c r="D123" s="82" t="s">
        <v>261</v>
      </c>
      <c r="E123" s="82" t="s">
        <v>262</v>
      </c>
      <c r="F123" s="82" t="s">
        <v>263</v>
      </c>
      <c r="G123" s="82" t="s">
        <v>264</v>
      </c>
    </row>
    <row r="124" spans="1:7">
      <c r="A124" s="83">
        <v>1</v>
      </c>
      <c r="B124" s="83" t="s">
        <v>265</v>
      </c>
      <c r="C124" s="258">
        <v>10</v>
      </c>
      <c r="D124" s="258">
        <v>12.5</v>
      </c>
      <c r="E124" s="258"/>
      <c r="F124" s="258">
        <v>1</v>
      </c>
      <c r="G124" s="84">
        <f>ROUND(IF(COUNTA(B124:F124)=0,0,IF(C124="",1,C124)*IF(D124="",1,D124)*IF(E124="",1,E124)*IF(F124="",1,F124)),2)</f>
        <v>125</v>
      </c>
    </row>
    <row r="125" spans="1:7">
      <c r="A125" s="83">
        <v>2</v>
      </c>
      <c r="B125" s="83"/>
      <c r="C125" s="258"/>
      <c r="D125" s="258"/>
      <c r="E125" s="258"/>
      <c r="F125" s="258"/>
      <c r="G125" s="84">
        <f>ROUND(IF(COUNTA(B125:F125)=0,0,IF(C125="",1,C125)*IF(D125="",1,D125)*IF(E125="",1,E125)*IF(F125="",1,F125)),2)</f>
        <v>0</v>
      </c>
    </row>
    <row r="126" spans="1:7">
      <c r="A126" s="83">
        <v>3</v>
      </c>
      <c r="B126" s="83"/>
      <c r="C126" s="258"/>
      <c r="D126" s="258"/>
      <c r="E126" s="258"/>
      <c r="F126" s="258"/>
      <c r="G126" s="84">
        <f>ROUND(IF(COUNTA(B126:F126)=0,0,IF(C126="",1,C126)*IF(D126="",1,D126)*IF(E126="",1,E126)*IF(F126="",1,F126)),2)</f>
        <v>0</v>
      </c>
    </row>
    <row r="127" spans="1:7">
      <c r="A127" s="83">
        <v>4</v>
      </c>
      <c r="B127" s="83"/>
      <c r="C127" s="258"/>
      <c r="D127" s="258"/>
      <c r="E127" s="258"/>
      <c r="F127" s="258"/>
      <c r="G127" s="84">
        <f>ROUND(IF(COUNTA(B127:F127)=0,0,IF(C127="",1,C127)*IF(D127="",1,D127)*IF(E127="",1,E127)*IF(F127="",1,F127)),2)</f>
        <v>0</v>
      </c>
    </row>
    <row r="128" spans="1:7">
      <c r="A128" s="83">
        <v>5</v>
      </c>
      <c r="B128" s="83"/>
      <c r="C128" s="258"/>
      <c r="D128" s="258"/>
      <c r="E128" s="258"/>
      <c r="F128" s="258"/>
      <c r="G128" s="84">
        <f>ROUND(IF(COUNTA(B128:F128)=0,0,IF(C128="",1,C128)*IF(D128="",1,D128)*IF(E128="",1,E128)*IF(F128="",1,F128)),2)</f>
        <v>0</v>
      </c>
    </row>
    <row r="129" spans="1:7">
      <c r="A129" s="393" t="s">
        <v>266</v>
      </c>
      <c r="B129" s="393" t="s">
        <v>266</v>
      </c>
      <c r="C129" s="394" t="s">
        <v>266</v>
      </c>
      <c r="D129" s="394" t="s">
        <v>266</v>
      </c>
      <c r="E129" s="394" t="s">
        <v>266</v>
      </c>
      <c r="F129" s="394" t="s">
        <v>266</v>
      </c>
      <c r="G129" s="85">
        <f>ROUND(SUM(G124:G128),2)</f>
        <v>125</v>
      </c>
    </row>
    <row r="130" spans="1:7">
      <c r="A130" s="78"/>
      <c r="B130" s="78"/>
      <c r="C130" s="86"/>
      <c r="D130" s="86"/>
      <c r="E130" s="86"/>
      <c r="F130" s="86"/>
      <c r="G130" s="86"/>
    </row>
    <row r="131" spans="1:7" ht="56.45" customHeight="1">
      <c r="A131" s="80" t="s">
        <v>306</v>
      </c>
      <c r="B131" s="80" t="s">
        <v>95</v>
      </c>
      <c r="C131" s="392" t="s">
        <v>96</v>
      </c>
      <c r="D131" s="392"/>
      <c r="E131" s="392"/>
      <c r="F131" s="392"/>
      <c r="G131" s="81" t="s">
        <v>65</v>
      </c>
    </row>
    <row r="132" spans="1:7">
      <c r="A132" s="79" t="s">
        <v>258</v>
      </c>
      <c r="B132" s="79" t="s">
        <v>259</v>
      </c>
      <c r="C132" s="82" t="s">
        <v>260</v>
      </c>
      <c r="D132" s="82" t="s">
        <v>261</v>
      </c>
      <c r="E132" s="82" t="s">
        <v>262</v>
      </c>
      <c r="F132" s="82" t="s">
        <v>263</v>
      </c>
      <c r="G132" s="82" t="s">
        <v>264</v>
      </c>
    </row>
    <row r="133" spans="1:7">
      <c r="A133" s="83">
        <v>1</v>
      </c>
      <c r="B133" s="83" t="s">
        <v>307</v>
      </c>
      <c r="C133" s="258">
        <v>12.6</v>
      </c>
      <c r="D133" s="258">
        <v>2</v>
      </c>
      <c r="E133" s="258"/>
      <c r="F133" s="258">
        <v>1</v>
      </c>
      <c r="G133" s="84">
        <f>ROUND(IF(COUNTA(B133:F133)=0,0,IF(C133="",1,C133)*IF(D133="",1,D133)*IF(E133="",1,E133)*IF(F133="",1,F133)),2)</f>
        <v>25.2</v>
      </c>
    </row>
    <row r="134" spans="1:7">
      <c r="A134" s="83">
        <v>2</v>
      </c>
      <c r="B134" s="83"/>
      <c r="C134" s="258"/>
      <c r="D134" s="258"/>
      <c r="E134" s="258"/>
      <c r="F134" s="258"/>
      <c r="G134" s="84">
        <f>ROUND(IF(COUNTA(B134:F134)=0,0,IF(C134="",1,C134)*IF(D134="",1,D134)*IF(E134="",1,E134)*IF(F134="",1,F134)),2)</f>
        <v>0</v>
      </c>
    </row>
    <row r="135" spans="1:7">
      <c r="A135" s="83">
        <v>3</v>
      </c>
      <c r="B135" s="83"/>
      <c r="C135" s="258"/>
      <c r="D135" s="258"/>
      <c r="E135" s="258"/>
      <c r="F135" s="258"/>
      <c r="G135" s="84">
        <f>ROUND(IF(COUNTA(B135:F135)=0,0,IF(C135="",1,C135)*IF(D135="",1,D135)*IF(E135="",1,E135)*IF(F135="",1,F135)),2)</f>
        <v>0</v>
      </c>
    </row>
    <row r="136" spans="1:7">
      <c r="A136" s="83">
        <v>4</v>
      </c>
      <c r="B136" s="83"/>
      <c r="C136" s="258"/>
      <c r="D136" s="258"/>
      <c r="E136" s="258"/>
      <c r="F136" s="258"/>
      <c r="G136" s="84">
        <f>ROUND(IF(COUNTA(B136:F136)=0,0,IF(C136="",1,C136)*IF(D136="",1,D136)*IF(E136="",1,E136)*IF(F136="",1,F136)),2)</f>
        <v>0</v>
      </c>
    </row>
    <row r="137" spans="1:7">
      <c r="A137" s="83">
        <v>5</v>
      </c>
      <c r="B137" s="83"/>
      <c r="C137" s="258"/>
      <c r="D137" s="258"/>
      <c r="E137" s="258"/>
      <c r="F137" s="258"/>
      <c r="G137" s="84">
        <f>ROUND(IF(COUNTA(B137:F137)=0,0,IF(C137="",1,C137)*IF(D137="",1,D137)*IF(E137="",1,E137)*IF(F137="",1,F137)),2)</f>
        <v>0</v>
      </c>
    </row>
    <row r="138" spans="1:7">
      <c r="A138" s="393" t="s">
        <v>266</v>
      </c>
      <c r="B138" s="393" t="s">
        <v>266</v>
      </c>
      <c r="C138" s="394" t="s">
        <v>266</v>
      </c>
      <c r="D138" s="394" t="s">
        <v>266</v>
      </c>
      <c r="E138" s="394" t="s">
        <v>266</v>
      </c>
      <c r="F138" s="394" t="s">
        <v>266</v>
      </c>
      <c r="G138" s="85">
        <f>ROUND(SUM(G133:G137),2)</f>
        <v>25.2</v>
      </c>
    </row>
    <row r="139" spans="1:7">
      <c r="A139" s="78"/>
      <c r="B139" s="78"/>
      <c r="C139" s="86"/>
      <c r="D139" s="86"/>
      <c r="E139" s="86"/>
      <c r="F139" s="86"/>
      <c r="G139" s="86"/>
    </row>
    <row r="140" spans="1:7" ht="46.9" customHeight="1">
      <c r="A140" s="80" t="s">
        <v>308</v>
      </c>
      <c r="B140" s="80" t="s">
        <v>97</v>
      </c>
      <c r="C140" s="392" t="s">
        <v>98</v>
      </c>
      <c r="D140" s="392"/>
      <c r="E140" s="392"/>
      <c r="F140" s="392"/>
      <c r="G140" s="81" t="s">
        <v>72</v>
      </c>
    </row>
    <row r="141" spans="1:7">
      <c r="A141" s="79" t="s">
        <v>258</v>
      </c>
      <c r="B141" s="79" t="s">
        <v>259</v>
      </c>
      <c r="C141" s="82" t="s">
        <v>260</v>
      </c>
      <c r="D141" s="82" t="s">
        <v>261</v>
      </c>
      <c r="E141" s="82" t="s">
        <v>262</v>
      </c>
      <c r="F141" s="82" t="s">
        <v>263</v>
      </c>
      <c r="G141" s="82" t="s">
        <v>264</v>
      </c>
    </row>
    <row r="142" spans="1:7" ht="25.5">
      <c r="A142" s="83">
        <v>1</v>
      </c>
      <c r="B142" s="83" t="s">
        <v>309</v>
      </c>
      <c r="C142" s="258">
        <v>11.32</v>
      </c>
      <c r="D142" s="258"/>
      <c r="E142" s="258">
        <f>0.1*0.3</f>
        <v>0.03</v>
      </c>
      <c r="F142" s="258">
        <v>4</v>
      </c>
      <c r="G142" s="84">
        <f>ROUND(IF(COUNTA(B142:F142)=0,0,IF(C142="",1,C142)*IF(D142="",1,D142)*IF(E142="",1,E142)*IF(F142="",1,F142)),2)</f>
        <v>1.36</v>
      </c>
    </row>
    <row r="143" spans="1:7">
      <c r="A143" s="83">
        <v>2</v>
      </c>
      <c r="B143" s="83"/>
      <c r="C143" s="258"/>
      <c r="D143" s="258"/>
      <c r="E143" s="258"/>
      <c r="F143" s="258"/>
      <c r="G143" s="84">
        <f>ROUND(IF(COUNTA(B143:F143)=0,0,IF(C143="",1,C143)*IF(D143="",1,D143)*IF(E143="",1,E143)*IF(F143="",1,F143)),2)</f>
        <v>0</v>
      </c>
    </row>
    <row r="144" spans="1:7">
      <c r="A144" s="83">
        <v>3</v>
      </c>
      <c r="B144" s="83"/>
      <c r="C144" s="258"/>
      <c r="D144" s="258"/>
      <c r="E144" s="258"/>
      <c r="F144" s="258"/>
      <c r="G144" s="84">
        <f>ROUND(IF(COUNTA(B144:F144)=0,0,IF(C144="",1,C144)*IF(D144="",1,D144)*IF(E144="",1,E144)*IF(F144="",1,F144)),2)</f>
        <v>0</v>
      </c>
    </row>
    <row r="145" spans="1:7">
      <c r="A145" s="83">
        <v>4</v>
      </c>
      <c r="B145" s="83"/>
      <c r="C145" s="258"/>
      <c r="D145" s="258"/>
      <c r="E145" s="258"/>
      <c r="F145" s="258"/>
      <c r="G145" s="84">
        <f>ROUND(IF(COUNTA(B145:F145)=0,0,IF(C145="",1,C145)*IF(D145="",1,D145)*IF(E145="",1,E145)*IF(F145="",1,F145)),2)</f>
        <v>0</v>
      </c>
    </row>
    <row r="146" spans="1:7">
      <c r="A146" s="83">
        <v>5</v>
      </c>
      <c r="B146" s="83"/>
      <c r="C146" s="258"/>
      <c r="D146" s="258"/>
      <c r="E146" s="258"/>
      <c r="F146" s="258"/>
      <c r="G146" s="84">
        <f>ROUND(IF(COUNTA(B146:F146)=0,0,IF(C146="",1,C146)*IF(D146="",1,D146)*IF(E146="",1,E146)*IF(F146="",1,F146)),2)</f>
        <v>0</v>
      </c>
    </row>
    <row r="147" spans="1:7">
      <c r="A147" s="393" t="s">
        <v>266</v>
      </c>
      <c r="B147" s="393" t="s">
        <v>266</v>
      </c>
      <c r="C147" s="394" t="s">
        <v>266</v>
      </c>
      <c r="D147" s="394" t="s">
        <v>266</v>
      </c>
      <c r="E147" s="394" t="s">
        <v>266</v>
      </c>
      <c r="F147" s="394" t="s">
        <v>266</v>
      </c>
      <c r="G147" s="85">
        <f>ROUND(SUM(G142:G146),2)</f>
        <v>1.36</v>
      </c>
    </row>
    <row r="148" spans="1:7">
      <c r="A148" s="78"/>
      <c r="B148" s="78"/>
      <c r="C148" s="86"/>
      <c r="D148" s="86"/>
      <c r="E148" s="86"/>
      <c r="F148" s="86"/>
      <c r="G148" s="86"/>
    </row>
    <row r="149" spans="1:7" ht="58.9" customHeight="1">
      <c r="A149" s="80" t="s">
        <v>310</v>
      </c>
      <c r="B149" s="80" t="s">
        <v>99</v>
      </c>
      <c r="C149" s="392" t="s">
        <v>100</v>
      </c>
      <c r="D149" s="392"/>
      <c r="E149" s="392"/>
      <c r="F149" s="392"/>
      <c r="G149" s="81" t="s">
        <v>72</v>
      </c>
    </row>
    <row r="150" spans="1:7">
      <c r="A150" s="79" t="s">
        <v>258</v>
      </c>
      <c r="B150" s="79" t="s">
        <v>259</v>
      </c>
      <c r="C150" s="82" t="s">
        <v>260</v>
      </c>
      <c r="D150" s="82" t="s">
        <v>261</v>
      </c>
      <c r="E150" s="82" t="s">
        <v>262</v>
      </c>
      <c r="F150" s="82" t="s">
        <v>263</v>
      </c>
      <c r="G150" s="82" t="s">
        <v>264</v>
      </c>
    </row>
    <row r="151" spans="1:7" ht="25.5">
      <c r="A151" s="83">
        <v>1</v>
      </c>
      <c r="B151" s="83" t="s">
        <v>311</v>
      </c>
      <c r="C151" s="258">
        <v>22</v>
      </c>
      <c r="D151" s="258"/>
      <c r="E151" s="258">
        <f>(0.3+2*0.08)*(0.05+0.08)-0.3*0.05</f>
        <v>4.48E-2</v>
      </c>
      <c r="F151" s="258">
        <v>4</v>
      </c>
      <c r="G151" s="84">
        <f>ROUND(IF(COUNTA(B151:F151)=0,0,IF(C151="",1,C151)*IF(D151="",1,D151)*IF(E151="",1,E151)*IF(F151="",1,F151)),2)</f>
        <v>3.94</v>
      </c>
    </row>
    <row r="152" spans="1:7">
      <c r="A152" s="83">
        <v>2</v>
      </c>
      <c r="B152" s="83"/>
      <c r="C152" s="258"/>
      <c r="D152" s="258"/>
      <c r="E152" s="258"/>
      <c r="F152" s="258"/>
      <c r="G152" s="84">
        <f>ROUND(IF(COUNTA(B152:F152)=0,0,IF(C152="",1,C152)*IF(D152="",1,D152)*IF(E152="",1,E152)*IF(F152="",1,F152)),2)</f>
        <v>0</v>
      </c>
    </row>
    <row r="153" spans="1:7">
      <c r="A153" s="83">
        <v>3</v>
      </c>
      <c r="B153" s="83"/>
      <c r="C153" s="258"/>
      <c r="D153" s="258"/>
      <c r="E153" s="258"/>
      <c r="F153" s="258"/>
      <c r="G153" s="84">
        <f>ROUND(IF(COUNTA(B153:F153)=0,0,IF(C153="",1,C153)*IF(D153="",1,D153)*IF(E153="",1,E153)*IF(F153="",1,F153)),2)</f>
        <v>0</v>
      </c>
    </row>
    <row r="154" spans="1:7">
      <c r="A154" s="83">
        <v>4</v>
      </c>
      <c r="B154" s="83"/>
      <c r="C154" s="258"/>
      <c r="D154" s="258"/>
      <c r="E154" s="258"/>
      <c r="F154" s="258"/>
      <c r="G154" s="84">
        <f>ROUND(IF(COUNTA(B154:F154)=0,0,IF(C154="",1,C154)*IF(D154="",1,D154)*IF(E154="",1,E154)*IF(F154="",1,F154)),2)</f>
        <v>0</v>
      </c>
    </row>
    <row r="155" spans="1:7">
      <c r="A155" s="83">
        <v>5</v>
      </c>
      <c r="B155" s="83"/>
      <c r="C155" s="258"/>
      <c r="D155" s="258"/>
      <c r="E155" s="258"/>
      <c r="F155" s="258"/>
      <c r="G155" s="84">
        <f>ROUND(IF(COUNTA(B155:F155)=0,0,IF(C155="",1,C155)*IF(D155="",1,D155)*IF(E155="",1,E155)*IF(F155="",1,F155)),2)</f>
        <v>0</v>
      </c>
    </row>
    <row r="156" spans="1:7">
      <c r="A156" s="393" t="s">
        <v>266</v>
      </c>
      <c r="B156" s="393" t="s">
        <v>266</v>
      </c>
      <c r="C156" s="394" t="s">
        <v>266</v>
      </c>
      <c r="D156" s="394" t="s">
        <v>266</v>
      </c>
      <c r="E156" s="394" t="s">
        <v>266</v>
      </c>
      <c r="F156" s="394" t="s">
        <v>266</v>
      </c>
      <c r="G156" s="85">
        <f>ROUND(SUM(G151:G155),2)</f>
        <v>3.94</v>
      </c>
    </row>
    <row r="157" spans="1:7">
      <c r="A157" s="78"/>
      <c r="B157" s="78"/>
      <c r="C157" s="86"/>
      <c r="D157" s="86"/>
      <c r="E157" s="86"/>
      <c r="F157" s="86"/>
      <c r="G157" s="86"/>
    </row>
    <row r="158" spans="1:7" ht="42" customHeight="1">
      <c r="A158" s="80" t="s">
        <v>312</v>
      </c>
      <c r="B158" s="80" t="s">
        <v>101</v>
      </c>
      <c r="C158" s="392" t="s">
        <v>102</v>
      </c>
      <c r="D158" s="392"/>
      <c r="E158" s="392"/>
      <c r="F158" s="392"/>
      <c r="G158" s="81" t="s">
        <v>103</v>
      </c>
    </row>
    <row r="159" spans="1:7">
      <c r="A159" s="79" t="s">
        <v>258</v>
      </c>
      <c r="B159" s="79" t="s">
        <v>259</v>
      </c>
      <c r="C159" s="82" t="s">
        <v>260</v>
      </c>
      <c r="D159" s="82" t="s">
        <v>261</v>
      </c>
      <c r="E159" s="82" t="s">
        <v>262</v>
      </c>
      <c r="F159" s="82" t="s">
        <v>263</v>
      </c>
      <c r="G159" s="82" t="s">
        <v>264</v>
      </c>
    </row>
    <row r="160" spans="1:7">
      <c r="A160" s="83">
        <v>1</v>
      </c>
      <c r="B160" s="83" t="s">
        <v>313</v>
      </c>
      <c r="C160" s="258"/>
      <c r="D160" s="258"/>
      <c r="E160" s="258"/>
      <c r="F160" s="258">
        <v>2</v>
      </c>
      <c r="G160" s="84">
        <f>ROUND(IF(COUNTA(B160:F160)=0,0,IF(C160="",1,C160)*IF(D160="",1,D160)*IF(E160="",1,E160)*IF(F160="",1,F160)),2)</f>
        <v>2</v>
      </c>
    </row>
    <row r="161" spans="1:7">
      <c r="A161" s="83">
        <v>2</v>
      </c>
      <c r="B161" s="83"/>
      <c r="C161" s="258"/>
      <c r="D161" s="258"/>
      <c r="E161" s="258"/>
      <c r="F161" s="258"/>
      <c r="G161" s="84">
        <f>ROUND(IF(COUNTA(B161:F161)=0,0,IF(C161="",1,C161)*IF(D161="",1,D161)*IF(E161="",1,E161)*IF(F161="",1,F161)),2)</f>
        <v>0</v>
      </c>
    </row>
    <row r="162" spans="1:7">
      <c r="A162" s="83">
        <v>3</v>
      </c>
      <c r="B162" s="83"/>
      <c r="C162" s="258"/>
      <c r="D162" s="258"/>
      <c r="E162" s="258"/>
      <c r="F162" s="258"/>
      <c r="G162" s="84">
        <f>ROUND(IF(COUNTA(B162:F162)=0,0,IF(C162="",1,C162)*IF(D162="",1,D162)*IF(E162="",1,E162)*IF(F162="",1,F162)),2)</f>
        <v>0</v>
      </c>
    </row>
    <row r="163" spans="1:7">
      <c r="A163" s="83">
        <v>4</v>
      </c>
      <c r="B163" s="83"/>
      <c r="C163" s="258"/>
      <c r="D163" s="258"/>
      <c r="E163" s="258"/>
      <c r="F163" s="258"/>
      <c r="G163" s="84">
        <f>ROUND(IF(COUNTA(B163:F163)=0,0,IF(C163="",1,C163)*IF(D163="",1,D163)*IF(E163="",1,E163)*IF(F163="",1,F163)),2)</f>
        <v>0</v>
      </c>
    </row>
    <row r="164" spans="1:7">
      <c r="A164" s="83">
        <v>5</v>
      </c>
      <c r="B164" s="83"/>
      <c r="C164" s="258"/>
      <c r="D164" s="258"/>
      <c r="E164" s="258"/>
      <c r="F164" s="258"/>
      <c r="G164" s="84">
        <f>ROUND(IF(COUNTA(B164:F164)=0,0,IF(C164="",1,C164)*IF(D164="",1,D164)*IF(E164="",1,E164)*IF(F164="",1,F164)),2)</f>
        <v>0</v>
      </c>
    </row>
    <row r="165" spans="1:7">
      <c r="A165" s="393" t="s">
        <v>266</v>
      </c>
      <c r="B165" s="393" t="s">
        <v>266</v>
      </c>
      <c r="C165" s="394" t="s">
        <v>266</v>
      </c>
      <c r="D165" s="394" t="s">
        <v>266</v>
      </c>
      <c r="E165" s="394" t="s">
        <v>266</v>
      </c>
      <c r="F165" s="394" t="s">
        <v>266</v>
      </c>
      <c r="G165" s="85">
        <f>ROUND(SUM(G160:G164),2)</f>
        <v>2</v>
      </c>
    </row>
    <row r="166" spans="1:7">
      <c r="A166" s="78"/>
      <c r="B166" s="78"/>
      <c r="C166" s="86"/>
      <c r="D166" s="86"/>
      <c r="E166" s="86"/>
      <c r="F166" s="86"/>
      <c r="G166" s="86"/>
    </row>
    <row r="167" spans="1:7" ht="57" customHeight="1">
      <c r="A167" s="80" t="s">
        <v>314</v>
      </c>
      <c r="B167" s="80" t="s">
        <v>104</v>
      </c>
      <c r="C167" s="392" t="s">
        <v>105</v>
      </c>
      <c r="D167" s="392"/>
      <c r="E167" s="392"/>
      <c r="F167" s="392"/>
      <c r="G167" s="81" t="s">
        <v>72</v>
      </c>
    </row>
    <row r="168" spans="1:7">
      <c r="A168" s="79" t="s">
        <v>258</v>
      </c>
      <c r="B168" s="79" t="s">
        <v>259</v>
      </c>
      <c r="C168" s="82" t="s">
        <v>260</v>
      </c>
      <c r="D168" s="82" t="s">
        <v>261</v>
      </c>
      <c r="E168" s="82" t="s">
        <v>262</v>
      </c>
      <c r="F168" s="82" t="s">
        <v>263</v>
      </c>
      <c r="G168" s="82" t="s">
        <v>264</v>
      </c>
    </row>
    <row r="169" spans="1:7">
      <c r="A169" s="83">
        <v>1</v>
      </c>
      <c r="B169" s="83"/>
      <c r="C169" s="258">
        <v>150</v>
      </c>
      <c r="D169" s="258">
        <v>0.5</v>
      </c>
      <c r="E169" s="258">
        <v>1</v>
      </c>
      <c r="F169" s="258">
        <v>1.5</v>
      </c>
      <c r="G169" s="84">
        <f>ROUND(IF(COUNTA(B169:F169)=0,0,IF(C169="",1,C169)*IF(D169="",1,D169)*IF(E169="",1,E169)*IF(F169="",1,F169)),2)</f>
        <v>112.5</v>
      </c>
    </row>
    <row r="170" spans="1:7">
      <c r="A170" s="83">
        <v>2</v>
      </c>
      <c r="B170" s="83"/>
      <c r="C170" s="258"/>
      <c r="D170" s="258"/>
      <c r="E170" s="258"/>
      <c r="F170" s="258"/>
      <c r="G170" s="84">
        <f>ROUND(IF(COUNTA(B170:F170)=0,0,IF(C170="",1,C170)*IF(D170="",1,D170)*IF(E170="",1,E170)*IF(F170="",1,F170)),2)</f>
        <v>0</v>
      </c>
    </row>
    <row r="171" spans="1:7">
      <c r="A171" s="83">
        <v>3</v>
      </c>
      <c r="B171" s="83"/>
      <c r="C171" s="258"/>
      <c r="D171" s="258"/>
      <c r="E171" s="258"/>
      <c r="F171" s="258"/>
      <c r="G171" s="84">
        <f>ROUND(IF(COUNTA(B171:F171)=0,0,IF(C171="",1,C171)*IF(D171="",1,D171)*IF(E171="",1,E171)*IF(F171="",1,F171)),2)</f>
        <v>0</v>
      </c>
    </row>
    <row r="172" spans="1:7">
      <c r="A172" s="83">
        <v>4</v>
      </c>
      <c r="B172" s="83"/>
      <c r="C172" s="258"/>
      <c r="D172" s="258"/>
      <c r="E172" s="258"/>
      <c r="F172" s="258"/>
      <c r="G172" s="84">
        <f>ROUND(IF(COUNTA(B172:F172)=0,0,IF(C172="",1,C172)*IF(D172="",1,D172)*IF(E172="",1,E172)*IF(F172="",1,F172)),2)</f>
        <v>0</v>
      </c>
    </row>
    <row r="173" spans="1:7">
      <c r="A173" s="83">
        <v>5</v>
      </c>
      <c r="B173" s="83"/>
      <c r="C173" s="258"/>
      <c r="D173" s="258"/>
      <c r="E173" s="258"/>
      <c r="F173" s="258"/>
      <c r="G173" s="84">
        <f>ROUND(IF(COUNTA(B173:F173)=0,0,IF(C173="",1,C173)*IF(D173="",1,D173)*IF(E173="",1,E173)*IF(F173="",1,F173)),2)</f>
        <v>0</v>
      </c>
    </row>
    <row r="174" spans="1:7">
      <c r="A174" s="393" t="s">
        <v>266</v>
      </c>
      <c r="B174" s="393" t="s">
        <v>266</v>
      </c>
      <c r="C174" s="394" t="s">
        <v>266</v>
      </c>
      <c r="D174" s="394" t="s">
        <v>266</v>
      </c>
      <c r="E174" s="394" t="s">
        <v>266</v>
      </c>
      <c r="F174" s="394" t="s">
        <v>266</v>
      </c>
      <c r="G174" s="85">
        <f>ROUND(SUM(G169:G173),2)</f>
        <v>112.5</v>
      </c>
    </row>
    <row r="175" spans="1:7">
      <c r="A175" s="78"/>
      <c r="B175" s="78"/>
      <c r="C175" s="86"/>
      <c r="D175" s="86"/>
      <c r="E175" s="86"/>
      <c r="F175" s="86"/>
      <c r="G175" s="86"/>
    </row>
    <row r="176" spans="1:7" ht="45" customHeight="1">
      <c r="A176" s="80" t="s">
        <v>315</v>
      </c>
      <c r="B176" s="80" t="s">
        <v>106</v>
      </c>
      <c r="C176" s="392" t="s">
        <v>107</v>
      </c>
      <c r="D176" s="392"/>
      <c r="E176" s="392"/>
      <c r="F176" s="392"/>
      <c r="G176" s="81" t="s">
        <v>65</v>
      </c>
    </row>
    <row r="177" spans="1:7">
      <c r="A177" s="79" t="s">
        <v>258</v>
      </c>
      <c r="B177" s="79" t="s">
        <v>259</v>
      </c>
      <c r="C177" s="82" t="s">
        <v>260</v>
      </c>
      <c r="D177" s="82" t="s">
        <v>261</v>
      </c>
      <c r="E177" s="82" t="s">
        <v>262</v>
      </c>
      <c r="F177" s="82" t="s">
        <v>263</v>
      </c>
      <c r="G177" s="82" t="s">
        <v>264</v>
      </c>
    </row>
    <row r="178" spans="1:7" ht="25.5">
      <c r="A178" s="83">
        <v>1</v>
      </c>
      <c r="B178" s="83" t="s">
        <v>316</v>
      </c>
      <c r="C178" s="258">
        <v>15</v>
      </c>
      <c r="D178" s="258">
        <v>1.4</v>
      </c>
      <c r="E178" s="258"/>
      <c r="F178" s="258">
        <v>1</v>
      </c>
      <c r="G178" s="84">
        <f>ROUND(IF(COUNTA(B178:F178)=0,0,IF(C178="",1,C178)*IF(D178="",1,D178)*IF(E178="",1,E178)*IF(F178="",1,F178)),2)</f>
        <v>21</v>
      </c>
    </row>
    <row r="179" spans="1:7">
      <c r="A179" s="83">
        <v>2</v>
      </c>
      <c r="B179" s="83"/>
      <c r="C179" s="258"/>
      <c r="D179" s="258"/>
      <c r="E179" s="258"/>
      <c r="F179" s="258"/>
      <c r="G179" s="84">
        <f>ROUND(IF(COUNTA(B179:F179)=0,0,IF(C179="",1,C179)*IF(D179="",1,D179)*IF(E179="",1,E179)*IF(F179="",1,F179)),2)</f>
        <v>0</v>
      </c>
    </row>
    <row r="180" spans="1:7">
      <c r="A180" s="83">
        <v>3</v>
      </c>
      <c r="B180" s="83"/>
      <c r="C180" s="258"/>
      <c r="D180" s="258"/>
      <c r="E180" s="258"/>
      <c r="F180" s="258"/>
      <c r="G180" s="84">
        <f>ROUND(IF(COUNTA(B180:F180)=0,0,IF(C180="",1,C180)*IF(D180="",1,D180)*IF(E180="",1,E180)*IF(F180="",1,F180)),2)</f>
        <v>0</v>
      </c>
    </row>
    <row r="181" spans="1:7">
      <c r="A181" s="83">
        <v>4</v>
      </c>
      <c r="B181" s="83"/>
      <c r="C181" s="258"/>
      <c r="D181" s="258"/>
      <c r="E181" s="258"/>
      <c r="F181" s="258"/>
      <c r="G181" s="84">
        <f>ROUND(IF(COUNTA(B181:F181)=0,0,IF(C181="",1,C181)*IF(D181="",1,D181)*IF(E181="",1,E181)*IF(F181="",1,F181)),2)</f>
        <v>0</v>
      </c>
    </row>
    <row r="182" spans="1:7">
      <c r="A182" s="83">
        <v>5</v>
      </c>
      <c r="B182" s="83"/>
      <c r="C182" s="258"/>
      <c r="D182" s="258"/>
      <c r="E182" s="258"/>
      <c r="F182" s="258"/>
      <c r="G182" s="84">
        <f>ROUND(IF(COUNTA(B182:F182)=0,0,IF(C182="",1,C182)*IF(D182="",1,D182)*IF(E182="",1,E182)*IF(F182="",1,F182)),2)</f>
        <v>0</v>
      </c>
    </row>
    <row r="183" spans="1:7">
      <c r="A183" s="393" t="s">
        <v>266</v>
      </c>
      <c r="B183" s="393" t="s">
        <v>266</v>
      </c>
      <c r="C183" s="394" t="s">
        <v>266</v>
      </c>
      <c r="D183" s="394" t="s">
        <v>266</v>
      </c>
      <c r="E183" s="394" t="s">
        <v>266</v>
      </c>
      <c r="F183" s="394" t="s">
        <v>266</v>
      </c>
      <c r="G183" s="85">
        <f>ROUND(SUM(G178:G182),2)</f>
        <v>21</v>
      </c>
    </row>
    <row r="184" spans="1:7">
      <c r="A184" s="78"/>
      <c r="B184" s="78"/>
      <c r="C184" s="86"/>
      <c r="D184" s="86"/>
      <c r="E184" s="86"/>
      <c r="F184" s="86"/>
      <c r="G184" s="86"/>
    </row>
    <row r="185" spans="1:7" ht="39.6" customHeight="1">
      <c r="A185" s="80" t="s">
        <v>317</v>
      </c>
      <c r="B185" s="80" t="s">
        <v>108</v>
      </c>
      <c r="C185" s="392" t="s">
        <v>109</v>
      </c>
      <c r="D185" s="392"/>
      <c r="E185" s="392"/>
      <c r="F185" s="392"/>
      <c r="G185" s="81" t="s">
        <v>72</v>
      </c>
    </row>
    <row r="186" spans="1:7">
      <c r="A186" s="79" t="s">
        <v>258</v>
      </c>
      <c r="B186" s="79" t="s">
        <v>259</v>
      </c>
      <c r="C186" s="82" t="s">
        <v>260</v>
      </c>
      <c r="D186" s="82" t="s">
        <v>261</v>
      </c>
      <c r="E186" s="82" t="s">
        <v>262</v>
      </c>
      <c r="F186" s="82" t="s">
        <v>263</v>
      </c>
      <c r="G186" s="82" t="s">
        <v>264</v>
      </c>
    </row>
    <row r="187" spans="1:7" ht="25.5">
      <c r="A187" s="83">
        <v>1</v>
      </c>
      <c r="B187" s="83" t="s">
        <v>318</v>
      </c>
      <c r="C187" s="258">
        <v>15</v>
      </c>
      <c r="D187" s="258">
        <v>1.4</v>
      </c>
      <c r="E187" s="258">
        <v>0.45</v>
      </c>
      <c r="F187" s="258">
        <v>1</v>
      </c>
      <c r="G187" s="84">
        <f>ROUND(IF(COUNTA(B187:F187)=0,0,IF(C187="",1,C187)*IF(D187="",1,D187)*IF(E187="",1,E187)*IF(F187="",1,F187)),2)</f>
        <v>9.4499999999999993</v>
      </c>
    </row>
    <row r="188" spans="1:7">
      <c r="A188" s="83">
        <v>2</v>
      </c>
      <c r="B188" s="83"/>
      <c r="C188" s="258"/>
      <c r="D188" s="258"/>
      <c r="E188" s="258"/>
      <c r="F188" s="258"/>
      <c r="G188" s="84">
        <f>ROUND(IF(COUNTA(B188:F188)=0,0,IF(C188="",1,C188)*IF(D188="",1,D188)*IF(E188="",1,E188)*IF(F188="",1,F188)),2)</f>
        <v>0</v>
      </c>
    </row>
    <row r="189" spans="1:7">
      <c r="A189" s="83">
        <v>3</v>
      </c>
      <c r="B189" s="83"/>
      <c r="C189" s="258"/>
      <c r="D189" s="258"/>
      <c r="E189" s="258"/>
      <c r="F189" s="258"/>
      <c r="G189" s="84">
        <f>ROUND(IF(COUNTA(B189:F189)=0,0,IF(C189="",1,C189)*IF(D189="",1,D189)*IF(E189="",1,E189)*IF(F189="",1,F189)),2)</f>
        <v>0</v>
      </c>
    </row>
    <row r="190" spans="1:7">
      <c r="A190" s="83">
        <v>4</v>
      </c>
      <c r="B190" s="83"/>
      <c r="C190" s="258"/>
      <c r="D190" s="258"/>
      <c r="E190" s="258"/>
      <c r="F190" s="258"/>
      <c r="G190" s="84">
        <f>ROUND(IF(COUNTA(B190:F190)=0,0,IF(C190="",1,C190)*IF(D190="",1,D190)*IF(E190="",1,E190)*IF(F190="",1,F190)),2)</f>
        <v>0</v>
      </c>
    </row>
    <row r="191" spans="1:7">
      <c r="A191" s="83">
        <v>5</v>
      </c>
      <c r="B191" s="83"/>
      <c r="C191" s="258"/>
      <c r="D191" s="258"/>
      <c r="E191" s="258"/>
      <c r="F191" s="258"/>
      <c r="G191" s="84">
        <f>ROUND(IF(COUNTA(B191:F191)=0,0,IF(C191="",1,C191)*IF(D191="",1,D191)*IF(E191="",1,E191)*IF(F191="",1,F191)),2)</f>
        <v>0</v>
      </c>
    </row>
    <row r="192" spans="1:7">
      <c r="A192" s="393" t="s">
        <v>266</v>
      </c>
      <c r="B192" s="393" t="s">
        <v>266</v>
      </c>
      <c r="C192" s="394" t="s">
        <v>266</v>
      </c>
      <c r="D192" s="394" t="s">
        <v>266</v>
      </c>
      <c r="E192" s="394" t="s">
        <v>266</v>
      </c>
      <c r="F192" s="394" t="s">
        <v>266</v>
      </c>
      <c r="G192" s="85">
        <f>ROUND(SUM(G187:G191),2)</f>
        <v>9.4499999999999993</v>
      </c>
    </row>
    <row r="193" spans="1:7">
      <c r="A193" s="78"/>
      <c r="B193" s="78"/>
      <c r="C193" s="86"/>
      <c r="D193" s="86"/>
      <c r="E193" s="86"/>
      <c r="F193" s="86"/>
      <c r="G193" s="86"/>
    </row>
    <row r="194" spans="1:7" ht="46.15" customHeight="1">
      <c r="A194" s="80" t="s">
        <v>319</v>
      </c>
      <c r="B194" s="80" t="s">
        <v>110</v>
      </c>
      <c r="C194" s="392" t="s">
        <v>111</v>
      </c>
      <c r="D194" s="392"/>
      <c r="E194" s="392"/>
      <c r="F194" s="392"/>
      <c r="G194" s="81" t="s">
        <v>72</v>
      </c>
    </row>
    <row r="195" spans="1:7">
      <c r="A195" s="79" t="s">
        <v>258</v>
      </c>
      <c r="B195" s="79" t="s">
        <v>259</v>
      </c>
      <c r="C195" s="82" t="s">
        <v>260</v>
      </c>
      <c r="D195" s="82" t="s">
        <v>261</v>
      </c>
      <c r="E195" s="82" t="s">
        <v>262</v>
      </c>
      <c r="F195" s="82" t="s">
        <v>263</v>
      </c>
      <c r="G195" s="82" t="s">
        <v>264</v>
      </c>
    </row>
    <row r="196" spans="1:7" ht="25.5">
      <c r="A196" s="83">
        <v>1</v>
      </c>
      <c r="B196" s="83" t="s">
        <v>320</v>
      </c>
      <c r="C196" s="258">
        <v>15</v>
      </c>
      <c r="D196" s="258">
        <f>(0.45+0.25)/2</f>
        <v>0.35</v>
      </c>
      <c r="E196" s="258">
        <v>2.5499999999999998</v>
      </c>
      <c r="F196" s="258">
        <v>1</v>
      </c>
      <c r="G196" s="84">
        <f>ROUND(IF(COUNTA(B196:F196)=0,0,IF(C196="",1,C196)*IF(D196="",1,D196)*IF(E196="",1,E196)*IF(F196="",1,F196)),2)</f>
        <v>13.39</v>
      </c>
    </row>
    <row r="197" spans="1:7">
      <c r="A197" s="83">
        <v>2</v>
      </c>
      <c r="B197" s="83"/>
      <c r="C197" s="258"/>
      <c r="D197" s="258"/>
      <c r="E197" s="258"/>
      <c r="F197" s="258"/>
      <c r="G197" s="84">
        <f>ROUND(IF(COUNTA(B197:F197)=0,0,IF(C197="",1,C197)*IF(D197="",1,D197)*IF(E197="",1,E197)*IF(F197="",1,F197)),2)</f>
        <v>0</v>
      </c>
    </row>
    <row r="198" spans="1:7">
      <c r="A198" s="83">
        <v>3</v>
      </c>
      <c r="B198" s="83"/>
      <c r="C198" s="258"/>
      <c r="D198" s="258"/>
      <c r="E198" s="258"/>
      <c r="F198" s="258"/>
      <c r="G198" s="84">
        <f>ROUND(IF(COUNTA(B198:F198)=0,0,IF(C198="",1,C198)*IF(D198="",1,D198)*IF(E198="",1,E198)*IF(F198="",1,F198)),2)</f>
        <v>0</v>
      </c>
    </row>
    <row r="199" spans="1:7">
      <c r="A199" s="83">
        <v>4</v>
      </c>
      <c r="B199" s="83"/>
      <c r="C199" s="258"/>
      <c r="D199" s="258"/>
      <c r="E199" s="258"/>
      <c r="F199" s="258"/>
      <c r="G199" s="84">
        <f>ROUND(IF(COUNTA(B199:F199)=0,0,IF(C199="",1,C199)*IF(D199="",1,D199)*IF(E199="",1,E199)*IF(F199="",1,F199)),2)</f>
        <v>0</v>
      </c>
    </row>
    <row r="200" spans="1:7">
      <c r="A200" s="83">
        <v>5</v>
      </c>
      <c r="B200" s="83"/>
      <c r="C200" s="258"/>
      <c r="D200" s="258"/>
      <c r="E200" s="258"/>
      <c r="F200" s="258"/>
      <c r="G200" s="84">
        <f>ROUND(IF(COUNTA(B200:F200)=0,0,IF(C200="",1,C200)*IF(D200="",1,D200)*IF(E200="",1,E200)*IF(F200="",1,F200)),2)</f>
        <v>0</v>
      </c>
    </row>
    <row r="201" spans="1:7">
      <c r="A201" s="393" t="s">
        <v>266</v>
      </c>
      <c r="B201" s="393" t="s">
        <v>266</v>
      </c>
      <c r="C201" s="394" t="s">
        <v>266</v>
      </c>
      <c r="D201" s="394" t="s">
        <v>266</v>
      </c>
      <c r="E201" s="394" t="s">
        <v>266</v>
      </c>
      <c r="F201" s="394" t="s">
        <v>266</v>
      </c>
      <c r="G201" s="85">
        <f>ROUND(SUM(G196:G200),2)</f>
        <v>13.39</v>
      </c>
    </row>
    <row r="202" spans="1:7">
      <c r="A202" s="78"/>
      <c r="B202" s="78"/>
      <c r="C202" s="86"/>
      <c r="D202" s="86"/>
      <c r="E202" s="86"/>
      <c r="F202" s="86"/>
      <c r="G202" s="86"/>
    </row>
    <row r="203" spans="1:7" ht="45" customHeight="1">
      <c r="A203" s="80" t="s">
        <v>321</v>
      </c>
      <c r="B203" s="80" t="s">
        <v>113</v>
      </c>
      <c r="C203" s="392" t="s">
        <v>114</v>
      </c>
      <c r="D203" s="392"/>
      <c r="E203" s="392"/>
      <c r="F203" s="392"/>
      <c r="G203" s="81" t="s">
        <v>65</v>
      </c>
    </row>
    <row r="204" spans="1:7">
      <c r="A204" s="79" t="s">
        <v>258</v>
      </c>
      <c r="B204" s="79" t="s">
        <v>259</v>
      </c>
      <c r="C204" s="82" t="s">
        <v>260</v>
      </c>
      <c r="D204" s="82" t="s">
        <v>261</v>
      </c>
      <c r="E204" s="82" t="s">
        <v>262</v>
      </c>
      <c r="F204" s="82" t="s">
        <v>263</v>
      </c>
      <c r="G204" s="82" t="s">
        <v>264</v>
      </c>
    </row>
    <row r="205" spans="1:7">
      <c r="A205" s="83">
        <v>1</v>
      </c>
      <c r="B205" s="83" t="s">
        <v>322</v>
      </c>
      <c r="C205" s="258">
        <v>7.72</v>
      </c>
      <c r="D205" s="258">
        <v>8.6029999999999998</v>
      </c>
      <c r="E205" s="258"/>
      <c r="F205" s="258">
        <v>1</v>
      </c>
      <c r="G205" s="84">
        <f>ROUND(IF(COUNTA(B205:F205)=0,0,IF(C205="",1,C205)*IF(D205="",1,D205)*IF(E205="",1,E205)*IF(F205="",1,F205)),2)</f>
        <v>66.42</v>
      </c>
    </row>
    <row r="206" spans="1:7">
      <c r="A206" s="83">
        <v>2</v>
      </c>
      <c r="B206" s="83"/>
      <c r="C206" s="258"/>
      <c r="D206" s="258"/>
      <c r="E206" s="258"/>
      <c r="F206" s="258"/>
      <c r="G206" s="84">
        <f>ROUND(IF(COUNTA(B206:F206)=0,0,IF(C206="",1,C206)*IF(D206="",1,D206)*IF(E206="",1,E206)*IF(F206="",1,F206)),2)</f>
        <v>0</v>
      </c>
    </row>
    <row r="207" spans="1:7">
      <c r="A207" s="83">
        <v>3</v>
      </c>
      <c r="B207" s="83"/>
      <c r="C207" s="258"/>
      <c r="D207" s="258"/>
      <c r="E207" s="258"/>
      <c r="F207" s="258"/>
      <c r="G207" s="84">
        <f>ROUND(IF(COUNTA(B207:F207)=0,0,IF(C207="",1,C207)*IF(D207="",1,D207)*IF(E207="",1,E207)*IF(F207="",1,F207)),2)</f>
        <v>0</v>
      </c>
    </row>
    <row r="208" spans="1:7">
      <c r="A208" s="83">
        <v>4</v>
      </c>
      <c r="B208" s="83"/>
      <c r="C208" s="258"/>
      <c r="D208" s="258"/>
      <c r="E208" s="258"/>
      <c r="F208" s="258"/>
      <c r="G208" s="84">
        <f>ROUND(IF(COUNTA(B208:F208)=0,0,IF(C208="",1,C208)*IF(D208="",1,D208)*IF(E208="",1,E208)*IF(F208="",1,F208)),2)</f>
        <v>0</v>
      </c>
    </row>
    <row r="209" spans="1:7">
      <c r="A209" s="83">
        <v>5</v>
      </c>
      <c r="B209" s="83"/>
      <c r="C209" s="258"/>
      <c r="D209" s="258"/>
      <c r="E209" s="258"/>
      <c r="F209" s="258"/>
      <c r="G209" s="84">
        <f>ROUND(IF(COUNTA(B209:F209)=0,0,IF(C209="",1,C209)*IF(D209="",1,D209)*IF(E209="",1,E209)*IF(F209="",1,F209)),2)</f>
        <v>0</v>
      </c>
    </row>
    <row r="210" spans="1:7">
      <c r="A210" s="393" t="s">
        <v>266</v>
      </c>
      <c r="B210" s="393" t="s">
        <v>266</v>
      </c>
      <c r="C210" s="394" t="s">
        <v>266</v>
      </c>
      <c r="D210" s="394" t="s">
        <v>266</v>
      </c>
      <c r="E210" s="394" t="s">
        <v>266</v>
      </c>
      <c r="F210" s="394" t="s">
        <v>266</v>
      </c>
      <c r="G210" s="85">
        <f>ROUND(SUM(G205:G209),2)</f>
        <v>66.42</v>
      </c>
    </row>
    <row r="211" spans="1:7">
      <c r="A211" s="78"/>
      <c r="B211" s="78"/>
      <c r="C211" s="86"/>
      <c r="D211" s="86"/>
      <c r="E211" s="86"/>
      <c r="F211" s="86"/>
      <c r="G211" s="86"/>
    </row>
    <row r="212" spans="1:7" ht="42" customHeight="1">
      <c r="A212" s="80" t="s">
        <v>323</v>
      </c>
      <c r="B212" s="80" t="s">
        <v>115</v>
      </c>
      <c r="C212" s="392" t="s">
        <v>116</v>
      </c>
      <c r="D212" s="392"/>
      <c r="E212" s="392"/>
      <c r="F212" s="392"/>
      <c r="G212" s="81" t="s">
        <v>65</v>
      </c>
    </row>
    <row r="213" spans="1:7">
      <c r="A213" s="79" t="s">
        <v>258</v>
      </c>
      <c r="B213" s="79" t="s">
        <v>259</v>
      </c>
      <c r="C213" s="82" t="s">
        <v>260</v>
      </c>
      <c r="D213" s="82" t="s">
        <v>261</v>
      </c>
      <c r="E213" s="82" t="s">
        <v>262</v>
      </c>
      <c r="F213" s="82" t="s">
        <v>263</v>
      </c>
      <c r="G213" s="82" t="s">
        <v>264</v>
      </c>
    </row>
    <row r="214" spans="1:7">
      <c r="A214" s="83">
        <v>1</v>
      </c>
      <c r="B214" s="83" t="s">
        <v>324</v>
      </c>
      <c r="C214" s="258">
        <v>59.17</v>
      </c>
      <c r="D214" s="258">
        <v>1</v>
      </c>
      <c r="E214" s="258"/>
      <c r="F214" s="258">
        <v>1</v>
      </c>
      <c r="G214" s="84">
        <f>ROUND(IF(COUNTA(B214:F214)=0,0,IF(C214="",1,C214)*IF(D214="",1,D214)*IF(E214="",1,E214)*IF(F214="",1,F214)),2)</f>
        <v>59.17</v>
      </c>
    </row>
    <row r="215" spans="1:7">
      <c r="A215" s="83">
        <v>2</v>
      </c>
      <c r="B215" s="83"/>
      <c r="C215" s="258"/>
      <c r="D215" s="258"/>
      <c r="E215" s="258"/>
      <c r="F215" s="258"/>
      <c r="G215" s="84">
        <f>ROUND(IF(COUNTA(B215:F215)=0,0,IF(C215="",1,C215)*IF(D215="",1,D215)*IF(E215="",1,E215)*IF(F215="",1,F215)),2)</f>
        <v>0</v>
      </c>
    </row>
    <row r="216" spans="1:7">
      <c r="A216" s="83">
        <v>3</v>
      </c>
      <c r="B216" s="83"/>
      <c r="C216" s="258"/>
      <c r="D216" s="258"/>
      <c r="E216" s="258"/>
      <c r="F216" s="258"/>
      <c r="G216" s="84">
        <f>ROUND(IF(COUNTA(B216:F216)=0,0,IF(C216="",1,C216)*IF(D216="",1,D216)*IF(E216="",1,E216)*IF(F216="",1,F216)),2)</f>
        <v>0</v>
      </c>
    </row>
    <row r="217" spans="1:7">
      <c r="A217" s="83">
        <v>4</v>
      </c>
      <c r="B217" s="83"/>
      <c r="C217" s="258"/>
      <c r="D217" s="258"/>
      <c r="E217" s="258"/>
      <c r="F217" s="258"/>
      <c r="G217" s="84">
        <f>ROUND(IF(COUNTA(B217:F217)=0,0,IF(C217="",1,C217)*IF(D217="",1,D217)*IF(E217="",1,E217)*IF(F217="",1,F217)),2)</f>
        <v>0</v>
      </c>
    </row>
    <row r="218" spans="1:7">
      <c r="A218" s="83">
        <v>5</v>
      </c>
      <c r="B218" s="83"/>
      <c r="C218" s="258"/>
      <c r="D218" s="258"/>
      <c r="E218" s="258"/>
      <c r="F218" s="258"/>
      <c r="G218" s="84">
        <f>ROUND(IF(COUNTA(B218:F218)=0,0,IF(C218="",1,C218)*IF(D218="",1,D218)*IF(E218="",1,E218)*IF(F218="",1,F218)),2)</f>
        <v>0</v>
      </c>
    </row>
    <row r="219" spans="1:7">
      <c r="A219" s="393" t="s">
        <v>266</v>
      </c>
      <c r="B219" s="393" t="s">
        <v>266</v>
      </c>
      <c r="C219" s="394" t="s">
        <v>266</v>
      </c>
      <c r="D219" s="394" t="s">
        <v>266</v>
      </c>
      <c r="E219" s="394" t="s">
        <v>266</v>
      </c>
      <c r="F219" s="394" t="s">
        <v>266</v>
      </c>
      <c r="G219" s="85">
        <f>ROUND(SUM(G214:G218),2)</f>
        <v>59.17</v>
      </c>
    </row>
    <row r="220" spans="1:7">
      <c r="A220" s="78"/>
      <c r="B220" s="78"/>
      <c r="C220" s="86"/>
      <c r="D220" s="86"/>
      <c r="E220" s="86"/>
      <c r="F220" s="86"/>
      <c r="G220" s="86"/>
    </row>
    <row r="221" spans="1:7" ht="58.15" customHeight="1">
      <c r="A221" s="80" t="s">
        <v>325</v>
      </c>
      <c r="B221" s="80" t="s">
        <v>118</v>
      </c>
      <c r="C221" s="392" t="s">
        <v>119</v>
      </c>
      <c r="D221" s="392"/>
      <c r="E221" s="392"/>
      <c r="F221" s="392"/>
      <c r="G221" s="81" t="s">
        <v>120</v>
      </c>
    </row>
    <row r="222" spans="1:7">
      <c r="A222" s="79" t="s">
        <v>258</v>
      </c>
      <c r="B222" s="79" t="s">
        <v>259</v>
      </c>
      <c r="C222" s="82" t="s">
        <v>260</v>
      </c>
      <c r="D222" s="82" t="s">
        <v>261</v>
      </c>
      <c r="E222" s="82" t="s">
        <v>326</v>
      </c>
      <c r="F222" s="82" t="s">
        <v>327</v>
      </c>
      <c r="G222" s="82" t="s">
        <v>264</v>
      </c>
    </row>
    <row r="223" spans="1:7">
      <c r="A223" s="83">
        <v>1</v>
      </c>
      <c r="B223" s="83" t="s">
        <v>328</v>
      </c>
      <c r="C223" s="258">
        <v>2752</v>
      </c>
      <c r="D223" s="258"/>
      <c r="E223" s="258"/>
      <c r="F223" s="258">
        <v>1</v>
      </c>
      <c r="G223" s="84">
        <f>ROUND(IF(COUNTA(B223:F223)=0,0,IF(C223="",1,C223)*IF(D223="",1,D223)*IF(E223="",1,E223)*IF(F223="",1,F223)),2)</f>
        <v>2752</v>
      </c>
    </row>
    <row r="224" spans="1:7">
      <c r="A224" s="83">
        <v>2</v>
      </c>
      <c r="B224" s="83" t="s">
        <v>329</v>
      </c>
      <c r="C224" s="258">
        <f>$G$192</f>
        <v>9.4499999999999993</v>
      </c>
      <c r="D224" s="258"/>
      <c r="E224" s="258"/>
      <c r="F224" s="258">
        <v>100</v>
      </c>
      <c r="G224" s="84">
        <f>ROUND(IF(COUNTA(B224:F224)=0,0,IF(C224="",1,C224)*IF(D224="",1,D224)*IF(E224="",1,E224)*IF(F224="",1,F224)),2)</f>
        <v>945</v>
      </c>
    </row>
    <row r="225" spans="1:7">
      <c r="A225" s="83">
        <v>3</v>
      </c>
      <c r="B225" s="83" t="s">
        <v>330</v>
      </c>
      <c r="C225" s="258">
        <f>$G$201</f>
        <v>13.39</v>
      </c>
      <c r="D225" s="258"/>
      <c r="E225" s="258"/>
      <c r="F225" s="258">
        <v>100</v>
      </c>
      <c r="G225" s="84">
        <f>ROUND(IF(COUNTA(B225:F225)=0,0,IF(C225="",1,C225)*IF(D225="",1,D225)*IF(E225="",1,E225)*IF(F225="",1,F225)),2)</f>
        <v>1339</v>
      </c>
    </row>
    <row r="226" spans="1:7">
      <c r="A226" s="83">
        <v>4</v>
      </c>
      <c r="B226" s="83" t="s">
        <v>331</v>
      </c>
      <c r="C226" s="258">
        <f>2*(76+76+52+51)*1.55+43*1.25+(2*45+2*34)*1.5</f>
        <v>1081.25</v>
      </c>
      <c r="D226" s="258"/>
      <c r="E226" s="258">
        <v>0.56000000000000005</v>
      </c>
      <c r="F226" s="258">
        <f>2-1</f>
        <v>1</v>
      </c>
      <c r="G226" s="84">
        <f>ROUND(IF(COUNTA(B226:F226)=0,0,IF(C226="",1,C226)*IF(D226="",1,D226)*IF(E226="",1,E226)*IF(F226="",1,F226)),2)</f>
        <v>605.5</v>
      </c>
    </row>
    <row r="227" spans="1:7">
      <c r="A227" s="83">
        <v>5</v>
      </c>
      <c r="B227" s="83" t="s">
        <v>332</v>
      </c>
      <c r="C227" s="258">
        <v>0.37</v>
      </c>
      <c r="D227" s="258"/>
      <c r="E227" s="258">
        <f>E226</f>
        <v>0.56000000000000005</v>
      </c>
      <c r="F227" s="258">
        <f>(2*54+2*54)*F226</f>
        <v>216</v>
      </c>
      <c r="G227" s="84">
        <f>ROUND(IF(COUNTA(B227:F227)=0,0,IF(C227="",1,C227)*IF(D227="",1,D227)*IF(E227="",1,E227)*IF(F227="",1,F227)),2)</f>
        <v>44.76</v>
      </c>
    </row>
    <row r="228" spans="1:7">
      <c r="A228" s="393" t="s">
        <v>266</v>
      </c>
      <c r="B228" s="393" t="s">
        <v>266</v>
      </c>
      <c r="C228" s="394" t="s">
        <v>266</v>
      </c>
      <c r="D228" s="394" t="s">
        <v>266</v>
      </c>
      <c r="E228" s="394" t="s">
        <v>266</v>
      </c>
      <c r="F228" s="394" t="s">
        <v>266</v>
      </c>
      <c r="G228" s="85">
        <f>ROUND(SUM(G223:G227),2)</f>
        <v>5686.26</v>
      </c>
    </row>
    <row r="229" spans="1:7">
      <c r="A229" s="78"/>
      <c r="B229" s="78"/>
      <c r="C229" s="86"/>
      <c r="D229" s="86"/>
      <c r="E229" s="86"/>
      <c r="F229" s="86"/>
      <c r="G229" s="86"/>
    </row>
    <row r="230" spans="1:7" ht="44.45" customHeight="1">
      <c r="A230" s="80" t="s">
        <v>333</v>
      </c>
      <c r="B230" s="80" t="s">
        <v>121</v>
      </c>
      <c r="C230" s="392" t="s">
        <v>122</v>
      </c>
      <c r="D230" s="392"/>
      <c r="E230" s="392"/>
      <c r="F230" s="392"/>
      <c r="G230" s="81" t="s">
        <v>103</v>
      </c>
    </row>
    <row r="231" spans="1:7">
      <c r="A231" s="79" t="s">
        <v>258</v>
      </c>
      <c r="B231" s="79" t="s">
        <v>259</v>
      </c>
      <c r="C231" s="82" t="s">
        <v>260</v>
      </c>
      <c r="D231" s="82" t="s">
        <v>261</v>
      </c>
      <c r="E231" s="82" t="s">
        <v>262</v>
      </c>
      <c r="F231" s="82" t="s">
        <v>263</v>
      </c>
      <c r="G231" s="82" t="s">
        <v>264</v>
      </c>
    </row>
    <row r="232" spans="1:7">
      <c r="A232" s="83">
        <v>1</v>
      </c>
      <c r="B232" s="83" t="s">
        <v>334</v>
      </c>
      <c r="C232" s="258"/>
      <c r="D232" s="258"/>
      <c r="E232" s="258"/>
      <c r="F232" s="258">
        <v>15</v>
      </c>
      <c r="G232" s="84">
        <f>ROUND(IF(COUNTA(B232:F232)=0,0,IF(C232="",1,C232)*IF(D232="",1,D232)*IF(E232="",1,E232)*IF(F232="",1,F232)),2)</f>
        <v>15</v>
      </c>
    </row>
    <row r="233" spans="1:7">
      <c r="A233" s="83">
        <v>2</v>
      </c>
      <c r="B233" s="83"/>
      <c r="C233" s="258"/>
      <c r="D233" s="258"/>
      <c r="E233" s="258"/>
      <c r="F233" s="258"/>
      <c r="G233" s="84">
        <f>ROUND(IF(COUNTA(B233:F233)=0,0,IF(C233="",1,C233)*IF(D233="",1,D233)*IF(E233="",1,E233)*IF(F233="",1,F233)),2)</f>
        <v>0</v>
      </c>
    </row>
    <row r="234" spans="1:7">
      <c r="A234" s="83">
        <v>3</v>
      </c>
      <c r="B234" s="83"/>
      <c r="C234" s="258"/>
      <c r="D234" s="258"/>
      <c r="E234" s="258"/>
      <c r="F234" s="258"/>
      <c r="G234" s="84">
        <f>ROUND(IF(COUNTA(B234:F234)=0,0,IF(C234="",1,C234)*IF(D234="",1,D234)*IF(E234="",1,E234)*IF(F234="",1,F234)),2)</f>
        <v>0</v>
      </c>
    </row>
    <row r="235" spans="1:7">
      <c r="A235" s="83">
        <v>4</v>
      </c>
      <c r="B235" s="83"/>
      <c r="C235" s="258"/>
      <c r="D235" s="258"/>
      <c r="E235" s="258"/>
      <c r="F235" s="258"/>
      <c r="G235" s="84">
        <f>ROUND(IF(COUNTA(B235:F235)=0,0,IF(C235="",1,C235)*IF(D235="",1,D235)*IF(E235="",1,E235)*IF(F235="",1,F235)),2)</f>
        <v>0</v>
      </c>
    </row>
    <row r="236" spans="1:7">
      <c r="A236" s="83">
        <v>5</v>
      </c>
      <c r="B236" s="83"/>
      <c r="C236" s="258"/>
      <c r="D236" s="258"/>
      <c r="E236" s="258"/>
      <c r="F236" s="258"/>
      <c r="G236" s="84">
        <f>ROUND(IF(COUNTA(B236:F236)=0,0,IF(C236="",1,C236)*IF(D236="",1,D236)*IF(E236="",1,E236)*IF(F236="",1,F236)),2)</f>
        <v>0</v>
      </c>
    </row>
    <row r="237" spans="1:7">
      <c r="A237" s="393" t="s">
        <v>266</v>
      </c>
      <c r="B237" s="393" t="s">
        <v>266</v>
      </c>
      <c r="C237" s="394" t="s">
        <v>266</v>
      </c>
      <c r="D237" s="394" t="s">
        <v>266</v>
      </c>
      <c r="E237" s="394" t="s">
        <v>266</v>
      </c>
      <c r="F237" s="394" t="s">
        <v>266</v>
      </c>
      <c r="G237" s="85">
        <f>ROUND(SUM(G232:G236),2)</f>
        <v>15</v>
      </c>
    </row>
    <row r="238" spans="1:7">
      <c r="A238" s="78"/>
      <c r="B238" s="78"/>
      <c r="C238" s="86"/>
      <c r="D238" s="86"/>
      <c r="E238" s="86"/>
      <c r="F238" s="86"/>
      <c r="G238" s="86"/>
    </row>
    <row r="239" spans="1:7" ht="47.45" customHeight="1">
      <c r="A239" s="80" t="s">
        <v>335</v>
      </c>
      <c r="B239" s="80" t="s">
        <v>124</v>
      </c>
      <c r="C239" s="392" t="s">
        <v>125</v>
      </c>
      <c r="D239" s="392"/>
      <c r="E239" s="392"/>
      <c r="F239" s="392"/>
      <c r="G239" s="81" t="s">
        <v>68</v>
      </c>
    </row>
    <row r="240" spans="1:7">
      <c r="A240" s="79" t="s">
        <v>258</v>
      </c>
      <c r="B240" s="79" t="s">
        <v>259</v>
      </c>
      <c r="C240" s="82" t="s">
        <v>260</v>
      </c>
      <c r="D240" s="82" t="s">
        <v>261</v>
      </c>
      <c r="E240" s="82" t="s">
        <v>262</v>
      </c>
      <c r="F240" s="82" t="s">
        <v>263</v>
      </c>
      <c r="G240" s="82" t="s">
        <v>264</v>
      </c>
    </row>
    <row r="241" spans="1:7">
      <c r="A241" s="83">
        <v>1</v>
      </c>
      <c r="B241" s="83" t="s">
        <v>268</v>
      </c>
      <c r="C241" s="258">
        <v>7.7</v>
      </c>
      <c r="D241" s="258"/>
      <c r="E241" s="258"/>
      <c r="F241" s="258">
        <v>2</v>
      </c>
      <c r="G241" s="84">
        <f>ROUND(IF(COUNTA(B241:F241)=0,0,IF(C241="",1,C241)*IF(D241="",1,D241)*IF(E241="",1,E241)*IF(F241="",1,F241)),2)</f>
        <v>15.4</v>
      </c>
    </row>
    <row r="242" spans="1:7">
      <c r="A242" s="83">
        <v>2</v>
      </c>
      <c r="B242" s="83" t="s">
        <v>269</v>
      </c>
      <c r="C242" s="258">
        <v>8.6</v>
      </c>
      <c r="D242" s="258"/>
      <c r="E242" s="258"/>
      <c r="F242" s="258">
        <v>2</v>
      </c>
      <c r="G242" s="84">
        <f>ROUND(IF(COUNTA(B242:F242)=0,0,IF(C242="",1,C242)*IF(D242="",1,D242)*IF(E242="",1,E242)*IF(F242="",1,F242)),2)</f>
        <v>17.2</v>
      </c>
    </row>
    <row r="243" spans="1:7">
      <c r="A243" s="83">
        <v>3</v>
      </c>
      <c r="B243" s="83"/>
      <c r="C243" s="258"/>
      <c r="D243" s="258"/>
      <c r="E243" s="258"/>
      <c r="F243" s="258"/>
      <c r="G243" s="84">
        <f>ROUND(IF(COUNTA(B243:F243)=0,0,IF(C243="",1,C243)*IF(D243="",1,D243)*IF(E243="",1,E243)*IF(F243="",1,F243)),2)</f>
        <v>0</v>
      </c>
    </row>
    <row r="244" spans="1:7">
      <c r="A244" s="83">
        <v>4</v>
      </c>
      <c r="B244" s="83"/>
      <c r="C244" s="258"/>
      <c r="D244" s="258"/>
      <c r="E244" s="258"/>
      <c r="F244" s="258"/>
      <c r="G244" s="84">
        <f>ROUND(IF(COUNTA(B244:F244)=0,0,IF(C244="",1,C244)*IF(D244="",1,D244)*IF(E244="",1,E244)*IF(F244="",1,F244)),2)</f>
        <v>0</v>
      </c>
    </row>
    <row r="245" spans="1:7">
      <c r="A245" s="83">
        <v>5</v>
      </c>
      <c r="B245" s="83"/>
      <c r="C245" s="258"/>
      <c r="D245" s="258"/>
      <c r="E245" s="258"/>
      <c r="F245" s="258"/>
      <c r="G245" s="84">
        <f>ROUND(IF(COUNTA(B245:F245)=0,0,IF(C245="",1,C245)*IF(D245="",1,D245)*IF(E245="",1,E245)*IF(F245="",1,F245)),2)</f>
        <v>0</v>
      </c>
    </row>
    <row r="246" spans="1:7">
      <c r="A246" s="393" t="s">
        <v>266</v>
      </c>
      <c r="B246" s="393" t="s">
        <v>266</v>
      </c>
      <c r="C246" s="394" t="s">
        <v>266</v>
      </c>
      <c r="D246" s="394" t="s">
        <v>266</v>
      </c>
      <c r="E246" s="394" t="s">
        <v>266</v>
      </c>
      <c r="F246" s="394" t="s">
        <v>266</v>
      </c>
      <c r="G246" s="85">
        <f>ROUND(SUM(G241:G245),2)</f>
        <v>32.6</v>
      </c>
    </row>
    <row r="247" spans="1:7">
      <c r="A247" s="78"/>
      <c r="B247" s="78"/>
      <c r="C247" s="86"/>
      <c r="D247" s="86"/>
      <c r="E247" s="86"/>
      <c r="F247" s="86"/>
      <c r="G247" s="86"/>
    </row>
    <row r="248" spans="1:7" ht="43.15" customHeight="1">
      <c r="A248" s="80" t="s">
        <v>336</v>
      </c>
      <c r="B248" s="80" t="s">
        <v>126</v>
      </c>
      <c r="C248" s="392" t="s">
        <v>127</v>
      </c>
      <c r="D248" s="392"/>
      <c r="E248" s="392"/>
      <c r="F248" s="392"/>
      <c r="G248" s="81" t="s">
        <v>65</v>
      </c>
    </row>
    <row r="249" spans="1:7">
      <c r="A249" s="79" t="s">
        <v>258</v>
      </c>
      <c r="B249" s="79" t="s">
        <v>259</v>
      </c>
      <c r="C249" s="82" t="s">
        <v>260</v>
      </c>
      <c r="D249" s="82" t="s">
        <v>261</v>
      </c>
      <c r="E249" s="82" t="s">
        <v>262</v>
      </c>
      <c r="F249" s="82" t="s">
        <v>263</v>
      </c>
      <c r="G249" s="82" t="s">
        <v>264</v>
      </c>
    </row>
    <row r="250" spans="1:7">
      <c r="A250" s="83">
        <v>1</v>
      </c>
      <c r="B250" s="83" t="s">
        <v>337</v>
      </c>
      <c r="C250" s="258">
        <v>7.7</v>
      </c>
      <c r="D250" s="258"/>
      <c r="E250" s="258">
        <v>2.5</v>
      </c>
      <c r="F250" s="258">
        <v>2</v>
      </c>
      <c r="G250" s="84">
        <f>ROUND(IF(COUNTA(B250:F250)=0,0,IF(C250="",1,C250)*IF(D250="",1,D250)*IF(E250="",1,E250)*IF(F250="",1,F250)),2)</f>
        <v>38.5</v>
      </c>
    </row>
    <row r="251" spans="1:7">
      <c r="A251" s="83">
        <v>2</v>
      </c>
      <c r="B251" s="83" t="s">
        <v>338</v>
      </c>
      <c r="C251" s="258">
        <v>8.6</v>
      </c>
      <c r="D251" s="258"/>
      <c r="E251" s="258">
        <v>2.5</v>
      </c>
      <c r="F251" s="258">
        <v>2</v>
      </c>
      <c r="G251" s="84">
        <f>ROUND(IF(COUNTA(B251:F251)=0,0,IF(C251="",1,C251)*IF(D251="",1,D251)*IF(E251="",1,E251)*IF(F251="",1,F251)),2)</f>
        <v>43</v>
      </c>
    </row>
    <row r="252" spans="1:7">
      <c r="A252" s="83">
        <v>3</v>
      </c>
      <c r="B252" s="83" t="s">
        <v>339</v>
      </c>
      <c r="C252" s="258">
        <v>7</v>
      </c>
      <c r="D252" s="258"/>
      <c r="E252" s="258">
        <v>1.35</v>
      </c>
      <c r="F252" s="258">
        <v>-2</v>
      </c>
      <c r="G252" s="84">
        <f>ROUND(IF(COUNTA(B252:F252)=0,0,IF(C252="",1,C252)*IF(D252="",1,D252)*IF(E252="",1,E252)*IF(F252="",1,F252)),2)</f>
        <v>-18.899999999999999</v>
      </c>
    </row>
    <row r="253" spans="1:7">
      <c r="A253" s="83">
        <v>4</v>
      </c>
      <c r="B253" s="83" t="s">
        <v>340</v>
      </c>
      <c r="C253" s="258">
        <v>1</v>
      </c>
      <c r="D253" s="258"/>
      <c r="E253" s="258">
        <v>2.5</v>
      </c>
      <c r="F253" s="258">
        <v>-1</v>
      </c>
      <c r="G253" s="84">
        <f>ROUND(IF(COUNTA(B253:F253)=0,0,IF(C253="",1,C253)*IF(D253="",1,D253)*IF(E253="",1,E253)*IF(F253="",1,F253)),2)</f>
        <v>-2.5</v>
      </c>
    </row>
    <row r="254" spans="1:7">
      <c r="A254" s="83">
        <v>5</v>
      </c>
      <c r="B254" s="83" t="s">
        <v>339</v>
      </c>
      <c r="C254" s="258">
        <v>7</v>
      </c>
      <c r="D254" s="258"/>
      <c r="E254" s="258">
        <v>1.3</v>
      </c>
      <c r="F254" s="258">
        <v>-1</v>
      </c>
      <c r="G254" s="84">
        <f>ROUND(IF(COUNTA(B254:F254)=0,0,IF(C254="",1,C254)*IF(D254="",1,D254)*IF(E254="",1,E254)*IF(F254="",1,F254)),2)</f>
        <v>-9.1</v>
      </c>
    </row>
    <row r="255" spans="1:7">
      <c r="A255" s="393" t="s">
        <v>266</v>
      </c>
      <c r="B255" s="393" t="s">
        <v>266</v>
      </c>
      <c r="C255" s="394" t="s">
        <v>266</v>
      </c>
      <c r="D255" s="394" t="s">
        <v>266</v>
      </c>
      <c r="E255" s="394" t="s">
        <v>266</v>
      </c>
      <c r="F255" s="394" t="s">
        <v>266</v>
      </c>
      <c r="G255" s="85">
        <f>ROUND(SUM(G250:G254),2)</f>
        <v>51</v>
      </c>
    </row>
    <row r="256" spans="1:7">
      <c r="A256" s="78"/>
      <c r="B256" s="78"/>
      <c r="C256" s="86"/>
      <c r="D256" s="86"/>
      <c r="E256" s="86"/>
      <c r="F256" s="86"/>
      <c r="G256" s="86"/>
    </row>
    <row r="257" spans="1:7" ht="34.15" customHeight="1">
      <c r="A257" s="80" t="s">
        <v>341</v>
      </c>
      <c r="B257" s="80" t="s">
        <v>128</v>
      </c>
      <c r="C257" s="392" t="s">
        <v>129</v>
      </c>
      <c r="D257" s="392"/>
      <c r="E257" s="392"/>
      <c r="F257" s="392"/>
      <c r="G257" s="81" t="s">
        <v>68</v>
      </c>
    </row>
    <row r="258" spans="1:7">
      <c r="A258" s="79" t="s">
        <v>258</v>
      </c>
      <c r="B258" s="79" t="s">
        <v>259</v>
      </c>
      <c r="C258" s="82" t="s">
        <v>260</v>
      </c>
      <c r="D258" s="82" t="s">
        <v>261</v>
      </c>
      <c r="E258" s="82" t="s">
        <v>262</v>
      </c>
      <c r="F258" s="82" t="s">
        <v>263</v>
      </c>
      <c r="G258" s="82" t="s">
        <v>264</v>
      </c>
    </row>
    <row r="259" spans="1:7">
      <c r="A259" s="83">
        <v>1</v>
      </c>
      <c r="B259" s="83" t="s">
        <v>342</v>
      </c>
      <c r="C259" s="258"/>
      <c r="D259" s="258"/>
      <c r="E259" s="258"/>
      <c r="F259" s="258">
        <v>6</v>
      </c>
      <c r="G259" s="84">
        <f>ROUND(IF(COUNTA(B259:F259)=0,0,IF(C259="",1,C259)*IF(D259="",1,D259)*IF(E259="",1,E259)*IF(F259="",1,F259)),2)</f>
        <v>6</v>
      </c>
    </row>
    <row r="260" spans="1:7">
      <c r="A260" s="83">
        <v>2</v>
      </c>
      <c r="B260" s="83"/>
      <c r="C260" s="258"/>
      <c r="D260" s="258"/>
      <c r="E260" s="258"/>
      <c r="F260" s="258"/>
      <c r="G260" s="84">
        <f>ROUND(IF(COUNTA(B260:F260)=0,0,IF(C260="",1,C260)*IF(D260="",1,D260)*IF(E260="",1,E260)*IF(F260="",1,F260)),2)</f>
        <v>0</v>
      </c>
    </row>
    <row r="261" spans="1:7">
      <c r="A261" s="83">
        <v>3</v>
      </c>
      <c r="B261" s="83"/>
      <c r="C261" s="258"/>
      <c r="D261" s="258"/>
      <c r="E261" s="258"/>
      <c r="F261" s="258"/>
      <c r="G261" s="84">
        <f>ROUND(IF(COUNTA(B261:F261)=0,0,IF(C261="",1,C261)*IF(D261="",1,D261)*IF(E261="",1,E261)*IF(F261="",1,F261)),2)</f>
        <v>0</v>
      </c>
    </row>
    <row r="262" spans="1:7">
      <c r="A262" s="83">
        <v>4</v>
      </c>
      <c r="B262" s="83"/>
      <c r="C262" s="258"/>
      <c r="D262" s="258"/>
      <c r="E262" s="258"/>
      <c r="F262" s="258"/>
      <c r="G262" s="84">
        <f>ROUND(IF(COUNTA(B262:F262)=0,0,IF(C262="",1,C262)*IF(D262="",1,D262)*IF(E262="",1,E262)*IF(F262="",1,F262)),2)</f>
        <v>0</v>
      </c>
    </row>
    <row r="263" spans="1:7">
      <c r="A263" s="83">
        <v>5</v>
      </c>
      <c r="B263" s="83"/>
      <c r="C263" s="258"/>
      <c r="D263" s="258"/>
      <c r="E263" s="258"/>
      <c r="F263" s="258"/>
      <c r="G263" s="84">
        <f>ROUND(IF(COUNTA(B263:F263)=0,0,IF(C263="",1,C263)*IF(D263="",1,D263)*IF(E263="",1,E263)*IF(F263="",1,F263)),2)</f>
        <v>0</v>
      </c>
    </row>
    <row r="264" spans="1:7">
      <c r="A264" s="393" t="s">
        <v>266</v>
      </c>
      <c r="B264" s="393" t="s">
        <v>266</v>
      </c>
      <c r="C264" s="394" t="s">
        <v>266</v>
      </c>
      <c r="D264" s="394" t="s">
        <v>266</v>
      </c>
      <c r="E264" s="394" t="s">
        <v>266</v>
      </c>
      <c r="F264" s="394" t="s">
        <v>266</v>
      </c>
      <c r="G264" s="85">
        <f>ROUND(SUM(G259:G263),2)</f>
        <v>6</v>
      </c>
    </row>
    <row r="265" spans="1:7">
      <c r="A265" s="78"/>
      <c r="B265" s="78"/>
      <c r="C265" s="86"/>
      <c r="D265" s="86"/>
      <c r="E265" s="86"/>
      <c r="F265" s="86"/>
      <c r="G265" s="86"/>
    </row>
    <row r="266" spans="1:7" ht="31.15" customHeight="1">
      <c r="A266" s="80" t="s">
        <v>343</v>
      </c>
      <c r="B266" s="80" t="s">
        <v>130</v>
      </c>
      <c r="C266" s="392" t="s">
        <v>131</v>
      </c>
      <c r="D266" s="392"/>
      <c r="E266" s="392"/>
      <c r="F266" s="392"/>
      <c r="G266" s="81" t="s">
        <v>65</v>
      </c>
    </row>
    <row r="267" spans="1:7">
      <c r="A267" s="79" t="s">
        <v>258</v>
      </c>
      <c r="B267" s="79" t="s">
        <v>259</v>
      </c>
      <c r="C267" s="82" t="s">
        <v>260</v>
      </c>
      <c r="D267" s="82" t="s">
        <v>261</v>
      </c>
      <c r="E267" s="82" t="s">
        <v>262</v>
      </c>
      <c r="F267" s="82" t="s">
        <v>263</v>
      </c>
      <c r="G267" s="82" t="s">
        <v>264</v>
      </c>
    </row>
    <row r="268" spans="1:7">
      <c r="A268" s="83">
        <v>1</v>
      </c>
      <c r="B268" s="83"/>
      <c r="C268" s="258">
        <v>9</v>
      </c>
      <c r="D268" s="258"/>
      <c r="E268" s="258">
        <v>1.6220000000000001</v>
      </c>
      <c r="F268" s="258">
        <v>1</v>
      </c>
      <c r="G268" s="84">
        <f>ROUND(IF(COUNTA(B268:F268)=0,0,IF(C268="",1,C268)*IF(D268="",1,D268)*IF(E268="",1,E268)*IF(F268="",1,F268)),2)</f>
        <v>14.6</v>
      </c>
    </row>
    <row r="269" spans="1:7">
      <c r="A269" s="83">
        <v>2</v>
      </c>
      <c r="B269" s="83"/>
      <c r="C269" s="258">
        <v>9</v>
      </c>
      <c r="D269" s="258"/>
      <c r="E269" s="258">
        <v>2.2000000000000002</v>
      </c>
      <c r="F269" s="258">
        <v>1</v>
      </c>
      <c r="G269" s="84">
        <f>ROUND(IF(COUNTA(B269:F269)=0,0,IF(C269="",1,C269)*IF(D269="",1,D269)*IF(E269="",1,E269)*IF(F269="",1,F269)),2)</f>
        <v>19.8</v>
      </c>
    </row>
    <row r="270" spans="1:7">
      <c r="A270" s="83">
        <v>3</v>
      </c>
      <c r="B270" s="83"/>
      <c r="C270" s="258"/>
      <c r="D270" s="258"/>
      <c r="E270" s="258"/>
      <c r="F270" s="258"/>
      <c r="G270" s="84">
        <f>ROUND(IF(COUNTA(B270:F270)=0,0,IF(C270="",1,C270)*IF(D270="",1,D270)*IF(E270="",1,E270)*IF(F270="",1,F270)),2)</f>
        <v>0</v>
      </c>
    </row>
    <row r="271" spans="1:7">
      <c r="A271" s="83">
        <v>4</v>
      </c>
      <c r="B271" s="83"/>
      <c r="C271" s="258"/>
      <c r="D271" s="258"/>
      <c r="E271" s="258"/>
      <c r="F271" s="258"/>
      <c r="G271" s="84">
        <f>ROUND(IF(COUNTA(B271:F271)=0,0,IF(C271="",1,C271)*IF(D271="",1,D271)*IF(E271="",1,E271)*IF(F271="",1,F271)),2)</f>
        <v>0</v>
      </c>
    </row>
    <row r="272" spans="1:7">
      <c r="A272" s="83">
        <v>5</v>
      </c>
      <c r="B272" s="83"/>
      <c r="C272" s="258"/>
      <c r="D272" s="258"/>
      <c r="E272" s="258"/>
      <c r="F272" s="258"/>
      <c r="G272" s="84">
        <f>ROUND(IF(COUNTA(B272:F272)=0,0,IF(C272="",1,C272)*IF(D272="",1,D272)*IF(E272="",1,E272)*IF(F272="",1,F272)),2)</f>
        <v>0</v>
      </c>
    </row>
    <row r="273" spans="1:7">
      <c r="A273" s="393" t="s">
        <v>266</v>
      </c>
      <c r="B273" s="393" t="s">
        <v>266</v>
      </c>
      <c r="C273" s="394" t="s">
        <v>266</v>
      </c>
      <c r="D273" s="394" t="s">
        <v>266</v>
      </c>
      <c r="E273" s="394" t="s">
        <v>266</v>
      </c>
      <c r="F273" s="394" t="s">
        <v>266</v>
      </c>
      <c r="G273" s="85">
        <f>ROUND(SUM(G268:G272),2)</f>
        <v>34.4</v>
      </c>
    </row>
    <row r="274" spans="1:7">
      <c r="A274" s="78"/>
      <c r="B274" s="78"/>
      <c r="C274" s="86"/>
      <c r="D274" s="86"/>
      <c r="E274" s="86"/>
      <c r="F274" s="86"/>
      <c r="G274" s="86"/>
    </row>
    <row r="275" spans="1:7" ht="43.9" customHeight="1">
      <c r="A275" s="80" t="s">
        <v>344</v>
      </c>
      <c r="B275" s="80" t="s">
        <v>132</v>
      </c>
      <c r="C275" s="392" t="s">
        <v>133</v>
      </c>
      <c r="D275" s="392"/>
      <c r="E275" s="392"/>
      <c r="F275" s="392"/>
      <c r="G275" s="81" t="s">
        <v>65</v>
      </c>
    </row>
    <row r="276" spans="1:7">
      <c r="A276" s="79" t="s">
        <v>258</v>
      </c>
      <c r="B276" s="79" t="s">
        <v>259</v>
      </c>
      <c r="C276" s="82" t="s">
        <v>260</v>
      </c>
      <c r="D276" s="82" t="s">
        <v>261</v>
      </c>
      <c r="E276" s="82" t="s">
        <v>262</v>
      </c>
      <c r="F276" s="82" t="s">
        <v>263</v>
      </c>
      <c r="G276" s="82" t="s">
        <v>264</v>
      </c>
    </row>
    <row r="277" spans="1:7">
      <c r="A277" s="83">
        <v>1</v>
      </c>
      <c r="B277" s="83" t="s">
        <v>345</v>
      </c>
      <c r="C277" s="258">
        <v>7.7</v>
      </c>
      <c r="D277" s="258"/>
      <c r="E277" s="258">
        <v>2.5</v>
      </c>
      <c r="F277" s="258">
        <v>4</v>
      </c>
      <c r="G277" s="84">
        <f>ROUND(IF(COUNTA(B277:F277)=0,0,IF(C277="",1,C277)*IF(D277="",1,D277)*IF(E277="",1,E277)*IF(F277="",1,F277)),2)</f>
        <v>77</v>
      </c>
    </row>
    <row r="278" spans="1:7">
      <c r="A278" s="83">
        <v>2</v>
      </c>
      <c r="B278" s="83"/>
      <c r="C278" s="258">
        <v>8.6</v>
      </c>
      <c r="D278" s="258"/>
      <c r="E278" s="258">
        <v>2.5</v>
      </c>
      <c r="F278" s="258">
        <v>4</v>
      </c>
      <c r="G278" s="84">
        <f>ROUND(IF(COUNTA(B278:F278)=0,0,IF(C278="",1,C278)*IF(D278="",1,D278)*IF(E278="",1,E278)*IF(F278="",1,F278)),2)</f>
        <v>86</v>
      </c>
    </row>
    <row r="279" spans="1:7">
      <c r="A279" s="83">
        <v>3</v>
      </c>
      <c r="B279" s="83"/>
      <c r="C279" s="258">
        <v>7</v>
      </c>
      <c r="D279" s="258"/>
      <c r="E279" s="258">
        <v>1.35</v>
      </c>
      <c r="F279" s="258">
        <v>-4</v>
      </c>
      <c r="G279" s="84">
        <f>ROUND(IF(COUNTA(B279:F279)=0,0,IF(C279="",1,C279)*IF(D279="",1,D279)*IF(E279="",1,E279)*IF(F279="",1,F279)),2)</f>
        <v>-37.799999999999997</v>
      </c>
    </row>
    <row r="280" spans="1:7">
      <c r="A280" s="83">
        <v>4</v>
      </c>
      <c r="B280" s="83"/>
      <c r="C280" s="258">
        <v>1</v>
      </c>
      <c r="D280" s="258"/>
      <c r="E280" s="258">
        <v>2.5</v>
      </c>
      <c r="F280" s="258">
        <v>-2</v>
      </c>
      <c r="G280" s="84">
        <f>ROUND(IF(COUNTA(B280:F280)=0,0,IF(C280="",1,C280)*IF(D280="",1,D280)*IF(E280="",1,E280)*IF(F280="",1,F280)),2)</f>
        <v>-5</v>
      </c>
    </row>
    <row r="281" spans="1:7">
      <c r="A281" s="83">
        <v>5</v>
      </c>
      <c r="B281" s="83"/>
      <c r="C281" s="258">
        <v>7</v>
      </c>
      <c r="D281" s="258"/>
      <c r="E281" s="258">
        <v>1.3</v>
      </c>
      <c r="F281" s="258">
        <v>-2</v>
      </c>
      <c r="G281" s="84">
        <f>ROUND(IF(COUNTA(B281:F281)=0,0,IF(C281="",1,C281)*IF(D281="",1,D281)*IF(E281="",1,E281)*IF(F281="",1,F281)),2)</f>
        <v>-18.2</v>
      </c>
    </row>
    <row r="282" spans="1:7">
      <c r="A282" s="393" t="s">
        <v>266</v>
      </c>
      <c r="B282" s="393" t="s">
        <v>266</v>
      </c>
      <c r="C282" s="394" t="s">
        <v>266</v>
      </c>
      <c r="D282" s="394" t="s">
        <v>266</v>
      </c>
      <c r="E282" s="394" t="s">
        <v>266</v>
      </c>
      <c r="F282" s="394" t="s">
        <v>266</v>
      </c>
      <c r="G282" s="85">
        <f>ROUND(SUM(G277:G281),2)</f>
        <v>102</v>
      </c>
    </row>
    <row r="283" spans="1:7">
      <c r="A283" s="78"/>
      <c r="B283" s="78"/>
      <c r="C283" s="86"/>
      <c r="D283" s="86"/>
      <c r="E283" s="86"/>
      <c r="F283" s="86"/>
      <c r="G283" s="86"/>
    </row>
    <row r="284" spans="1:7" ht="73.150000000000006" customHeight="1">
      <c r="A284" s="80" t="s">
        <v>346</v>
      </c>
      <c r="B284" s="80" t="s">
        <v>35</v>
      </c>
      <c r="C284" s="392" t="s">
        <v>135</v>
      </c>
      <c r="D284" s="392"/>
      <c r="E284" s="392"/>
      <c r="F284" s="392"/>
      <c r="G284" s="81" t="s">
        <v>120</v>
      </c>
    </row>
    <row r="285" spans="1:7">
      <c r="A285" s="79" t="s">
        <v>258</v>
      </c>
      <c r="B285" s="79" t="s">
        <v>259</v>
      </c>
      <c r="C285" s="82" t="s">
        <v>260</v>
      </c>
      <c r="D285" s="82" t="s">
        <v>261</v>
      </c>
      <c r="E285" s="82" t="s">
        <v>347</v>
      </c>
      <c r="F285" s="82" t="s">
        <v>263</v>
      </c>
      <c r="G285" s="82" t="s">
        <v>264</v>
      </c>
    </row>
    <row r="286" spans="1:7">
      <c r="A286" s="83">
        <v>1</v>
      </c>
      <c r="B286" s="83" t="s">
        <v>348</v>
      </c>
      <c r="C286" s="258"/>
      <c r="D286" s="258"/>
      <c r="E286" s="258"/>
      <c r="F286" s="258">
        <v>960</v>
      </c>
      <c r="G286" s="84">
        <f>ROUND(IF(COUNTA(B286:F286)=0,0,IF(C286="",1,C286)*IF(D286="",1,D286)*IF(E286="",1,E286)*IF(F286="",1,F286)),2)</f>
        <v>960</v>
      </c>
    </row>
    <row r="287" spans="1:7">
      <c r="A287" s="83">
        <v>2</v>
      </c>
      <c r="B287" s="83" t="s">
        <v>349</v>
      </c>
      <c r="C287" s="258">
        <v>8.0500000000000007</v>
      </c>
      <c r="D287" s="258"/>
      <c r="E287" s="258">
        <v>11.87</v>
      </c>
      <c r="F287" s="258">
        <v>2</v>
      </c>
      <c r="G287" s="84">
        <f>ROUND(IF(COUNTA(B287:F287)=0,0,IF(C287="",1,C287)*IF(D287="",1,D287)*IF(E287="",1,E287)*IF(F287="",1,F287)),2)</f>
        <v>191.11</v>
      </c>
    </row>
    <row r="288" spans="1:7">
      <c r="A288" s="83">
        <v>3</v>
      </c>
      <c r="B288" s="83"/>
      <c r="C288" s="258"/>
      <c r="D288" s="258"/>
      <c r="E288" s="258"/>
      <c r="F288" s="258"/>
      <c r="G288" s="84">
        <f>ROUND(IF(COUNTA(B288:F288)=0,0,IF(C288="",1,C288)*IF(D288="",1,D288)*IF(E288="",1,E288)*IF(F288="",1,F288)),2)</f>
        <v>0</v>
      </c>
    </row>
    <row r="289" spans="1:7">
      <c r="A289" s="83">
        <v>4</v>
      </c>
      <c r="B289" s="83"/>
      <c r="C289" s="258"/>
      <c r="D289" s="258"/>
      <c r="E289" s="258"/>
      <c r="F289" s="258"/>
      <c r="G289" s="84">
        <f>ROUND(IF(COUNTA(B289:F289)=0,0,IF(C289="",1,C289)*IF(D289="",1,D289)*IF(E289="",1,E289)*IF(F289="",1,F289)),2)</f>
        <v>0</v>
      </c>
    </row>
    <row r="290" spans="1:7">
      <c r="A290" s="83">
        <v>5</v>
      </c>
      <c r="B290" s="83"/>
      <c r="C290" s="258"/>
      <c r="D290" s="258"/>
      <c r="E290" s="258"/>
      <c r="F290" s="258"/>
      <c r="G290" s="84">
        <f>ROUND(IF(COUNTA(B290:F290)=0,0,IF(C290="",1,C290)*IF(D290="",1,D290)*IF(E290="",1,E290)*IF(F290="",1,F290)),2)</f>
        <v>0</v>
      </c>
    </row>
    <row r="291" spans="1:7">
      <c r="A291" s="393" t="s">
        <v>266</v>
      </c>
      <c r="B291" s="393" t="s">
        <v>266</v>
      </c>
      <c r="C291" s="394" t="s">
        <v>266</v>
      </c>
      <c r="D291" s="394" t="s">
        <v>266</v>
      </c>
      <c r="E291" s="394" t="s">
        <v>266</v>
      </c>
      <c r="F291" s="394" t="s">
        <v>266</v>
      </c>
      <c r="G291" s="85">
        <f>ROUND(SUM(G286:G290),2)</f>
        <v>1151.1099999999999</v>
      </c>
    </row>
    <row r="292" spans="1:7">
      <c r="A292" s="78"/>
      <c r="B292" s="78"/>
      <c r="C292" s="86"/>
      <c r="D292" s="86"/>
      <c r="E292" s="86"/>
      <c r="F292" s="86"/>
      <c r="G292" s="86"/>
    </row>
    <row r="293" spans="1:7" ht="46.15" customHeight="1">
      <c r="A293" s="80" t="s">
        <v>350</v>
      </c>
      <c r="B293" s="80" t="s">
        <v>37</v>
      </c>
      <c r="C293" s="392" t="s">
        <v>136</v>
      </c>
      <c r="D293" s="392"/>
      <c r="E293" s="392"/>
      <c r="F293" s="392"/>
      <c r="G293" s="81" t="s">
        <v>68</v>
      </c>
    </row>
    <row r="294" spans="1:7">
      <c r="A294" s="79" t="s">
        <v>258</v>
      </c>
      <c r="B294" s="79" t="s">
        <v>259</v>
      </c>
      <c r="C294" s="82" t="s">
        <v>260</v>
      </c>
      <c r="D294" s="82" t="s">
        <v>261</v>
      </c>
      <c r="E294" s="82" t="s">
        <v>262</v>
      </c>
      <c r="F294" s="82" t="s">
        <v>263</v>
      </c>
      <c r="G294" s="82" t="s">
        <v>264</v>
      </c>
    </row>
    <row r="295" spans="1:7">
      <c r="A295" s="83">
        <v>1</v>
      </c>
      <c r="B295" s="83" t="s">
        <v>351</v>
      </c>
      <c r="C295" s="258">
        <v>2.7</v>
      </c>
      <c r="D295" s="258"/>
      <c r="E295" s="258"/>
      <c r="F295" s="258">
        <v>12</v>
      </c>
      <c r="G295" s="84">
        <f>ROUND(IF(COUNTA(B295:F295)=0,0,IF(C295="",1,C295)*IF(D295="",1,D295)*IF(E295="",1,E295)*IF(F295="",1,F295)),2)</f>
        <v>32.4</v>
      </c>
    </row>
    <row r="296" spans="1:7">
      <c r="A296" s="83">
        <v>2</v>
      </c>
      <c r="B296" s="83"/>
      <c r="C296" s="258"/>
      <c r="D296" s="258"/>
      <c r="E296" s="258"/>
      <c r="F296" s="258"/>
      <c r="G296" s="84">
        <f>ROUND(IF(COUNTA(B296:F296)=0,0,IF(C296="",1,C296)*IF(D296="",1,D296)*IF(E296="",1,E296)*IF(F296="",1,F296)),2)</f>
        <v>0</v>
      </c>
    </row>
    <row r="297" spans="1:7">
      <c r="A297" s="83">
        <v>3</v>
      </c>
      <c r="B297" s="83"/>
      <c r="C297" s="258"/>
      <c r="D297" s="258"/>
      <c r="E297" s="258"/>
      <c r="F297" s="258"/>
      <c r="G297" s="84">
        <f>ROUND(IF(COUNTA(B297:F297)=0,0,IF(C297="",1,C297)*IF(D297="",1,D297)*IF(E297="",1,E297)*IF(F297="",1,F297)),2)</f>
        <v>0</v>
      </c>
    </row>
    <row r="298" spans="1:7">
      <c r="A298" s="83">
        <v>4</v>
      </c>
      <c r="B298" s="83"/>
      <c r="C298" s="258"/>
      <c r="D298" s="258"/>
      <c r="E298" s="258"/>
      <c r="F298" s="258"/>
      <c r="G298" s="84">
        <f>ROUND(IF(COUNTA(B298:F298)=0,0,IF(C298="",1,C298)*IF(D298="",1,D298)*IF(E298="",1,E298)*IF(F298="",1,F298)),2)</f>
        <v>0</v>
      </c>
    </row>
    <row r="299" spans="1:7">
      <c r="A299" s="83">
        <v>5</v>
      </c>
      <c r="B299" s="83"/>
      <c r="C299" s="258"/>
      <c r="D299" s="258"/>
      <c r="E299" s="258"/>
      <c r="F299" s="258"/>
      <c r="G299" s="84">
        <f>ROUND(IF(COUNTA(B299:F299)=0,0,IF(C299="",1,C299)*IF(D299="",1,D299)*IF(E299="",1,E299)*IF(F299="",1,F299)),2)</f>
        <v>0</v>
      </c>
    </row>
    <row r="300" spans="1:7">
      <c r="A300" s="393" t="s">
        <v>266</v>
      </c>
      <c r="B300" s="393" t="s">
        <v>266</v>
      </c>
      <c r="C300" s="394" t="s">
        <v>266</v>
      </c>
      <c r="D300" s="394" t="s">
        <v>266</v>
      </c>
      <c r="E300" s="394" t="s">
        <v>266</v>
      </c>
      <c r="F300" s="394" t="s">
        <v>266</v>
      </c>
      <c r="G300" s="85">
        <f>ROUND(SUM(G295:G299),2)</f>
        <v>32.4</v>
      </c>
    </row>
    <row r="301" spans="1:7">
      <c r="A301" s="78"/>
      <c r="B301" s="78"/>
      <c r="C301" s="86"/>
      <c r="D301" s="86"/>
      <c r="E301" s="86"/>
      <c r="F301" s="86"/>
      <c r="G301" s="86"/>
    </row>
    <row r="302" spans="1:7" ht="60.6" customHeight="1">
      <c r="A302" s="80" t="s">
        <v>352</v>
      </c>
      <c r="B302" s="80" t="s">
        <v>137</v>
      </c>
      <c r="C302" s="392" t="s">
        <v>138</v>
      </c>
      <c r="D302" s="392"/>
      <c r="E302" s="392"/>
      <c r="F302" s="392"/>
      <c r="G302" s="81" t="s">
        <v>65</v>
      </c>
    </row>
    <row r="303" spans="1:7">
      <c r="A303" s="79" t="s">
        <v>258</v>
      </c>
      <c r="B303" s="79" t="s">
        <v>259</v>
      </c>
      <c r="C303" s="82" t="s">
        <v>260</v>
      </c>
      <c r="D303" s="82" t="s">
        <v>261</v>
      </c>
      <c r="E303" s="82" t="s">
        <v>262</v>
      </c>
      <c r="F303" s="82" t="s">
        <v>263</v>
      </c>
      <c r="G303" s="82" t="s">
        <v>264</v>
      </c>
    </row>
    <row r="304" spans="1:7">
      <c r="A304" s="83">
        <v>1</v>
      </c>
      <c r="B304" s="83" t="s">
        <v>353</v>
      </c>
      <c r="C304" s="258">
        <v>9.4</v>
      </c>
      <c r="D304" s="258">
        <v>10</v>
      </c>
      <c r="E304" s="258"/>
      <c r="F304" s="258">
        <v>1</v>
      </c>
      <c r="G304" s="84">
        <f>ROUND(IF(COUNTA(B304:F304)=0,0,IF(C304="",1,C304)*IF(D304="",1,D304)*IF(E304="",1,E304)*IF(F304="",1,F304)),2)</f>
        <v>94</v>
      </c>
    </row>
    <row r="305" spans="1:7">
      <c r="A305" s="83">
        <v>2</v>
      </c>
      <c r="B305" s="83"/>
      <c r="C305" s="258"/>
      <c r="D305" s="258"/>
      <c r="E305" s="258"/>
      <c r="F305" s="258"/>
      <c r="G305" s="84">
        <f>ROUND(IF(COUNTA(B305:F305)=0,0,IF(C305="",1,C305)*IF(D305="",1,D305)*IF(E305="",1,E305)*IF(F305="",1,F305)),2)</f>
        <v>0</v>
      </c>
    </row>
    <row r="306" spans="1:7">
      <c r="A306" s="83">
        <v>3</v>
      </c>
      <c r="B306" s="83"/>
      <c r="C306" s="258"/>
      <c r="D306" s="258"/>
      <c r="E306" s="258"/>
      <c r="F306" s="258"/>
      <c r="G306" s="84">
        <f>ROUND(IF(COUNTA(B306:F306)=0,0,IF(C306="",1,C306)*IF(D306="",1,D306)*IF(E306="",1,E306)*IF(F306="",1,F306)),2)</f>
        <v>0</v>
      </c>
    </row>
    <row r="307" spans="1:7">
      <c r="A307" s="83">
        <v>4</v>
      </c>
      <c r="B307" s="83"/>
      <c r="C307" s="258"/>
      <c r="D307" s="258"/>
      <c r="E307" s="258"/>
      <c r="F307" s="258"/>
      <c r="G307" s="84">
        <f>ROUND(IF(COUNTA(B307:F307)=0,0,IF(C307="",1,C307)*IF(D307="",1,D307)*IF(E307="",1,E307)*IF(F307="",1,F307)),2)</f>
        <v>0</v>
      </c>
    </row>
    <row r="308" spans="1:7">
      <c r="A308" s="83">
        <v>5</v>
      </c>
      <c r="B308" s="83"/>
      <c r="C308" s="258"/>
      <c r="D308" s="258"/>
      <c r="E308" s="258"/>
      <c r="F308" s="258"/>
      <c r="G308" s="84">
        <f>ROUND(IF(COUNTA(B308:F308)=0,0,IF(C308="",1,C308)*IF(D308="",1,D308)*IF(E308="",1,E308)*IF(F308="",1,F308)),2)</f>
        <v>0</v>
      </c>
    </row>
    <row r="309" spans="1:7">
      <c r="A309" s="393" t="s">
        <v>266</v>
      </c>
      <c r="B309" s="393" t="s">
        <v>266</v>
      </c>
      <c r="C309" s="394" t="s">
        <v>266</v>
      </c>
      <c r="D309" s="394" t="s">
        <v>266</v>
      </c>
      <c r="E309" s="394" t="s">
        <v>266</v>
      </c>
      <c r="F309" s="394" t="s">
        <v>266</v>
      </c>
      <c r="G309" s="85">
        <f>ROUND(SUM(G304:G308),2)</f>
        <v>94</v>
      </c>
    </row>
    <row r="310" spans="1:7">
      <c r="A310" s="78"/>
      <c r="B310" s="78"/>
      <c r="C310" s="86"/>
      <c r="D310" s="86"/>
      <c r="E310" s="86"/>
      <c r="F310" s="86"/>
      <c r="G310" s="86"/>
    </row>
    <row r="311" spans="1:7" ht="60.6" customHeight="1">
      <c r="A311" s="80" t="s">
        <v>354</v>
      </c>
      <c r="B311" s="80" t="s">
        <v>140</v>
      </c>
      <c r="C311" s="392" t="s">
        <v>141</v>
      </c>
      <c r="D311" s="392"/>
      <c r="E311" s="392"/>
      <c r="F311" s="392"/>
      <c r="G311" s="81" t="s">
        <v>65</v>
      </c>
    </row>
    <row r="312" spans="1:7">
      <c r="A312" s="79" t="s">
        <v>258</v>
      </c>
      <c r="B312" s="79" t="s">
        <v>259</v>
      </c>
      <c r="C312" s="82" t="s">
        <v>260</v>
      </c>
      <c r="D312" s="82" t="s">
        <v>261</v>
      </c>
      <c r="E312" s="82" t="s">
        <v>262</v>
      </c>
      <c r="F312" s="82" t="s">
        <v>263</v>
      </c>
      <c r="G312" s="82" t="s">
        <v>264</v>
      </c>
    </row>
    <row r="313" spans="1:7">
      <c r="A313" s="83">
        <v>1</v>
      </c>
      <c r="B313" s="83"/>
      <c r="C313" s="258">
        <v>2.5</v>
      </c>
      <c r="D313" s="258">
        <v>10</v>
      </c>
      <c r="E313" s="258"/>
      <c r="F313" s="258">
        <v>1</v>
      </c>
      <c r="G313" s="84">
        <f>ROUND(IF(COUNTA(B313:F313)=0,0,IF(C313="",1,C313)*IF(D313="",1,D313)*IF(E313="",1,E313)*IF(F313="",1,F313)),2)</f>
        <v>25</v>
      </c>
    </row>
    <row r="314" spans="1:7">
      <c r="A314" s="83">
        <v>2</v>
      </c>
      <c r="B314" s="83"/>
      <c r="C314" s="258"/>
      <c r="D314" s="258"/>
      <c r="E314" s="258"/>
      <c r="F314" s="258"/>
      <c r="G314" s="84">
        <f>ROUND(IF(COUNTA(B314:F314)=0,0,IF(C314="",1,C314)*IF(D314="",1,D314)*IF(E314="",1,E314)*IF(F314="",1,F314)),2)</f>
        <v>0</v>
      </c>
    </row>
    <row r="315" spans="1:7">
      <c r="A315" s="83">
        <v>3</v>
      </c>
      <c r="B315" s="83"/>
      <c r="C315" s="258"/>
      <c r="D315" s="258"/>
      <c r="E315" s="258"/>
      <c r="F315" s="258"/>
      <c r="G315" s="84">
        <f>ROUND(IF(COUNTA(B315:F315)=0,0,IF(C315="",1,C315)*IF(D315="",1,D315)*IF(E315="",1,E315)*IF(F315="",1,F315)),2)</f>
        <v>0</v>
      </c>
    </row>
    <row r="316" spans="1:7">
      <c r="A316" s="83">
        <v>4</v>
      </c>
      <c r="B316" s="83"/>
      <c r="C316" s="258"/>
      <c r="D316" s="258"/>
      <c r="E316" s="258"/>
      <c r="F316" s="258"/>
      <c r="G316" s="84">
        <f>ROUND(IF(COUNTA(B316:F316)=0,0,IF(C316="",1,C316)*IF(D316="",1,D316)*IF(E316="",1,E316)*IF(F316="",1,F316)),2)</f>
        <v>0</v>
      </c>
    </row>
    <row r="317" spans="1:7">
      <c r="A317" s="83">
        <v>5</v>
      </c>
      <c r="B317" s="83"/>
      <c r="C317" s="258"/>
      <c r="D317" s="258"/>
      <c r="E317" s="258"/>
      <c r="F317" s="258"/>
      <c r="G317" s="84">
        <f>ROUND(IF(COUNTA(B317:F317)=0,0,IF(C317="",1,C317)*IF(D317="",1,D317)*IF(E317="",1,E317)*IF(F317="",1,F317)),2)</f>
        <v>0</v>
      </c>
    </row>
    <row r="318" spans="1:7">
      <c r="A318" s="393" t="s">
        <v>266</v>
      </c>
      <c r="B318" s="393" t="s">
        <v>266</v>
      </c>
      <c r="C318" s="394" t="s">
        <v>266</v>
      </c>
      <c r="D318" s="394" t="s">
        <v>266</v>
      </c>
      <c r="E318" s="394" t="s">
        <v>266</v>
      </c>
      <c r="F318" s="394" t="s">
        <v>266</v>
      </c>
      <c r="G318" s="85">
        <f>ROUND(SUM(G313:G317),2)</f>
        <v>25</v>
      </c>
    </row>
    <row r="319" spans="1:7">
      <c r="A319" s="78"/>
      <c r="B319" s="78"/>
      <c r="C319" s="86"/>
      <c r="D319" s="86"/>
      <c r="E319" s="86"/>
      <c r="F319" s="86"/>
      <c r="G319" s="86"/>
    </row>
    <row r="320" spans="1:7" ht="46.9" customHeight="1">
      <c r="A320" s="80" t="s">
        <v>355</v>
      </c>
      <c r="B320" s="80" t="s">
        <v>143</v>
      </c>
      <c r="C320" s="392" t="s">
        <v>144</v>
      </c>
      <c r="D320" s="392"/>
      <c r="E320" s="392"/>
      <c r="F320" s="392"/>
      <c r="G320" s="81" t="s">
        <v>103</v>
      </c>
    </row>
    <row r="321" spans="1:7">
      <c r="A321" s="79" t="s">
        <v>258</v>
      </c>
      <c r="B321" s="79" t="s">
        <v>259</v>
      </c>
      <c r="C321" s="82" t="s">
        <v>260</v>
      </c>
      <c r="D321" s="82" t="s">
        <v>261</v>
      </c>
      <c r="E321" s="82" t="s">
        <v>262</v>
      </c>
      <c r="F321" s="82" t="s">
        <v>263</v>
      </c>
      <c r="G321" s="82" t="s">
        <v>264</v>
      </c>
    </row>
    <row r="322" spans="1:7">
      <c r="A322" s="83">
        <v>1</v>
      </c>
      <c r="B322" s="83" t="s">
        <v>356</v>
      </c>
      <c r="C322" s="258"/>
      <c r="D322" s="258"/>
      <c r="E322" s="258"/>
      <c r="F322" s="258">
        <v>10</v>
      </c>
      <c r="G322" s="84">
        <f>ROUND(IF(COUNTA(B322:F322)=0,0,IF(C322="",1,C322)*IF(D322="",1,D322)*IF(E322="",1,E322)*IF(F322="",1,F322)),2)</f>
        <v>10</v>
      </c>
    </row>
    <row r="323" spans="1:7">
      <c r="A323" s="83">
        <v>2</v>
      </c>
      <c r="B323" s="83"/>
      <c r="C323" s="258"/>
      <c r="D323" s="258"/>
      <c r="E323" s="258"/>
      <c r="F323" s="258"/>
      <c r="G323" s="84">
        <f>ROUND(IF(COUNTA(B323:F323)=0,0,IF(C323="",1,C323)*IF(D323="",1,D323)*IF(E323="",1,E323)*IF(F323="",1,F323)),2)</f>
        <v>0</v>
      </c>
    </row>
    <row r="324" spans="1:7">
      <c r="A324" s="83">
        <v>3</v>
      </c>
      <c r="B324" s="83"/>
      <c r="C324" s="258"/>
      <c r="D324" s="258"/>
      <c r="E324" s="258"/>
      <c r="F324" s="258"/>
      <c r="G324" s="84">
        <f>ROUND(IF(COUNTA(B324:F324)=0,0,IF(C324="",1,C324)*IF(D324="",1,D324)*IF(E324="",1,E324)*IF(F324="",1,F324)),2)</f>
        <v>0</v>
      </c>
    </row>
    <row r="325" spans="1:7">
      <c r="A325" s="83">
        <v>4</v>
      </c>
      <c r="B325" s="83"/>
      <c r="C325" s="258"/>
      <c r="D325" s="258"/>
      <c r="E325" s="258"/>
      <c r="F325" s="258"/>
      <c r="G325" s="84">
        <f>ROUND(IF(COUNTA(B325:F325)=0,0,IF(C325="",1,C325)*IF(D325="",1,D325)*IF(E325="",1,E325)*IF(F325="",1,F325)),2)</f>
        <v>0</v>
      </c>
    </row>
    <row r="326" spans="1:7">
      <c r="A326" s="83">
        <v>5</v>
      </c>
      <c r="B326" s="83"/>
      <c r="C326" s="258"/>
      <c r="D326" s="258"/>
      <c r="E326" s="258"/>
      <c r="F326" s="258"/>
      <c r="G326" s="84">
        <f>ROUND(IF(COUNTA(B326:F326)=0,0,IF(C326="",1,C326)*IF(D326="",1,D326)*IF(E326="",1,E326)*IF(F326="",1,F326)),2)</f>
        <v>0</v>
      </c>
    </row>
    <row r="327" spans="1:7">
      <c r="A327" s="393" t="s">
        <v>266</v>
      </c>
      <c r="B327" s="393" t="s">
        <v>266</v>
      </c>
      <c r="C327" s="394" t="s">
        <v>266</v>
      </c>
      <c r="D327" s="394" t="s">
        <v>266</v>
      </c>
      <c r="E327" s="394" t="s">
        <v>266</v>
      </c>
      <c r="F327" s="394" t="s">
        <v>266</v>
      </c>
      <c r="G327" s="85">
        <f>ROUND(SUM(G322:G326),2)</f>
        <v>10</v>
      </c>
    </row>
    <row r="328" spans="1:7">
      <c r="A328" s="78"/>
      <c r="B328" s="78"/>
      <c r="C328" s="86"/>
      <c r="D328" s="86"/>
      <c r="E328" s="86"/>
      <c r="F328" s="86"/>
      <c r="G328" s="86"/>
    </row>
    <row r="329" spans="1:7" ht="43.15" customHeight="1">
      <c r="A329" s="80" t="s">
        <v>357</v>
      </c>
      <c r="B329" s="80" t="s">
        <v>145</v>
      </c>
      <c r="C329" s="392" t="s">
        <v>146</v>
      </c>
      <c r="D329" s="392"/>
      <c r="E329" s="392"/>
      <c r="F329" s="392"/>
      <c r="G329" s="81" t="s">
        <v>103</v>
      </c>
    </row>
    <row r="330" spans="1:7">
      <c r="A330" s="79" t="s">
        <v>258</v>
      </c>
      <c r="B330" s="79" t="s">
        <v>259</v>
      </c>
      <c r="C330" s="82" t="s">
        <v>260</v>
      </c>
      <c r="D330" s="82" t="s">
        <v>261</v>
      </c>
      <c r="E330" s="82" t="s">
        <v>262</v>
      </c>
      <c r="F330" s="82" t="s">
        <v>263</v>
      </c>
      <c r="G330" s="82" t="s">
        <v>264</v>
      </c>
    </row>
    <row r="331" spans="1:7">
      <c r="A331" s="83">
        <v>1</v>
      </c>
      <c r="B331" s="83" t="s">
        <v>358</v>
      </c>
      <c r="C331" s="258"/>
      <c r="D331" s="258"/>
      <c r="E331" s="258"/>
      <c r="F331" s="258">
        <v>4</v>
      </c>
      <c r="G331" s="84">
        <f>ROUND(IF(COUNTA(B331:F331)=0,0,IF(C331="",1,C331)*IF(D331="",1,D331)*IF(E331="",1,E331)*IF(F331="",1,F331)),2)</f>
        <v>4</v>
      </c>
    </row>
    <row r="332" spans="1:7">
      <c r="A332" s="83">
        <v>2</v>
      </c>
      <c r="B332" s="83"/>
      <c r="C332" s="258"/>
      <c r="D332" s="258"/>
      <c r="E332" s="258"/>
      <c r="F332" s="258"/>
      <c r="G332" s="84">
        <f>ROUND(IF(COUNTA(B332:F332)=0,0,IF(C332="",1,C332)*IF(D332="",1,D332)*IF(E332="",1,E332)*IF(F332="",1,F332)),2)</f>
        <v>0</v>
      </c>
    </row>
    <row r="333" spans="1:7">
      <c r="A333" s="83">
        <v>3</v>
      </c>
      <c r="B333" s="83"/>
      <c r="C333" s="258"/>
      <c r="D333" s="258"/>
      <c r="E333" s="258"/>
      <c r="F333" s="258"/>
      <c r="G333" s="84">
        <f>ROUND(IF(COUNTA(B333:F333)=0,0,IF(C333="",1,C333)*IF(D333="",1,D333)*IF(E333="",1,E333)*IF(F333="",1,F333)),2)</f>
        <v>0</v>
      </c>
    </row>
    <row r="334" spans="1:7">
      <c r="A334" s="83">
        <v>4</v>
      </c>
      <c r="B334" s="83"/>
      <c r="C334" s="258"/>
      <c r="D334" s="258"/>
      <c r="E334" s="258"/>
      <c r="F334" s="258"/>
      <c r="G334" s="84">
        <f>ROUND(IF(COUNTA(B334:F334)=0,0,IF(C334="",1,C334)*IF(D334="",1,D334)*IF(E334="",1,E334)*IF(F334="",1,F334)),2)</f>
        <v>0</v>
      </c>
    </row>
    <row r="335" spans="1:7">
      <c r="A335" s="83">
        <v>5</v>
      </c>
      <c r="B335" s="83"/>
      <c r="C335" s="258"/>
      <c r="D335" s="258"/>
      <c r="E335" s="258"/>
      <c r="F335" s="258"/>
      <c r="G335" s="84">
        <f>ROUND(IF(COUNTA(B335:F335)=0,0,IF(C335="",1,C335)*IF(D335="",1,D335)*IF(E335="",1,E335)*IF(F335="",1,F335)),2)</f>
        <v>0</v>
      </c>
    </row>
    <row r="336" spans="1:7">
      <c r="A336" s="393" t="s">
        <v>266</v>
      </c>
      <c r="B336" s="393" t="s">
        <v>266</v>
      </c>
      <c r="C336" s="394" t="s">
        <v>266</v>
      </c>
      <c r="D336" s="394" t="s">
        <v>266</v>
      </c>
      <c r="E336" s="394" t="s">
        <v>266</v>
      </c>
      <c r="F336" s="394" t="s">
        <v>266</v>
      </c>
      <c r="G336" s="85">
        <f>ROUND(SUM(G331:G335),2)</f>
        <v>4</v>
      </c>
    </row>
    <row r="337" spans="1:7">
      <c r="A337" s="78"/>
      <c r="B337" s="78"/>
      <c r="C337" s="86"/>
      <c r="D337" s="86"/>
      <c r="E337" s="86"/>
      <c r="F337" s="86"/>
      <c r="G337" s="86"/>
    </row>
    <row r="338" spans="1:7" ht="41.45" customHeight="1">
      <c r="A338" s="80" t="s">
        <v>359</v>
      </c>
      <c r="B338" s="80" t="s">
        <v>147</v>
      </c>
      <c r="C338" s="392" t="s">
        <v>148</v>
      </c>
      <c r="D338" s="392"/>
      <c r="E338" s="392"/>
      <c r="F338" s="392"/>
      <c r="G338" s="81" t="s">
        <v>103</v>
      </c>
    </row>
    <row r="339" spans="1:7">
      <c r="A339" s="79" t="s">
        <v>258</v>
      </c>
      <c r="B339" s="79" t="s">
        <v>259</v>
      </c>
      <c r="C339" s="82" t="s">
        <v>260</v>
      </c>
      <c r="D339" s="82" t="s">
        <v>261</v>
      </c>
      <c r="E339" s="82" t="s">
        <v>262</v>
      </c>
      <c r="F339" s="82" t="s">
        <v>263</v>
      </c>
      <c r="G339" s="82" t="s">
        <v>264</v>
      </c>
    </row>
    <row r="340" spans="1:7">
      <c r="A340" s="83">
        <v>1</v>
      </c>
      <c r="B340" s="83" t="s">
        <v>360</v>
      </c>
      <c r="C340" s="258"/>
      <c r="D340" s="258"/>
      <c r="E340" s="258"/>
      <c r="F340" s="258">
        <v>10</v>
      </c>
      <c r="G340" s="84">
        <f>ROUND(IF(COUNTA(B340:F340)=0,0,IF(C340="",1,C340)*IF(D340="",1,D340)*IF(E340="",1,E340)*IF(F340="",1,F340)),2)</f>
        <v>10</v>
      </c>
    </row>
    <row r="341" spans="1:7">
      <c r="A341" s="83">
        <v>2</v>
      </c>
      <c r="B341" s="83"/>
      <c r="C341" s="258"/>
      <c r="D341" s="258"/>
      <c r="E341" s="258"/>
      <c r="F341" s="258"/>
      <c r="G341" s="84">
        <f>ROUND(IF(COUNTA(B341:F341)=0,0,IF(C341="",1,C341)*IF(D341="",1,D341)*IF(E341="",1,E341)*IF(F341="",1,F341)),2)</f>
        <v>0</v>
      </c>
    </row>
    <row r="342" spans="1:7">
      <c r="A342" s="83">
        <v>3</v>
      </c>
      <c r="B342" s="83"/>
      <c r="C342" s="258"/>
      <c r="D342" s="258"/>
      <c r="E342" s="258"/>
      <c r="F342" s="258"/>
      <c r="G342" s="84">
        <f>ROUND(IF(COUNTA(B342:F342)=0,0,IF(C342="",1,C342)*IF(D342="",1,D342)*IF(E342="",1,E342)*IF(F342="",1,F342)),2)</f>
        <v>0</v>
      </c>
    </row>
    <row r="343" spans="1:7">
      <c r="A343" s="83">
        <v>4</v>
      </c>
      <c r="B343" s="83"/>
      <c r="C343" s="258"/>
      <c r="D343" s="258"/>
      <c r="E343" s="258"/>
      <c r="F343" s="258"/>
      <c r="G343" s="84">
        <f>ROUND(IF(COUNTA(B343:F343)=0,0,IF(C343="",1,C343)*IF(D343="",1,D343)*IF(E343="",1,E343)*IF(F343="",1,F343)),2)</f>
        <v>0</v>
      </c>
    </row>
    <row r="344" spans="1:7">
      <c r="A344" s="83">
        <v>5</v>
      </c>
      <c r="B344" s="83"/>
      <c r="C344" s="258"/>
      <c r="D344" s="258"/>
      <c r="E344" s="258"/>
      <c r="F344" s="258"/>
      <c r="G344" s="84">
        <f>ROUND(IF(COUNTA(B344:F344)=0,0,IF(C344="",1,C344)*IF(D344="",1,D344)*IF(E344="",1,E344)*IF(F344="",1,F344)),2)</f>
        <v>0</v>
      </c>
    </row>
    <row r="345" spans="1:7">
      <c r="A345" s="393" t="s">
        <v>266</v>
      </c>
      <c r="B345" s="393" t="s">
        <v>266</v>
      </c>
      <c r="C345" s="394" t="s">
        <v>266</v>
      </c>
      <c r="D345" s="394" t="s">
        <v>266</v>
      </c>
      <c r="E345" s="394" t="s">
        <v>266</v>
      </c>
      <c r="F345" s="394" t="s">
        <v>266</v>
      </c>
      <c r="G345" s="85">
        <f>ROUND(SUM(G340:G344),2)</f>
        <v>10</v>
      </c>
    </row>
    <row r="346" spans="1:7">
      <c r="A346" s="78"/>
      <c r="B346" s="78"/>
      <c r="C346" s="86"/>
      <c r="D346" s="86"/>
      <c r="E346" s="86"/>
      <c r="F346" s="86"/>
      <c r="G346" s="86"/>
    </row>
    <row r="347" spans="1:7" ht="44.45" customHeight="1">
      <c r="A347" s="80" t="s">
        <v>361</v>
      </c>
      <c r="B347" s="80" t="s">
        <v>149</v>
      </c>
      <c r="C347" s="392" t="s">
        <v>150</v>
      </c>
      <c r="D347" s="392"/>
      <c r="E347" s="392"/>
      <c r="F347" s="392"/>
      <c r="G347" s="81" t="s">
        <v>68</v>
      </c>
    </row>
    <row r="348" spans="1:7">
      <c r="A348" s="79" t="s">
        <v>258</v>
      </c>
      <c r="B348" s="79" t="s">
        <v>259</v>
      </c>
      <c r="C348" s="82" t="s">
        <v>260</v>
      </c>
      <c r="D348" s="82" t="s">
        <v>261</v>
      </c>
      <c r="E348" s="82" t="s">
        <v>262</v>
      </c>
      <c r="F348" s="82" t="s">
        <v>263</v>
      </c>
      <c r="G348" s="82" t="s">
        <v>264</v>
      </c>
    </row>
    <row r="349" spans="1:7">
      <c r="A349" s="83">
        <v>1</v>
      </c>
      <c r="B349" s="83" t="s">
        <v>362</v>
      </c>
      <c r="C349" s="258">
        <v>25</v>
      </c>
      <c r="D349" s="258"/>
      <c r="E349" s="258"/>
      <c r="F349" s="258">
        <v>1</v>
      </c>
      <c r="G349" s="84">
        <f>ROUND(IF(COUNTA(B349:F349)=0,0,IF(C349="",1,C349)*IF(D349="",1,D349)*IF(E349="",1,E349)*IF(F349="",1,F349)),2)</f>
        <v>25</v>
      </c>
    </row>
    <row r="350" spans="1:7">
      <c r="A350" s="83">
        <v>2</v>
      </c>
      <c r="B350" s="83"/>
      <c r="C350" s="258"/>
      <c r="D350" s="258"/>
      <c r="E350" s="258"/>
      <c r="F350" s="258"/>
      <c r="G350" s="84">
        <f>ROUND(IF(COUNTA(B350:F350)=0,0,IF(C350="",1,C350)*IF(D350="",1,D350)*IF(E350="",1,E350)*IF(F350="",1,F350)),2)</f>
        <v>0</v>
      </c>
    </row>
    <row r="351" spans="1:7">
      <c r="A351" s="83">
        <v>3</v>
      </c>
      <c r="B351" s="83"/>
      <c r="C351" s="258"/>
      <c r="D351" s="258"/>
      <c r="E351" s="258"/>
      <c r="F351" s="258"/>
      <c r="G351" s="84">
        <f>ROUND(IF(COUNTA(B351:F351)=0,0,IF(C351="",1,C351)*IF(D351="",1,D351)*IF(E351="",1,E351)*IF(F351="",1,F351)),2)</f>
        <v>0</v>
      </c>
    </row>
    <row r="352" spans="1:7">
      <c r="A352" s="83">
        <v>4</v>
      </c>
      <c r="B352" s="83"/>
      <c r="C352" s="258"/>
      <c r="D352" s="258"/>
      <c r="E352" s="258"/>
      <c r="F352" s="258"/>
      <c r="G352" s="84">
        <f>ROUND(IF(COUNTA(B352:F352)=0,0,IF(C352="",1,C352)*IF(D352="",1,D352)*IF(E352="",1,E352)*IF(F352="",1,F352)),2)</f>
        <v>0</v>
      </c>
    </row>
    <row r="353" spans="1:7">
      <c r="A353" s="83">
        <v>5</v>
      </c>
      <c r="B353" s="83"/>
      <c r="C353" s="258"/>
      <c r="D353" s="258"/>
      <c r="E353" s="258"/>
      <c r="F353" s="258"/>
      <c r="G353" s="84">
        <f>ROUND(IF(COUNTA(B353:F353)=0,0,IF(C353="",1,C353)*IF(D353="",1,D353)*IF(E353="",1,E353)*IF(F353="",1,F353)),2)</f>
        <v>0</v>
      </c>
    </row>
    <row r="354" spans="1:7">
      <c r="A354" s="393" t="s">
        <v>266</v>
      </c>
      <c r="B354" s="393" t="s">
        <v>266</v>
      </c>
      <c r="C354" s="394" t="s">
        <v>266</v>
      </c>
      <c r="D354" s="394" t="s">
        <v>266</v>
      </c>
      <c r="E354" s="394" t="s">
        <v>266</v>
      </c>
      <c r="F354" s="394" t="s">
        <v>266</v>
      </c>
      <c r="G354" s="85">
        <f>ROUND(SUM(G349:G353),2)</f>
        <v>25</v>
      </c>
    </row>
    <row r="355" spans="1:7">
      <c r="A355" s="78"/>
      <c r="B355" s="78"/>
      <c r="C355" s="86"/>
      <c r="D355" s="86"/>
      <c r="E355" s="86"/>
      <c r="F355" s="86"/>
      <c r="G355" s="86"/>
    </row>
    <row r="356" spans="1:7" ht="46.15" customHeight="1">
      <c r="A356" s="80" t="s">
        <v>363</v>
      </c>
      <c r="B356" s="80" t="s">
        <v>151</v>
      </c>
      <c r="C356" s="392" t="s">
        <v>152</v>
      </c>
      <c r="D356" s="392"/>
      <c r="E356" s="392"/>
      <c r="F356" s="392"/>
      <c r="G356" s="81" t="s">
        <v>103</v>
      </c>
    </row>
    <row r="357" spans="1:7">
      <c r="A357" s="79" t="s">
        <v>258</v>
      </c>
      <c r="B357" s="79" t="s">
        <v>259</v>
      </c>
      <c r="C357" s="82" t="s">
        <v>260</v>
      </c>
      <c r="D357" s="82" t="s">
        <v>261</v>
      </c>
      <c r="E357" s="82" t="s">
        <v>262</v>
      </c>
      <c r="F357" s="82" t="s">
        <v>263</v>
      </c>
      <c r="G357" s="82" t="s">
        <v>264</v>
      </c>
    </row>
    <row r="358" spans="1:7">
      <c r="A358" s="83">
        <v>1</v>
      </c>
      <c r="B358" s="83"/>
      <c r="C358" s="258"/>
      <c r="D358" s="258"/>
      <c r="E358" s="258"/>
      <c r="F358" s="258">
        <v>4</v>
      </c>
      <c r="G358" s="84">
        <f>ROUND(IF(COUNTA(B358:F358)=0,0,IF(C358="",1,C358)*IF(D358="",1,D358)*IF(E358="",1,E358)*IF(F358="",1,F358)),2)</f>
        <v>4</v>
      </c>
    </row>
    <row r="359" spans="1:7">
      <c r="A359" s="83">
        <v>2</v>
      </c>
      <c r="B359" s="83"/>
      <c r="C359" s="258"/>
      <c r="D359" s="258"/>
      <c r="E359" s="258"/>
      <c r="F359" s="258"/>
      <c r="G359" s="84">
        <f>ROUND(IF(COUNTA(B359:F359)=0,0,IF(C359="",1,C359)*IF(D359="",1,D359)*IF(E359="",1,E359)*IF(F359="",1,F359)),2)</f>
        <v>0</v>
      </c>
    </row>
    <row r="360" spans="1:7">
      <c r="A360" s="83">
        <v>3</v>
      </c>
      <c r="B360" s="83"/>
      <c r="C360" s="258"/>
      <c r="D360" s="258"/>
      <c r="E360" s="258"/>
      <c r="F360" s="258"/>
      <c r="G360" s="84">
        <f>ROUND(IF(COUNTA(B360:F360)=0,0,IF(C360="",1,C360)*IF(D360="",1,D360)*IF(E360="",1,E360)*IF(F360="",1,F360)),2)</f>
        <v>0</v>
      </c>
    </row>
    <row r="361" spans="1:7">
      <c r="A361" s="83">
        <v>4</v>
      </c>
      <c r="B361" s="83"/>
      <c r="C361" s="258"/>
      <c r="D361" s="258"/>
      <c r="E361" s="258"/>
      <c r="F361" s="258"/>
      <c r="G361" s="84">
        <f>ROUND(IF(COUNTA(B361:F361)=0,0,IF(C361="",1,C361)*IF(D361="",1,D361)*IF(E361="",1,E361)*IF(F361="",1,F361)),2)</f>
        <v>0</v>
      </c>
    </row>
    <row r="362" spans="1:7">
      <c r="A362" s="83">
        <v>5</v>
      </c>
      <c r="B362" s="83"/>
      <c r="C362" s="258"/>
      <c r="D362" s="258"/>
      <c r="E362" s="258"/>
      <c r="F362" s="258"/>
      <c r="G362" s="84">
        <f>ROUND(IF(COUNTA(B362:F362)=0,0,IF(C362="",1,C362)*IF(D362="",1,D362)*IF(E362="",1,E362)*IF(F362="",1,F362)),2)</f>
        <v>0</v>
      </c>
    </row>
    <row r="363" spans="1:7">
      <c r="A363" s="393" t="s">
        <v>266</v>
      </c>
      <c r="B363" s="393" t="s">
        <v>266</v>
      </c>
      <c r="C363" s="394" t="s">
        <v>266</v>
      </c>
      <c r="D363" s="394" t="s">
        <v>266</v>
      </c>
      <c r="E363" s="394" t="s">
        <v>266</v>
      </c>
      <c r="F363" s="394" t="s">
        <v>266</v>
      </c>
      <c r="G363" s="85">
        <f>ROUND(SUM(G358:G362),2)</f>
        <v>4</v>
      </c>
    </row>
    <row r="364" spans="1:7">
      <c r="A364" s="78"/>
      <c r="B364" s="78"/>
      <c r="C364" s="86"/>
      <c r="D364" s="86"/>
      <c r="E364" s="86"/>
      <c r="F364" s="86"/>
      <c r="G364" s="86"/>
    </row>
    <row r="365" spans="1:7" ht="34.15" customHeight="1">
      <c r="A365" s="80" t="s">
        <v>364</v>
      </c>
      <c r="B365" s="80" t="s">
        <v>153</v>
      </c>
      <c r="C365" s="392" t="s">
        <v>154</v>
      </c>
      <c r="D365" s="392"/>
      <c r="E365" s="392"/>
      <c r="F365" s="392"/>
      <c r="G365" s="81" t="s">
        <v>103</v>
      </c>
    </row>
    <row r="366" spans="1:7">
      <c r="A366" s="79" t="s">
        <v>258</v>
      </c>
      <c r="B366" s="79" t="s">
        <v>259</v>
      </c>
      <c r="C366" s="82" t="s">
        <v>260</v>
      </c>
      <c r="D366" s="82" t="s">
        <v>261</v>
      </c>
      <c r="E366" s="82" t="s">
        <v>262</v>
      </c>
      <c r="F366" s="82" t="s">
        <v>263</v>
      </c>
      <c r="G366" s="82" t="s">
        <v>264</v>
      </c>
    </row>
    <row r="367" spans="1:7">
      <c r="A367" s="83">
        <v>1</v>
      </c>
      <c r="B367" s="83" t="s">
        <v>365</v>
      </c>
      <c r="C367" s="258"/>
      <c r="D367" s="258"/>
      <c r="E367" s="258"/>
      <c r="F367" s="258">
        <v>4</v>
      </c>
      <c r="G367" s="84">
        <f>ROUND(IF(COUNTA(B367:F367)=0,0,IF(C367="",1,C367)*IF(D367="",1,D367)*IF(E367="",1,E367)*IF(F367="",1,F367)),2)</f>
        <v>4</v>
      </c>
    </row>
    <row r="368" spans="1:7">
      <c r="A368" s="83">
        <v>2</v>
      </c>
      <c r="B368" s="83"/>
      <c r="C368" s="258"/>
      <c r="D368" s="258"/>
      <c r="E368" s="258"/>
      <c r="F368" s="258"/>
      <c r="G368" s="84">
        <f>ROUND(IF(COUNTA(B368:F368)=0,0,IF(C368="",1,C368)*IF(D368="",1,D368)*IF(E368="",1,E368)*IF(F368="",1,F368)),2)</f>
        <v>0</v>
      </c>
    </row>
    <row r="369" spans="1:7">
      <c r="A369" s="83">
        <v>3</v>
      </c>
      <c r="B369" s="83"/>
      <c r="C369" s="258"/>
      <c r="D369" s="258"/>
      <c r="E369" s="258"/>
      <c r="F369" s="258"/>
      <c r="G369" s="84">
        <f>ROUND(IF(COUNTA(B369:F369)=0,0,IF(C369="",1,C369)*IF(D369="",1,D369)*IF(E369="",1,E369)*IF(F369="",1,F369)),2)</f>
        <v>0</v>
      </c>
    </row>
    <row r="370" spans="1:7">
      <c r="A370" s="83">
        <v>4</v>
      </c>
      <c r="B370" s="83"/>
      <c r="C370" s="258"/>
      <c r="D370" s="258"/>
      <c r="E370" s="258"/>
      <c r="F370" s="258"/>
      <c r="G370" s="84">
        <f>ROUND(IF(COUNTA(B370:F370)=0,0,IF(C370="",1,C370)*IF(D370="",1,D370)*IF(E370="",1,E370)*IF(F370="",1,F370)),2)</f>
        <v>0</v>
      </c>
    </row>
    <row r="371" spans="1:7">
      <c r="A371" s="83">
        <v>5</v>
      </c>
      <c r="B371" s="83"/>
      <c r="C371" s="258"/>
      <c r="D371" s="258"/>
      <c r="E371" s="258"/>
      <c r="F371" s="258"/>
      <c r="G371" s="84">
        <f>ROUND(IF(COUNTA(B371:F371)=0,0,IF(C371="",1,C371)*IF(D371="",1,D371)*IF(E371="",1,E371)*IF(F371="",1,F371)),2)</f>
        <v>0</v>
      </c>
    </row>
    <row r="372" spans="1:7">
      <c r="A372" s="393" t="s">
        <v>266</v>
      </c>
      <c r="B372" s="393" t="s">
        <v>266</v>
      </c>
      <c r="C372" s="394" t="s">
        <v>266</v>
      </c>
      <c r="D372" s="394" t="s">
        <v>266</v>
      </c>
      <c r="E372" s="394" t="s">
        <v>266</v>
      </c>
      <c r="F372" s="394" t="s">
        <v>266</v>
      </c>
      <c r="G372" s="85">
        <f>ROUND(SUM(G367:G371),2)</f>
        <v>4</v>
      </c>
    </row>
    <row r="373" spans="1:7">
      <c r="A373" s="78"/>
      <c r="B373" s="78"/>
      <c r="C373" s="86"/>
      <c r="D373" s="86"/>
      <c r="E373" s="86"/>
      <c r="F373" s="86"/>
      <c r="G373" s="86"/>
    </row>
    <row r="374" spans="1:7" ht="31.15" customHeight="1">
      <c r="A374" s="80" t="s">
        <v>366</v>
      </c>
      <c r="B374" s="80" t="s">
        <v>155</v>
      </c>
      <c r="C374" s="392" t="s">
        <v>156</v>
      </c>
      <c r="D374" s="392"/>
      <c r="E374" s="392"/>
      <c r="F374" s="392"/>
      <c r="G374" s="81" t="s">
        <v>68</v>
      </c>
    </row>
    <row r="375" spans="1:7">
      <c r="A375" s="79" t="s">
        <v>258</v>
      </c>
      <c r="B375" s="79" t="s">
        <v>259</v>
      </c>
      <c r="C375" s="82" t="s">
        <v>260</v>
      </c>
      <c r="D375" s="82" t="s">
        <v>261</v>
      </c>
      <c r="E375" s="82" t="s">
        <v>262</v>
      </c>
      <c r="F375" s="82" t="s">
        <v>263</v>
      </c>
      <c r="G375" s="82" t="s">
        <v>264</v>
      </c>
    </row>
    <row r="376" spans="1:7">
      <c r="A376" s="83">
        <v>1</v>
      </c>
      <c r="B376" s="83" t="s">
        <v>367</v>
      </c>
      <c r="C376" s="258"/>
      <c r="D376" s="258"/>
      <c r="E376" s="258"/>
      <c r="F376" s="258">
        <v>6</v>
      </c>
      <c r="G376" s="84">
        <f>ROUND(IF(COUNTA(B376:F376)=0,0,IF(C376="",1,C376)*IF(D376="",1,D376)*IF(E376="",1,E376)*IF(F376="",1,F376)),2)</f>
        <v>6</v>
      </c>
    </row>
    <row r="377" spans="1:7">
      <c r="A377" s="83">
        <v>2</v>
      </c>
      <c r="B377" s="83"/>
      <c r="C377" s="258"/>
      <c r="D377" s="258"/>
      <c r="E377" s="258"/>
      <c r="F377" s="258"/>
      <c r="G377" s="84">
        <f>ROUND(IF(COUNTA(B377:F377)=0,0,IF(C377="",1,C377)*IF(D377="",1,D377)*IF(E377="",1,E377)*IF(F377="",1,F377)),2)</f>
        <v>0</v>
      </c>
    </row>
    <row r="378" spans="1:7">
      <c r="A378" s="83">
        <v>3</v>
      </c>
      <c r="B378" s="83"/>
      <c r="C378" s="258"/>
      <c r="D378" s="258"/>
      <c r="E378" s="258"/>
      <c r="F378" s="258"/>
      <c r="G378" s="84">
        <f>ROUND(IF(COUNTA(B378:F378)=0,0,IF(C378="",1,C378)*IF(D378="",1,D378)*IF(E378="",1,E378)*IF(F378="",1,F378)),2)</f>
        <v>0</v>
      </c>
    </row>
    <row r="379" spans="1:7">
      <c r="A379" s="83">
        <v>4</v>
      </c>
      <c r="B379" s="83"/>
      <c r="C379" s="258"/>
      <c r="D379" s="258"/>
      <c r="E379" s="258"/>
      <c r="F379" s="258"/>
      <c r="G379" s="84">
        <f>ROUND(IF(COUNTA(B379:F379)=0,0,IF(C379="",1,C379)*IF(D379="",1,D379)*IF(E379="",1,E379)*IF(F379="",1,F379)),2)</f>
        <v>0</v>
      </c>
    </row>
    <row r="380" spans="1:7">
      <c r="A380" s="83">
        <v>5</v>
      </c>
      <c r="B380" s="83"/>
      <c r="C380" s="258"/>
      <c r="D380" s="258"/>
      <c r="E380" s="258"/>
      <c r="F380" s="258"/>
      <c r="G380" s="84">
        <f>ROUND(IF(COUNTA(B380:F380)=0,0,IF(C380="",1,C380)*IF(D380="",1,D380)*IF(E380="",1,E380)*IF(F380="",1,F380)),2)</f>
        <v>0</v>
      </c>
    </row>
    <row r="381" spans="1:7">
      <c r="A381" s="393" t="s">
        <v>266</v>
      </c>
      <c r="B381" s="393" t="s">
        <v>266</v>
      </c>
      <c r="C381" s="394" t="s">
        <v>266</v>
      </c>
      <c r="D381" s="394" t="s">
        <v>266</v>
      </c>
      <c r="E381" s="394" t="s">
        <v>266</v>
      </c>
      <c r="F381" s="394" t="s">
        <v>266</v>
      </c>
      <c r="G381" s="85">
        <f>ROUND(SUM(G376:G380),2)</f>
        <v>6</v>
      </c>
    </row>
    <row r="382" spans="1:7">
      <c r="A382" s="78"/>
      <c r="B382" s="78"/>
      <c r="C382" s="86"/>
      <c r="D382" s="86"/>
      <c r="E382" s="86"/>
      <c r="F382" s="86"/>
      <c r="G382" s="86"/>
    </row>
    <row r="383" spans="1:7" ht="37.15" customHeight="1">
      <c r="A383" s="80" t="s">
        <v>368</v>
      </c>
      <c r="B383" s="80" t="s">
        <v>157</v>
      </c>
      <c r="C383" s="392" t="s">
        <v>158</v>
      </c>
      <c r="D383" s="392"/>
      <c r="E383" s="392"/>
      <c r="F383" s="392"/>
      <c r="G383" s="81" t="s">
        <v>103</v>
      </c>
    </row>
    <row r="384" spans="1:7">
      <c r="A384" s="79" t="s">
        <v>258</v>
      </c>
      <c r="B384" s="79" t="s">
        <v>259</v>
      </c>
      <c r="C384" s="82" t="s">
        <v>260</v>
      </c>
      <c r="D384" s="82" t="s">
        <v>261</v>
      </c>
      <c r="E384" s="82" t="s">
        <v>262</v>
      </c>
      <c r="F384" s="82" t="s">
        <v>263</v>
      </c>
      <c r="G384" s="82" t="s">
        <v>264</v>
      </c>
    </row>
    <row r="385" spans="1:7">
      <c r="A385" s="83">
        <v>1</v>
      </c>
      <c r="B385" s="83" t="s">
        <v>369</v>
      </c>
      <c r="C385" s="258"/>
      <c r="D385" s="258"/>
      <c r="E385" s="258"/>
      <c r="F385" s="258">
        <v>1</v>
      </c>
      <c r="G385" s="84">
        <f>ROUND(IF(COUNTA(B385:F385)=0,0,IF(C385="",1,C385)*IF(D385="",1,D385)*IF(E385="",1,E385)*IF(F385="",1,F385)),2)</f>
        <v>1</v>
      </c>
    </row>
    <row r="386" spans="1:7">
      <c r="A386" s="83">
        <v>2</v>
      </c>
      <c r="B386" s="83"/>
      <c r="C386" s="258"/>
      <c r="D386" s="258"/>
      <c r="E386" s="258"/>
      <c r="F386" s="258"/>
      <c r="G386" s="84">
        <f>ROUND(IF(COUNTA(B386:F386)=0,0,IF(C386="",1,C386)*IF(D386="",1,D386)*IF(E386="",1,E386)*IF(F386="",1,F386)),2)</f>
        <v>0</v>
      </c>
    </row>
    <row r="387" spans="1:7">
      <c r="A387" s="83">
        <v>3</v>
      </c>
      <c r="B387" s="83"/>
      <c r="C387" s="258"/>
      <c r="D387" s="258"/>
      <c r="E387" s="258"/>
      <c r="F387" s="258"/>
      <c r="G387" s="84">
        <f>ROUND(IF(COUNTA(B387:F387)=0,0,IF(C387="",1,C387)*IF(D387="",1,D387)*IF(E387="",1,E387)*IF(F387="",1,F387)),2)</f>
        <v>0</v>
      </c>
    </row>
    <row r="388" spans="1:7">
      <c r="A388" s="83">
        <v>4</v>
      </c>
      <c r="B388" s="83"/>
      <c r="C388" s="258"/>
      <c r="D388" s="258"/>
      <c r="E388" s="258"/>
      <c r="F388" s="258"/>
      <c r="G388" s="84">
        <f>ROUND(IF(COUNTA(B388:F388)=0,0,IF(C388="",1,C388)*IF(D388="",1,D388)*IF(E388="",1,E388)*IF(F388="",1,F388)),2)</f>
        <v>0</v>
      </c>
    </row>
    <row r="389" spans="1:7">
      <c r="A389" s="83">
        <v>5</v>
      </c>
      <c r="B389" s="83"/>
      <c r="C389" s="258"/>
      <c r="D389" s="258"/>
      <c r="E389" s="258"/>
      <c r="F389" s="258"/>
      <c r="G389" s="84">
        <f>ROUND(IF(COUNTA(B389:F389)=0,0,IF(C389="",1,C389)*IF(D389="",1,D389)*IF(E389="",1,E389)*IF(F389="",1,F389)),2)</f>
        <v>0</v>
      </c>
    </row>
    <row r="390" spans="1:7">
      <c r="A390" s="393" t="s">
        <v>266</v>
      </c>
      <c r="B390" s="393" t="s">
        <v>266</v>
      </c>
      <c r="C390" s="394" t="s">
        <v>266</v>
      </c>
      <c r="D390" s="394" t="s">
        <v>266</v>
      </c>
      <c r="E390" s="394" t="s">
        <v>266</v>
      </c>
      <c r="F390" s="394" t="s">
        <v>266</v>
      </c>
      <c r="G390" s="85">
        <f>ROUND(SUM(G385:G389),2)</f>
        <v>1</v>
      </c>
    </row>
    <row r="391" spans="1:7">
      <c r="A391" s="78"/>
      <c r="B391" s="78"/>
      <c r="C391" s="86"/>
      <c r="D391" s="86"/>
      <c r="E391" s="86"/>
      <c r="F391" s="86"/>
      <c r="G391" s="86"/>
    </row>
    <row r="392" spans="1:7" ht="43.9" customHeight="1">
      <c r="A392" s="80" t="s">
        <v>370</v>
      </c>
      <c r="B392" s="80" t="s">
        <v>159</v>
      </c>
      <c r="C392" s="392" t="s">
        <v>160</v>
      </c>
      <c r="D392" s="392"/>
      <c r="E392" s="392"/>
      <c r="F392" s="392"/>
      <c r="G392" s="81" t="s">
        <v>103</v>
      </c>
    </row>
    <row r="393" spans="1:7">
      <c r="A393" s="79" t="s">
        <v>258</v>
      </c>
      <c r="B393" s="79" t="s">
        <v>259</v>
      </c>
      <c r="C393" s="82" t="s">
        <v>260</v>
      </c>
      <c r="D393" s="82" t="s">
        <v>261</v>
      </c>
      <c r="E393" s="82" t="s">
        <v>262</v>
      </c>
      <c r="F393" s="82" t="s">
        <v>263</v>
      </c>
      <c r="G393" s="82" t="s">
        <v>264</v>
      </c>
    </row>
    <row r="394" spans="1:7">
      <c r="A394" s="83">
        <v>1</v>
      </c>
      <c r="B394" s="83" t="s">
        <v>369</v>
      </c>
      <c r="C394" s="258"/>
      <c r="D394" s="258"/>
      <c r="E394" s="258"/>
      <c r="F394" s="258">
        <v>1</v>
      </c>
      <c r="G394" s="84">
        <f>ROUND(IF(COUNTA(B394:F394)=0,0,IF(C394="",1,C394)*IF(D394="",1,D394)*IF(E394="",1,E394)*IF(F394="",1,F394)),2)</f>
        <v>1</v>
      </c>
    </row>
    <row r="395" spans="1:7">
      <c r="A395" s="83">
        <v>2</v>
      </c>
      <c r="B395" s="83"/>
      <c r="C395" s="258"/>
      <c r="D395" s="258"/>
      <c r="E395" s="258"/>
      <c r="F395" s="258"/>
      <c r="G395" s="84">
        <f>ROUND(IF(COUNTA(B395:F395)=0,0,IF(C395="",1,C395)*IF(D395="",1,D395)*IF(E395="",1,E395)*IF(F395="",1,F395)),2)</f>
        <v>0</v>
      </c>
    </row>
    <row r="396" spans="1:7">
      <c r="A396" s="83">
        <v>3</v>
      </c>
      <c r="B396" s="83"/>
      <c r="C396" s="258"/>
      <c r="D396" s="258"/>
      <c r="E396" s="258"/>
      <c r="F396" s="258"/>
      <c r="G396" s="84">
        <f>ROUND(IF(COUNTA(B396:F396)=0,0,IF(C396="",1,C396)*IF(D396="",1,D396)*IF(E396="",1,E396)*IF(F396="",1,F396)),2)</f>
        <v>0</v>
      </c>
    </row>
    <row r="397" spans="1:7">
      <c r="A397" s="83">
        <v>4</v>
      </c>
      <c r="B397" s="83"/>
      <c r="C397" s="258"/>
      <c r="D397" s="258"/>
      <c r="E397" s="258"/>
      <c r="F397" s="258"/>
      <c r="G397" s="84">
        <f>ROUND(IF(COUNTA(B397:F397)=0,0,IF(C397="",1,C397)*IF(D397="",1,D397)*IF(E397="",1,E397)*IF(F397="",1,F397)),2)</f>
        <v>0</v>
      </c>
    </row>
    <row r="398" spans="1:7">
      <c r="A398" s="83">
        <v>5</v>
      </c>
      <c r="B398" s="83"/>
      <c r="C398" s="258"/>
      <c r="D398" s="258"/>
      <c r="E398" s="258"/>
      <c r="F398" s="258"/>
      <c r="G398" s="84">
        <f>ROUND(IF(COUNTA(B398:F398)=0,0,IF(C398="",1,C398)*IF(D398="",1,D398)*IF(E398="",1,E398)*IF(F398="",1,F398)),2)</f>
        <v>0</v>
      </c>
    </row>
    <row r="399" spans="1:7">
      <c r="A399" s="393" t="s">
        <v>266</v>
      </c>
      <c r="B399" s="393" t="s">
        <v>266</v>
      </c>
      <c r="C399" s="394" t="s">
        <v>266</v>
      </c>
      <c r="D399" s="394" t="s">
        <v>266</v>
      </c>
      <c r="E399" s="394" t="s">
        <v>266</v>
      </c>
      <c r="F399" s="394" t="s">
        <v>266</v>
      </c>
      <c r="G399" s="85">
        <f>ROUND(SUM(G394:G398),2)</f>
        <v>1</v>
      </c>
    </row>
    <row r="400" spans="1:7">
      <c r="A400" s="78"/>
      <c r="B400" s="78"/>
      <c r="C400" s="86"/>
      <c r="D400" s="86"/>
      <c r="E400" s="86"/>
      <c r="F400" s="86"/>
      <c r="G400" s="86"/>
    </row>
    <row r="401" spans="1:7" ht="58.15" customHeight="1">
      <c r="A401" s="80" t="s">
        <v>371</v>
      </c>
      <c r="B401" s="80" t="s">
        <v>161</v>
      </c>
      <c r="C401" s="392" t="s">
        <v>162</v>
      </c>
      <c r="D401" s="392"/>
      <c r="E401" s="392"/>
      <c r="F401" s="392"/>
      <c r="G401" s="81" t="s">
        <v>103</v>
      </c>
    </row>
    <row r="402" spans="1:7">
      <c r="A402" s="79" t="s">
        <v>258</v>
      </c>
      <c r="B402" s="79" t="s">
        <v>259</v>
      </c>
      <c r="C402" s="82" t="s">
        <v>260</v>
      </c>
      <c r="D402" s="82" t="s">
        <v>261</v>
      </c>
      <c r="E402" s="82" t="s">
        <v>262</v>
      </c>
      <c r="F402" s="82" t="s">
        <v>263</v>
      </c>
      <c r="G402" s="82" t="s">
        <v>264</v>
      </c>
    </row>
    <row r="403" spans="1:7">
      <c r="A403" s="83">
        <v>1</v>
      </c>
      <c r="B403" s="83" t="s">
        <v>372</v>
      </c>
      <c r="C403" s="258"/>
      <c r="D403" s="258"/>
      <c r="E403" s="258"/>
      <c r="F403" s="258">
        <v>4</v>
      </c>
      <c r="G403" s="84">
        <f>ROUND(IF(COUNTA(B403:F403)=0,0,IF(C403="",1,C403)*IF(D403="",1,D403)*IF(E403="",1,E403)*IF(F403="",1,F403)),2)</f>
        <v>4</v>
      </c>
    </row>
    <row r="404" spans="1:7">
      <c r="A404" s="83">
        <v>2</v>
      </c>
      <c r="B404" s="83"/>
      <c r="C404" s="258"/>
      <c r="D404" s="258"/>
      <c r="E404" s="258"/>
      <c r="F404" s="258"/>
      <c r="G404" s="84">
        <f>ROUND(IF(COUNTA(B404:F404)=0,0,IF(C404="",1,C404)*IF(D404="",1,D404)*IF(E404="",1,E404)*IF(F404="",1,F404)),2)</f>
        <v>0</v>
      </c>
    </row>
    <row r="405" spans="1:7">
      <c r="A405" s="83">
        <v>3</v>
      </c>
      <c r="B405" s="83"/>
      <c r="C405" s="258"/>
      <c r="D405" s="258"/>
      <c r="E405" s="258"/>
      <c r="F405" s="258"/>
      <c r="G405" s="84">
        <f>ROUND(IF(COUNTA(B405:F405)=0,0,IF(C405="",1,C405)*IF(D405="",1,D405)*IF(E405="",1,E405)*IF(F405="",1,F405)),2)</f>
        <v>0</v>
      </c>
    </row>
    <row r="406" spans="1:7">
      <c r="A406" s="83">
        <v>4</v>
      </c>
      <c r="B406" s="83"/>
      <c r="C406" s="258"/>
      <c r="D406" s="258"/>
      <c r="E406" s="258"/>
      <c r="F406" s="258"/>
      <c r="G406" s="84">
        <f>ROUND(IF(COUNTA(B406:F406)=0,0,IF(C406="",1,C406)*IF(D406="",1,D406)*IF(E406="",1,E406)*IF(F406="",1,F406)),2)</f>
        <v>0</v>
      </c>
    </row>
    <row r="407" spans="1:7">
      <c r="A407" s="83">
        <v>5</v>
      </c>
      <c r="B407" s="83"/>
      <c r="C407" s="258"/>
      <c r="D407" s="258"/>
      <c r="E407" s="258"/>
      <c r="F407" s="258"/>
      <c r="G407" s="84">
        <f>ROUND(IF(COUNTA(B407:F407)=0,0,IF(C407="",1,C407)*IF(D407="",1,D407)*IF(E407="",1,E407)*IF(F407="",1,F407)),2)</f>
        <v>0</v>
      </c>
    </row>
    <row r="408" spans="1:7">
      <c r="A408" s="393" t="s">
        <v>266</v>
      </c>
      <c r="B408" s="393" t="s">
        <v>266</v>
      </c>
      <c r="C408" s="394" t="s">
        <v>266</v>
      </c>
      <c r="D408" s="394" t="s">
        <v>266</v>
      </c>
      <c r="E408" s="394" t="s">
        <v>266</v>
      </c>
      <c r="F408" s="394" t="s">
        <v>266</v>
      </c>
      <c r="G408" s="85">
        <f>ROUND(SUM(G403:G407),2)</f>
        <v>4</v>
      </c>
    </row>
    <row r="409" spans="1:7">
      <c r="A409" s="78"/>
      <c r="B409" s="78"/>
      <c r="C409" s="86"/>
      <c r="D409" s="86"/>
      <c r="E409" s="86"/>
      <c r="F409" s="86"/>
      <c r="G409" s="86"/>
    </row>
    <row r="410" spans="1:7" ht="31.15" customHeight="1">
      <c r="A410" s="80" t="s">
        <v>373</v>
      </c>
      <c r="B410" s="80" t="s">
        <v>163</v>
      </c>
      <c r="C410" s="392" t="s">
        <v>164</v>
      </c>
      <c r="D410" s="392"/>
      <c r="E410" s="392"/>
      <c r="F410" s="392"/>
      <c r="G410" s="81" t="s">
        <v>68</v>
      </c>
    </row>
    <row r="411" spans="1:7">
      <c r="A411" s="79" t="s">
        <v>258</v>
      </c>
      <c r="B411" s="79" t="s">
        <v>259</v>
      </c>
      <c r="C411" s="82" t="s">
        <v>260</v>
      </c>
      <c r="D411" s="82" t="s">
        <v>261</v>
      </c>
      <c r="E411" s="82" t="s">
        <v>262</v>
      </c>
      <c r="F411" s="82" t="s">
        <v>263</v>
      </c>
      <c r="G411" s="82" t="s">
        <v>264</v>
      </c>
    </row>
    <row r="412" spans="1:7">
      <c r="A412" s="83">
        <v>1</v>
      </c>
      <c r="B412" s="83" t="s">
        <v>362</v>
      </c>
      <c r="C412" s="258"/>
      <c r="D412" s="258"/>
      <c r="E412" s="258"/>
      <c r="F412" s="258">
        <v>25</v>
      </c>
      <c r="G412" s="84">
        <f>ROUND(IF(COUNTA(B412:F412)=0,0,IF(C412="",1,C412)*IF(D412="",1,D412)*IF(E412="",1,E412)*IF(F412="",1,F412)),2)</f>
        <v>25</v>
      </c>
    </row>
    <row r="413" spans="1:7">
      <c r="A413" s="83">
        <v>2</v>
      </c>
      <c r="B413" s="83"/>
      <c r="C413" s="258"/>
      <c r="D413" s="258"/>
      <c r="E413" s="258"/>
      <c r="F413" s="258"/>
      <c r="G413" s="84">
        <f>ROUND(IF(COUNTA(B413:F413)=0,0,IF(C413="",1,C413)*IF(D413="",1,D413)*IF(E413="",1,E413)*IF(F413="",1,F413)),2)</f>
        <v>0</v>
      </c>
    </row>
    <row r="414" spans="1:7">
      <c r="A414" s="83">
        <v>3</v>
      </c>
      <c r="B414" s="83"/>
      <c r="C414" s="258"/>
      <c r="D414" s="258"/>
      <c r="E414" s="258"/>
      <c r="F414" s="258"/>
      <c r="G414" s="84">
        <f>ROUND(IF(COUNTA(B414:F414)=0,0,IF(C414="",1,C414)*IF(D414="",1,D414)*IF(E414="",1,E414)*IF(F414="",1,F414)),2)</f>
        <v>0</v>
      </c>
    </row>
    <row r="415" spans="1:7">
      <c r="A415" s="83">
        <v>4</v>
      </c>
      <c r="B415" s="83"/>
      <c r="C415" s="258"/>
      <c r="D415" s="258"/>
      <c r="E415" s="258"/>
      <c r="F415" s="258"/>
      <c r="G415" s="84">
        <f>ROUND(IF(COUNTA(B415:F415)=0,0,IF(C415="",1,C415)*IF(D415="",1,D415)*IF(E415="",1,E415)*IF(F415="",1,F415)),2)</f>
        <v>0</v>
      </c>
    </row>
    <row r="416" spans="1:7">
      <c r="A416" s="83">
        <v>5</v>
      </c>
      <c r="B416" s="83"/>
      <c r="C416" s="258"/>
      <c r="D416" s="258"/>
      <c r="E416" s="258"/>
      <c r="F416" s="258"/>
      <c r="G416" s="84">
        <f>ROUND(IF(COUNTA(B416:F416)=0,0,IF(C416="",1,C416)*IF(D416="",1,D416)*IF(E416="",1,E416)*IF(F416="",1,F416)),2)</f>
        <v>0</v>
      </c>
    </row>
    <row r="417" spans="1:7">
      <c r="A417" s="393" t="s">
        <v>266</v>
      </c>
      <c r="B417" s="393" t="s">
        <v>266</v>
      </c>
      <c r="C417" s="394" t="s">
        <v>266</v>
      </c>
      <c r="D417" s="394" t="s">
        <v>266</v>
      </c>
      <c r="E417" s="394" t="s">
        <v>266</v>
      </c>
      <c r="F417" s="394" t="s">
        <v>266</v>
      </c>
      <c r="G417" s="85">
        <f>ROUND(SUM(G412:G416),2)</f>
        <v>25</v>
      </c>
    </row>
    <row r="418" spans="1:7">
      <c r="A418" s="78"/>
      <c r="B418" s="78"/>
      <c r="C418" s="86"/>
      <c r="D418" s="86"/>
      <c r="E418" s="86"/>
      <c r="F418" s="86"/>
      <c r="G418" s="86"/>
    </row>
    <row r="419" spans="1:7" ht="33.6" customHeight="1">
      <c r="A419" s="80" t="s">
        <v>374</v>
      </c>
      <c r="B419" s="80" t="s">
        <v>166</v>
      </c>
      <c r="C419" s="392" t="s">
        <v>167</v>
      </c>
      <c r="D419" s="392"/>
      <c r="E419" s="392"/>
      <c r="F419" s="392"/>
      <c r="G419" s="81" t="s">
        <v>103</v>
      </c>
    </row>
    <row r="420" spans="1:7">
      <c r="A420" s="79" t="s">
        <v>258</v>
      </c>
      <c r="B420" s="79" t="s">
        <v>259</v>
      </c>
      <c r="C420" s="82" t="s">
        <v>260</v>
      </c>
      <c r="D420" s="82" t="s">
        <v>261</v>
      </c>
      <c r="E420" s="82" t="s">
        <v>262</v>
      </c>
      <c r="F420" s="82" t="s">
        <v>263</v>
      </c>
      <c r="G420" s="82" t="s">
        <v>264</v>
      </c>
    </row>
    <row r="421" spans="1:7">
      <c r="A421" s="83">
        <v>1</v>
      </c>
      <c r="B421" s="83" t="s">
        <v>375</v>
      </c>
      <c r="C421" s="258"/>
      <c r="D421" s="258"/>
      <c r="E421" s="258"/>
      <c r="F421" s="258">
        <v>6</v>
      </c>
      <c r="G421" s="84">
        <f>ROUND(IF(COUNTA(B421:F421)=0,0,IF(C421="",1,C421)*IF(D421="",1,D421)*IF(E421="",1,E421)*IF(F421="",1,F421)),2)</f>
        <v>6</v>
      </c>
    </row>
    <row r="422" spans="1:7">
      <c r="A422" s="83">
        <v>2</v>
      </c>
      <c r="B422" s="83"/>
      <c r="C422" s="258"/>
      <c r="D422" s="258"/>
      <c r="E422" s="258"/>
      <c r="F422" s="258"/>
      <c r="G422" s="84">
        <f>ROUND(IF(COUNTA(B422:F422)=0,0,IF(C422="",1,C422)*IF(D422="",1,D422)*IF(E422="",1,E422)*IF(F422="",1,F422)),2)</f>
        <v>0</v>
      </c>
    </row>
    <row r="423" spans="1:7">
      <c r="A423" s="83">
        <v>3</v>
      </c>
      <c r="B423" s="83"/>
      <c r="C423" s="258"/>
      <c r="D423" s="258"/>
      <c r="E423" s="258"/>
      <c r="F423" s="258"/>
      <c r="G423" s="84">
        <f>ROUND(IF(COUNTA(B423:F423)=0,0,IF(C423="",1,C423)*IF(D423="",1,D423)*IF(E423="",1,E423)*IF(F423="",1,F423)),2)</f>
        <v>0</v>
      </c>
    </row>
    <row r="424" spans="1:7">
      <c r="A424" s="83">
        <v>4</v>
      </c>
      <c r="B424" s="83"/>
      <c r="C424" s="258"/>
      <c r="D424" s="258"/>
      <c r="E424" s="258"/>
      <c r="F424" s="258"/>
      <c r="G424" s="84">
        <f>ROUND(IF(COUNTA(B424:F424)=0,0,IF(C424="",1,C424)*IF(D424="",1,D424)*IF(E424="",1,E424)*IF(F424="",1,F424)),2)</f>
        <v>0</v>
      </c>
    </row>
    <row r="425" spans="1:7">
      <c r="A425" s="83">
        <v>5</v>
      </c>
      <c r="B425" s="83"/>
      <c r="C425" s="258"/>
      <c r="D425" s="258"/>
      <c r="E425" s="258"/>
      <c r="F425" s="258"/>
      <c r="G425" s="84">
        <f>ROUND(IF(COUNTA(B425:F425)=0,0,IF(C425="",1,C425)*IF(D425="",1,D425)*IF(E425="",1,E425)*IF(F425="",1,F425)),2)</f>
        <v>0</v>
      </c>
    </row>
    <row r="426" spans="1:7">
      <c r="A426" s="393" t="s">
        <v>266</v>
      </c>
      <c r="B426" s="393" t="s">
        <v>266</v>
      </c>
      <c r="C426" s="394" t="s">
        <v>266</v>
      </c>
      <c r="D426" s="394" t="s">
        <v>266</v>
      </c>
      <c r="E426" s="394" t="s">
        <v>266</v>
      </c>
      <c r="F426" s="394" t="s">
        <v>266</v>
      </c>
      <c r="G426" s="85">
        <f>ROUND(SUM(G421:G425),2)</f>
        <v>6</v>
      </c>
    </row>
    <row r="427" spans="1:7">
      <c r="A427" s="78"/>
      <c r="B427" s="78"/>
      <c r="C427" s="86"/>
      <c r="D427" s="86"/>
      <c r="E427" s="86"/>
      <c r="F427" s="86"/>
      <c r="G427" s="86"/>
    </row>
    <row r="428" spans="1:7" ht="33.6" customHeight="1">
      <c r="A428" s="80" t="s">
        <v>376</v>
      </c>
      <c r="B428" s="80" t="s">
        <v>168</v>
      </c>
      <c r="C428" s="392" t="s">
        <v>169</v>
      </c>
      <c r="D428" s="392"/>
      <c r="E428" s="392"/>
      <c r="F428" s="392"/>
      <c r="G428" s="81" t="s">
        <v>103</v>
      </c>
    </row>
    <row r="429" spans="1:7">
      <c r="A429" s="79" t="s">
        <v>258</v>
      </c>
      <c r="B429" s="79" t="s">
        <v>259</v>
      </c>
      <c r="C429" s="82" t="s">
        <v>260</v>
      </c>
      <c r="D429" s="82" t="s">
        <v>261</v>
      </c>
      <c r="E429" s="82" t="s">
        <v>262</v>
      </c>
      <c r="F429" s="82" t="s">
        <v>263</v>
      </c>
      <c r="G429" s="82" t="s">
        <v>264</v>
      </c>
    </row>
    <row r="430" spans="1:7">
      <c r="A430" s="83">
        <v>1</v>
      </c>
      <c r="B430" s="83" t="s">
        <v>375</v>
      </c>
      <c r="C430" s="258"/>
      <c r="D430" s="258"/>
      <c r="E430" s="258"/>
      <c r="F430" s="258">
        <v>4</v>
      </c>
      <c r="G430" s="84">
        <f>ROUND(IF(COUNTA(B430:F430)=0,0,IF(C430="",1,C430)*IF(D430="",1,D430)*IF(E430="",1,E430)*IF(F430="",1,F430)),2)</f>
        <v>4</v>
      </c>
    </row>
    <row r="431" spans="1:7">
      <c r="A431" s="83">
        <v>2</v>
      </c>
      <c r="B431" s="83"/>
      <c r="C431" s="258"/>
      <c r="D431" s="258"/>
      <c r="E431" s="258"/>
      <c r="F431" s="258"/>
      <c r="G431" s="84">
        <f>ROUND(IF(COUNTA(B431:F431)=0,0,IF(C431="",1,C431)*IF(D431="",1,D431)*IF(E431="",1,E431)*IF(F431="",1,F431)),2)</f>
        <v>0</v>
      </c>
    </row>
    <row r="432" spans="1:7">
      <c r="A432" s="83">
        <v>3</v>
      </c>
      <c r="B432" s="83"/>
      <c r="C432" s="258"/>
      <c r="D432" s="258"/>
      <c r="E432" s="258"/>
      <c r="F432" s="258"/>
      <c r="G432" s="84">
        <f>ROUND(IF(COUNTA(B432:F432)=0,0,IF(C432="",1,C432)*IF(D432="",1,D432)*IF(E432="",1,E432)*IF(F432="",1,F432)),2)</f>
        <v>0</v>
      </c>
    </row>
    <row r="433" spans="1:7">
      <c r="A433" s="83">
        <v>4</v>
      </c>
      <c r="B433" s="83"/>
      <c r="C433" s="258"/>
      <c r="D433" s="258"/>
      <c r="E433" s="258"/>
      <c r="F433" s="258"/>
      <c r="G433" s="84">
        <f>ROUND(IF(COUNTA(B433:F433)=0,0,IF(C433="",1,C433)*IF(D433="",1,D433)*IF(E433="",1,E433)*IF(F433="",1,F433)),2)</f>
        <v>0</v>
      </c>
    </row>
    <row r="434" spans="1:7">
      <c r="A434" s="83">
        <v>5</v>
      </c>
      <c r="B434" s="83"/>
      <c r="C434" s="258"/>
      <c r="D434" s="258"/>
      <c r="E434" s="258"/>
      <c r="F434" s="258"/>
      <c r="G434" s="84">
        <f>ROUND(IF(COUNTA(B434:F434)=0,0,IF(C434="",1,C434)*IF(D434="",1,D434)*IF(E434="",1,E434)*IF(F434="",1,F434)),2)</f>
        <v>0</v>
      </c>
    </row>
    <row r="435" spans="1:7">
      <c r="A435" s="393" t="s">
        <v>266</v>
      </c>
      <c r="B435" s="393" t="s">
        <v>266</v>
      </c>
      <c r="C435" s="394" t="s">
        <v>266</v>
      </c>
      <c r="D435" s="394" t="s">
        <v>266</v>
      </c>
      <c r="E435" s="394" t="s">
        <v>266</v>
      </c>
      <c r="F435" s="394" t="s">
        <v>266</v>
      </c>
      <c r="G435" s="85">
        <f>ROUND(SUM(G430:G434),2)</f>
        <v>4</v>
      </c>
    </row>
    <row r="436" spans="1:7">
      <c r="A436" s="78"/>
      <c r="B436" s="78"/>
      <c r="C436" s="86"/>
      <c r="D436" s="86"/>
      <c r="E436" s="86"/>
      <c r="F436" s="86"/>
      <c r="G436" s="86"/>
    </row>
    <row r="437" spans="1:7" ht="58.9" customHeight="1">
      <c r="A437" s="80" t="s">
        <v>377</v>
      </c>
      <c r="B437" s="80" t="s">
        <v>171</v>
      </c>
      <c r="C437" s="392" t="s">
        <v>172</v>
      </c>
      <c r="D437" s="392"/>
      <c r="E437" s="392"/>
      <c r="F437" s="392"/>
      <c r="G437" s="81" t="s">
        <v>65</v>
      </c>
    </row>
    <row r="438" spans="1:7">
      <c r="A438" s="79" t="s">
        <v>258</v>
      </c>
      <c r="B438" s="79" t="s">
        <v>259</v>
      </c>
      <c r="C438" s="82" t="s">
        <v>260</v>
      </c>
      <c r="D438" s="82" t="s">
        <v>261</v>
      </c>
      <c r="E438" s="82" t="s">
        <v>262</v>
      </c>
      <c r="F438" s="82" t="s">
        <v>263</v>
      </c>
      <c r="G438" s="82" t="s">
        <v>264</v>
      </c>
    </row>
    <row r="439" spans="1:7">
      <c r="A439" s="83">
        <v>1</v>
      </c>
      <c r="B439" s="83" t="s">
        <v>378</v>
      </c>
      <c r="C439" s="258">
        <v>1.2</v>
      </c>
      <c r="D439" s="258">
        <v>2.2000000000000002</v>
      </c>
      <c r="E439" s="258"/>
      <c r="F439" s="258">
        <v>1</v>
      </c>
      <c r="G439" s="84">
        <f>ROUND(IF(COUNTA(B439:F439)=0,0,IF(C439="",1,C439)*IF(D439="",1,D439)*IF(E439="",1,E439)*IF(F439="",1,F439)),2)</f>
        <v>2.64</v>
      </c>
    </row>
    <row r="440" spans="1:7">
      <c r="A440" s="83">
        <v>2</v>
      </c>
      <c r="B440" s="83"/>
      <c r="C440" s="258"/>
      <c r="D440" s="258"/>
      <c r="E440" s="258"/>
      <c r="F440" s="258"/>
      <c r="G440" s="84">
        <f>ROUND(IF(COUNTA(B440:F440)=0,0,IF(C440="",1,C440)*IF(D440="",1,D440)*IF(E440="",1,E440)*IF(F440="",1,F440)),2)</f>
        <v>0</v>
      </c>
    </row>
    <row r="441" spans="1:7">
      <c r="A441" s="83">
        <v>3</v>
      </c>
      <c r="B441" s="83"/>
      <c r="C441" s="258"/>
      <c r="D441" s="258"/>
      <c r="E441" s="258"/>
      <c r="F441" s="258"/>
      <c r="G441" s="84">
        <f>ROUND(IF(COUNTA(B441:F441)=0,0,IF(C441="",1,C441)*IF(D441="",1,D441)*IF(E441="",1,E441)*IF(F441="",1,F441)),2)</f>
        <v>0</v>
      </c>
    </row>
    <row r="442" spans="1:7">
      <c r="A442" s="83">
        <v>4</v>
      </c>
      <c r="B442" s="83"/>
      <c r="C442" s="258"/>
      <c r="D442" s="258"/>
      <c r="E442" s="258"/>
      <c r="F442" s="258"/>
      <c r="G442" s="84">
        <f>ROUND(IF(COUNTA(B442:F442)=0,0,IF(C442="",1,C442)*IF(D442="",1,D442)*IF(E442="",1,E442)*IF(F442="",1,F442)),2)</f>
        <v>0</v>
      </c>
    </row>
    <row r="443" spans="1:7">
      <c r="A443" s="83">
        <v>5</v>
      </c>
      <c r="B443" s="83"/>
      <c r="C443" s="258"/>
      <c r="D443" s="258"/>
      <c r="E443" s="258"/>
      <c r="F443" s="258"/>
      <c r="G443" s="84">
        <f>ROUND(IF(COUNTA(B443:F443)=0,0,IF(C443="",1,C443)*IF(D443="",1,D443)*IF(E443="",1,E443)*IF(F443="",1,F443)),2)</f>
        <v>0</v>
      </c>
    </row>
    <row r="444" spans="1:7">
      <c r="A444" s="393" t="s">
        <v>266</v>
      </c>
      <c r="B444" s="393" t="s">
        <v>266</v>
      </c>
      <c r="C444" s="394" t="s">
        <v>266</v>
      </c>
      <c r="D444" s="394" t="s">
        <v>266</v>
      </c>
      <c r="E444" s="394" t="s">
        <v>266</v>
      </c>
      <c r="F444" s="394" t="s">
        <v>266</v>
      </c>
      <c r="G444" s="85">
        <f>ROUND(SUM(G439:G443),2)</f>
        <v>2.64</v>
      </c>
    </row>
    <row r="445" spans="1:7">
      <c r="A445" s="78"/>
      <c r="B445" s="78"/>
      <c r="C445" s="86"/>
      <c r="D445" s="86"/>
      <c r="E445" s="86"/>
      <c r="F445" s="86"/>
      <c r="G445" s="86"/>
    </row>
    <row r="446" spans="1:7" ht="60" customHeight="1">
      <c r="A446" s="80" t="s">
        <v>379</v>
      </c>
      <c r="B446" s="80" t="s">
        <v>174</v>
      </c>
      <c r="C446" s="392" t="s">
        <v>175</v>
      </c>
      <c r="D446" s="392"/>
      <c r="E446" s="392"/>
      <c r="F446" s="392"/>
      <c r="G446" s="81" t="s">
        <v>65</v>
      </c>
    </row>
    <row r="447" spans="1:7">
      <c r="A447" s="79" t="s">
        <v>258</v>
      </c>
      <c r="B447" s="79" t="s">
        <v>259</v>
      </c>
      <c r="C447" s="82" t="s">
        <v>260</v>
      </c>
      <c r="D447" s="82" t="s">
        <v>261</v>
      </c>
      <c r="E447" s="82" t="s">
        <v>262</v>
      </c>
      <c r="F447" s="82" t="s">
        <v>263</v>
      </c>
      <c r="G447" s="82" t="s">
        <v>264</v>
      </c>
    </row>
    <row r="448" spans="1:7">
      <c r="A448" s="83">
        <v>1</v>
      </c>
      <c r="B448" s="83" t="s">
        <v>345</v>
      </c>
      <c r="C448" s="258">
        <v>7.7</v>
      </c>
      <c r="D448" s="258"/>
      <c r="E448" s="258">
        <v>2.5</v>
      </c>
      <c r="F448" s="258">
        <v>4</v>
      </c>
      <c r="G448" s="84">
        <f>ROUND(IF(COUNTA(B448:F448)=0,0,IF(C448="",1,C448)*IF(D448="",1,D448)*IF(E448="",1,E448)*IF(F448="",1,F448)),2)</f>
        <v>77</v>
      </c>
    </row>
    <row r="449" spans="1:7">
      <c r="A449" s="83">
        <v>2</v>
      </c>
      <c r="B449" s="83"/>
      <c r="C449" s="258">
        <v>8.6</v>
      </c>
      <c r="D449" s="258"/>
      <c r="E449" s="258">
        <v>2.5</v>
      </c>
      <c r="F449" s="258">
        <v>4</v>
      </c>
      <c r="G449" s="84">
        <f>ROUND(IF(COUNTA(B449:F449)=0,0,IF(C449="",1,C449)*IF(D449="",1,D449)*IF(E449="",1,E449)*IF(F449="",1,F449)),2)</f>
        <v>86</v>
      </c>
    </row>
    <row r="450" spans="1:7">
      <c r="A450" s="83">
        <v>3</v>
      </c>
      <c r="B450" s="83"/>
      <c r="C450" s="258">
        <v>7</v>
      </c>
      <c r="D450" s="258"/>
      <c r="E450" s="258">
        <v>1.35</v>
      </c>
      <c r="F450" s="258">
        <v>-4</v>
      </c>
      <c r="G450" s="84">
        <f>ROUND(IF(COUNTA(B450:F450)=0,0,IF(C450="",1,C450)*IF(D450="",1,D450)*IF(E450="",1,E450)*IF(F450="",1,F450)),2)</f>
        <v>-37.799999999999997</v>
      </c>
    </row>
    <row r="451" spans="1:7">
      <c r="A451" s="83">
        <v>4</v>
      </c>
      <c r="B451" s="83"/>
      <c r="C451" s="258"/>
      <c r="D451" s="258"/>
      <c r="E451" s="258"/>
      <c r="F451" s="258">
        <v>2.8</v>
      </c>
      <c r="G451" s="84">
        <f>ROUND(IF(COUNTA(B451:F451)=0,0,IF(C451="",1,C451)*IF(D451="",1,D451)*IF(E451="",1,E451)*IF(F451="",1,F451)),2)</f>
        <v>2.8</v>
      </c>
    </row>
    <row r="452" spans="1:7">
      <c r="A452" s="83">
        <v>5</v>
      </c>
      <c r="B452" s="83"/>
      <c r="C452" s="258"/>
      <c r="D452" s="258"/>
      <c r="E452" s="258"/>
      <c r="F452" s="258"/>
      <c r="G452" s="84">
        <f>ROUND(IF(COUNTA(B452:F452)=0,0,IF(C452="",1,C452)*IF(D452="",1,D452)*IF(E452="",1,E452)*IF(F452="",1,F452)),2)</f>
        <v>0</v>
      </c>
    </row>
    <row r="453" spans="1:7" ht="13.5" thickBot="1">
      <c r="A453" s="393" t="s">
        <v>266</v>
      </c>
      <c r="B453" s="393" t="s">
        <v>266</v>
      </c>
      <c r="C453" s="394" t="s">
        <v>266</v>
      </c>
      <c r="D453" s="394" t="s">
        <v>266</v>
      </c>
      <c r="E453" s="394" t="s">
        <v>266</v>
      </c>
      <c r="F453" s="394" t="s">
        <v>266</v>
      </c>
      <c r="G453" s="85">
        <f>ROUND(SUM(G448:G452),2)</f>
        <v>128</v>
      </c>
    </row>
    <row r="454" spans="1:7">
      <c r="A454" s="78"/>
      <c r="B454" s="78"/>
      <c r="C454" s="86"/>
      <c r="D454" s="86"/>
      <c r="E454" s="86"/>
      <c r="F454" s="86"/>
      <c r="G454" s="86"/>
    </row>
    <row r="455" spans="1:7" ht="31.15" customHeight="1">
      <c r="A455" s="80" t="s">
        <v>380</v>
      </c>
      <c r="B455" s="80" t="s">
        <v>177</v>
      </c>
      <c r="C455" s="392" t="s">
        <v>178</v>
      </c>
      <c r="D455" s="392"/>
      <c r="E455" s="392"/>
      <c r="F455" s="392"/>
      <c r="G455" s="81" t="s">
        <v>65</v>
      </c>
    </row>
    <row r="456" spans="1:7">
      <c r="A456" s="87" t="s">
        <v>258</v>
      </c>
      <c r="B456" s="87" t="s">
        <v>259</v>
      </c>
      <c r="C456" s="259" t="s">
        <v>260</v>
      </c>
      <c r="D456" s="259" t="s">
        <v>261</v>
      </c>
      <c r="E456" s="259" t="s">
        <v>262</v>
      </c>
      <c r="F456" s="259" t="s">
        <v>263</v>
      </c>
      <c r="G456" s="259" t="s">
        <v>264</v>
      </c>
    </row>
    <row r="457" spans="1:7">
      <c r="A457" s="88">
        <v>1</v>
      </c>
      <c r="B457" s="88"/>
      <c r="C457" s="260">
        <f>$G$12</f>
        <v>130.04</v>
      </c>
      <c r="D457" s="260"/>
      <c r="E457" s="260"/>
      <c r="F457" s="260">
        <v>1</v>
      </c>
      <c r="G457" s="89">
        <f>ROUND(IF(COUNTA(B457:F457)=0,0,IF(C457="",1,C457)*IF(D457="",1,D457)*IF(E457="",1,E457)*IF(F457="",1,F457)),2)</f>
        <v>130.04</v>
      </c>
    </row>
    <row r="458" spans="1:7">
      <c r="A458" s="88">
        <v>2</v>
      </c>
      <c r="B458" s="88"/>
      <c r="C458" s="260"/>
      <c r="D458" s="260"/>
      <c r="E458" s="260"/>
      <c r="F458" s="260"/>
      <c r="G458" s="89">
        <f>ROUND(IF(COUNTA(B458:F458)=0,0,IF(C458="",1,C458)*IF(D458="",1,D458)*IF(E458="",1,E458)*IF(F458="",1,F458)),2)</f>
        <v>0</v>
      </c>
    </row>
    <row r="459" spans="1:7">
      <c r="A459" s="88">
        <v>3</v>
      </c>
      <c r="B459" s="88"/>
      <c r="C459" s="260"/>
      <c r="D459" s="260"/>
      <c r="E459" s="260"/>
      <c r="F459" s="260"/>
      <c r="G459" s="89">
        <f>ROUND(IF(COUNTA(B459:F459)=0,0,IF(C459="",1,C459)*IF(D459="",1,D459)*IF(E459="",1,E459)*IF(F459="",1,F459)),2)</f>
        <v>0</v>
      </c>
    </row>
    <row r="460" spans="1:7">
      <c r="A460" s="88">
        <v>4</v>
      </c>
      <c r="B460" s="88"/>
      <c r="C460" s="260"/>
      <c r="D460" s="260"/>
      <c r="E460" s="260"/>
      <c r="F460" s="260"/>
      <c r="G460" s="89">
        <f>ROUND(IF(COUNTA(B460:F460)=0,0,IF(C460="",1,C460)*IF(D460="",1,D460)*IF(E460="",1,E460)*IF(F460="",1,F460)),2)</f>
        <v>0</v>
      </c>
    </row>
    <row r="461" spans="1:7">
      <c r="A461" s="88">
        <v>5</v>
      </c>
      <c r="B461" s="88"/>
      <c r="C461" s="260"/>
      <c r="D461" s="260"/>
      <c r="E461" s="260"/>
      <c r="F461" s="260"/>
      <c r="G461" s="89">
        <f>ROUND(IF(COUNTA(B461:F461)=0,0,IF(C461="",1,C461)*IF(D461="",1,D461)*IF(E461="",1,E461)*IF(F461="",1,F461)),2)</f>
        <v>0</v>
      </c>
    </row>
    <row r="462" spans="1:7">
      <c r="A462" s="396" t="s">
        <v>266</v>
      </c>
      <c r="B462" s="396" t="s">
        <v>266</v>
      </c>
      <c r="C462" s="397" t="s">
        <v>266</v>
      </c>
      <c r="D462" s="397" t="s">
        <v>266</v>
      </c>
      <c r="E462" s="397" t="s">
        <v>266</v>
      </c>
      <c r="F462" s="397" t="s">
        <v>266</v>
      </c>
      <c r="G462" s="261">
        <f>ROUND(SUM(G457:G461),2)</f>
        <v>130.04</v>
      </c>
    </row>
    <row r="463" spans="1:7">
      <c r="A463" s="78"/>
      <c r="B463" s="78"/>
      <c r="C463" s="86"/>
      <c r="D463" s="86"/>
      <c r="E463" s="86"/>
      <c r="F463" s="86"/>
      <c r="G463" s="86"/>
    </row>
    <row r="464" spans="1:7" ht="43.9" customHeight="1">
      <c r="A464" s="80" t="s">
        <v>381</v>
      </c>
      <c r="B464" s="80" t="s">
        <v>182</v>
      </c>
      <c r="C464" s="392" t="s">
        <v>183</v>
      </c>
      <c r="D464" s="392"/>
      <c r="E464" s="392"/>
      <c r="F464" s="392"/>
      <c r="G464" s="81" t="s">
        <v>65</v>
      </c>
    </row>
    <row r="465" spans="1:7">
      <c r="A465" s="79" t="s">
        <v>258</v>
      </c>
      <c r="B465" s="79" t="s">
        <v>259</v>
      </c>
      <c r="C465" s="82" t="s">
        <v>260</v>
      </c>
      <c r="D465" s="82" t="s">
        <v>261</v>
      </c>
      <c r="E465" s="82" t="s">
        <v>262</v>
      </c>
      <c r="F465" s="82" t="s">
        <v>263</v>
      </c>
      <c r="G465" s="82" t="s">
        <v>264</v>
      </c>
    </row>
    <row r="466" spans="1:7">
      <c r="A466" s="83">
        <v>1</v>
      </c>
      <c r="B466" s="83"/>
      <c r="C466" s="258">
        <v>7</v>
      </c>
      <c r="D466" s="258">
        <v>5</v>
      </c>
      <c r="E466" s="258"/>
      <c r="F466" s="258">
        <v>1</v>
      </c>
      <c r="G466" s="84">
        <f>ROUND(IF(COUNTA(B466:F466)=0,0,IF(C466="",1,C466)*IF(D466="",1,D466)*IF(E466="",1,E466)*IF(F466="",1,F466)),2)</f>
        <v>35</v>
      </c>
    </row>
    <row r="467" spans="1:7">
      <c r="A467" s="83">
        <v>2</v>
      </c>
      <c r="B467" s="83"/>
      <c r="C467" s="258"/>
      <c r="D467" s="258"/>
      <c r="E467" s="258"/>
      <c r="F467" s="258"/>
      <c r="G467" s="84">
        <f>ROUND(IF(COUNTA(B467:F467)=0,0,IF(C467="",1,C467)*IF(D467="",1,D467)*IF(E467="",1,E467)*IF(F467="",1,F467)),2)</f>
        <v>0</v>
      </c>
    </row>
    <row r="468" spans="1:7">
      <c r="A468" s="83">
        <v>3</v>
      </c>
      <c r="B468" s="83"/>
      <c r="C468" s="258"/>
      <c r="D468" s="258"/>
      <c r="E468" s="258"/>
      <c r="F468" s="258"/>
      <c r="G468" s="84">
        <f>ROUND(IF(COUNTA(B468:F468)=0,0,IF(C468="",1,C468)*IF(D468="",1,D468)*IF(E468="",1,E468)*IF(F468="",1,F468)),2)</f>
        <v>0</v>
      </c>
    </row>
    <row r="469" spans="1:7">
      <c r="A469" s="83">
        <v>4</v>
      </c>
      <c r="B469" s="83"/>
      <c r="C469" s="258"/>
      <c r="D469" s="258"/>
      <c r="E469" s="258"/>
      <c r="F469" s="258"/>
      <c r="G469" s="84">
        <f>ROUND(IF(COUNTA(B469:F469)=0,0,IF(C469="",1,C469)*IF(D469="",1,D469)*IF(E469="",1,E469)*IF(F469="",1,F469)),2)</f>
        <v>0</v>
      </c>
    </row>
    <row r="470" spans="1:7">
      <c r="A470" s="83">
        <v>5</v>
      </c>
      <c r="B470" s="83"/>
      <c r="C470" s="258"/>
      <c r="D470" s="258"/>
      <c r="E470" s="258"/>
      <c r="F470" s="258"/>
      <c r="G470" s="84">
        <f>ROUND(IF(COUNTA(B470:F470)=0,0,IF(C470="",1,C470)*IF(D470="",1,D470)*IF(E470="",1,E470)*IF(F470="",1,F470)),2)</f>
        <v>0</v>
      </c>
    </row>
    <row r="471" spans="1:7">
      <c r="A471" s="393" t="s">
        <v>266</v>
      </c>
      <c r="B471" s="393" t="s">
        <v>266</v>
      </c>
      <c r="C471" s="394" t="s">
        <v>266</v>
      </c>
      <c r="D471" s="394" t="s">
        <v>266</v>
      </c>
      <c r="E471" s="394" t="s">
        <v>266</v>
      </c>
      <c r="F471" s="394" t="s">
        <v>266</v>
      </c>
      <c r="G471" s="85">
        <f>ROUND(SUM(G466:G470),2)</f>
        <v>35</v>
      </c>
    </row>
    <row r="472" spans="1:7">
      <c r="A472" s="78"/>
      <c r="B472" s="78"/>
      <c r="C472" s="86"/>
      <c r="D472" s="86"/>
      <c r="E472" s="86"/>
      <c r="F472" s="86"/>
      <c r="G472" s="86"/>
    </row>
    <row r="473" spans="1:7" ht="45" customHeight="1">
      <c r="A473" s="80" t="s">
        <v>382</v>
      </c>
      <c r="B473" s="80" t="s">
        <v>184</v>
      </c>
      <c r="C473" s="392" t="s">
        <v>185</v>
      </c>
      <c r="D473" s="392"/>
      <c r="E473" s="392"/>
      <c r="F473" s="392"/>
      <c r="G473" s="81" t="s">
        <v>72</v>
      </c>
    </row>
    <row r="474" spans="1:7">
      <c r="A474" s="79" t="s">
        <v>258</v>
      </c>
      <c r="B474" s="79" t="s">
        <v>259</v>
      </c>
      <c r="C474" s="82" t="s">
        <v>260</v>
      </c>
      <c r="D474" s="82" t="s">
        <v>261</v>
      </c>
      <c r="E474" s="82" t="s">
        <v>262</v>
      </c>
      <c r="F474" s="82" t="s">
        <v>263</v>
      </c>
      <c r="G474" s="82" t="s">
        <v>264</v>
      </c>
    </row>
    <row r="475" spans="1:7">
      <c r="A475" s="83">
        <v>1</v>
      </c>
      <c r="B475" s="83" t="s">
        <v>383</v>
      </c>
      <c r="C475" s="258">
        <v>3.58</v>
      </c>
      <c r="D475" s="258">
        <v>5.01</v>
      </c>
      <c r="E475" s="258">
        <v>0.3</v>
      </c>
      <c r="F475" s="258">
        <v>1</v>
      </c>
      <c r="G475" s="84">
        <f>ROUND(IF(COUNTA(B475:F475)=0,0,IF(C475="",1,C475)*IF(D475="",1,D475)*IF(E475="",1,E475)*IF(F475="",1,F475)),2)</f>
        <v>5.38</v>
      </c>
    </row>
    <row r="476" spans="1:7">
      <c r="A476" s="83">
        <v>2</v>
      </c>
      <c r="B476" s="83"/>
      <c r="C476" s="258"/>
      <c r="D476" s="258"/>
      <c r="E476" s="258"/>
      <c r="F476" s="258"/>
      <c r="G476" s="84">
        <f>ROUND(IF(COUNTA(B476:F476)=0,0,IF(C476="",1,C476)*IF(D476="",1,D476)*IF(E476="",1,E476)*IF(F476="",1,F476)),2)</f>
        <v>0</v>
      </c>
    </row>
    <row r="477" spans="1:7">
      <c r="A477" s="83">
        <v>3</v>
      </c>
      <c r="B477" s="83"/>
      <c r="C477" s="258"/>
      <c r="D477" s="258"/>
      <c r="E477" s="258"/>
      <c r="F477" s="258"/>
      <c r="G477" s="84">
        <f>ROUND(IF(COUNTA(B477:F477)=0,0,IF(C477="",1,C477)*IF(D477="",1,D477)*IF(E477="",1,E477)*IF(F477="",1,F477)),2)</f>
        <v>0</v>
      </c>
    </row>
    <row r="478" spans="1:7">
      <c r="A478" s="83">
        <v>4</v>
      </c>
      <c r="B478" s="83"/>
      <c r="C478" s="258"/>
      <c r="D478" s="258"/>
      <c r="E478" s="258"/>
      <c r="F478" s="258"/>
      <c r="G478" s="84">
        <f>ROUND(IF(COUNTA(B478:F478)=0,0,IF(C478="",1,C478)*IF(D478="",1,D478)*IF(E478="",1,E478)*IF(F478="",1,F478)),2)</f>
        <v>0</v>
      </c>
    </row>
    <row r="479" spans="1:7">
      <c r="A479" s="83">
        <v>5</v>
      </c>
      <c r="B479" s="83"/>
      <c r="C479" s="258"/>
      <c r="D479" s="258"/>
      <c r="E479" s="258"/>
      <c r="F479" s="258"/>
      <c r="G479" s="84">
        <f>ROUND(IF(COUNTA(B479:F479)=0,0,IF(C479="",1,C479)*IF(D479="",1,D479)*IF(E479="",1,E479)*IF(F479="",1,F479)),2)</f>
        <v>0</v>
      </c>
    </row>
    <row r="480" spans="1:7">
      <c r="A480" s="393" t="s">
        <v>266</v>
      </c>
      <c r="B480" s="393" t="s">
        <v>266</v>
      </c>
      <c r="C480" s="394" t="s">
        <v>266</v>
      </c>
      <c r="D480" s="394" t="s">
        <v>266</v>
      </c>
      <c r="E480" s="394" t="s">
        <v>266</v>
      </c>
      <c r="F480" s="394" t="s">
        <v>266</v>
      </c>
      <c r="G480" s="85">
        <f>ROUND(SUM(G475:G479),2)</f>
        <v>5.38</v>
      </c>
    </row>
    <row r="481" spans="1:7">
      <c r="A481" s="78"/>
      <c r="B481" s="78"/>
      <c r="C481" s="86"/>
      <c r="D481" s="86"/>
      <c r="E481" s="86"/>
      <c r="F481" s="86"/>
      <c r="G481" s="86"/>
    </row>
    <row r="482" spans="1:7" ht="46.15" customHeight="1">
      <c r="A482" s="80" t="s">
        <v>384</v>
      </c>
      <c r="B482" s="80" t="s">
        <v>186</v>
      </c>
      <c r="C482" s="392" t="s">
        <v>187</v>
      </c>
      <c r="D482" s="392"/>
      <c r="E482" s="392"/>
      <c r="F482" s="392"/>
      <c r="G482" s="81" t="s">
        <v>72</v>
      </c>
    </row>
    <row r="483" spans="1:7">
      <c r="A483" s="79" t="s">
        <v>258</v>
      </c>
      <c r="B483" s="79" t="s">
        <v>259</v>
      </c>
      <c r="C483" s="82" t="s">
        <v>260</v>
      </c>
      <c r="D483" s="82" t="s">
        <v>261</v>
      </c>
      <c r="E483" s="82" t="s">
        <v>262</v>
      </c>
      <c r="F483" s="82" t="s">
        <v>263</v>
      </c>
      <c r="G483" s="82" t="s">
        <v>264</v>
      </c>
    </row>
    <row r="484" spans="1:7">
      <c r="A484" s="83">
        <v>1</v>
      </c>
      <c r="B484" s="83" t="s">
        <v>385</v>
      </c>
      <c r="C484" s="258">
        <v>3.58</v>
      </c>
      <c r="D484" s="258">
        <v>0.3</v>
      </c>
      <c r="E484" s="258">
        <v>0.4</v>
      </c>
      <c r="F484" s="258">
        <v>3</v>
      </c>
      <c r="G484" s="84">
        <f>ROUND(IF(COUNTA(B484:F484)=0,0,IF(C484="",1,C484)*IF(D484="",1,D484)*IF(E484="",1,E484)*IF(F484="",1,F484)),2)</f>
        <v>1.29</v>
      </c>
    </row>
    <row r="485" spans="1:7">
      <c r="A485" s="83">
        <v>2</v>
      </c>
      <c r="B485" s="83" t="s">
        <v>386</v>
      </c>
      <c r="C485" s="258">
        <v>1.2</v>
      </c>
      <c r="D485" s="258">
        <v>0.3</v>
      </c>
      <c r="E485" s="258">
        <v>0.4</v>
      </c>
      <c r="F485" s="258">
        <v>4</v>
      </c>
      <c r="G485" s="84">
        <f>ROUND(IF(COUNTA(B485:F485)=0,0,IF(C485="",1,C485)*IF(D485="",1,D485)*IF(E485="",1,E485)*IF(F485="",1,F485)),2)</f>
        <v>0.57999999999999996</v>
      </c>
    </row>
    <row r="486" spans="1:7">
      <c r="A486" s="83">
        <v>3</v>
      </c>
      <c r="B486" s="83" t="s">
        <v>387</v>
      </c>
      <c r="C486" s="258">
        <v>1.84</v>
      </c>
      <c r="D486" s="258">
        <v>0.3</v>
      </c>
      <c r="E486" s="258">
        <v>0.4</v>
      </c>
      <c r="F486" s="258">
        <v>3</v>
      </c>
      <c r="G486" s="84">
        <f>ROUND(IF(COUNTA(B486:F486)=0,0,IF(C486="",1,C486)*IF(D486="",1,D486)*IF(E486="",1,E486)*IF(F486="",1,F486)),2)</f>
        <v>0.66</v>
      </c>
    </row>
    <row r="487" spans="1:7">
      <c r="A487" s="83">
        <v>4</v>
      </c>
      <c r="B487" s="83" t="s">
        <v>388</v>
      </c>
      <c r="C487" s="258">
        <v>5.01</v>
      </c>
      <c r="D487" s="258">
        <v>0.3</v>
      </c>
      <c r="E487" s="258">
        <v>0.4</v>
      </c>
      <c r="F487" s="258">
        <v>2</v>
      </c>
      <c r="G487" s="84">
        <f>ROUND(IF(COUNTA(B487:F487)=0,0,IF(C487="",1,C487)*IF(D487="",1,D487)*IF(E487="",1,E487)*IF(F487="",1,F487)),2)</f>
        <v>1.2</v>
      </c>
    </row>
    <row r="488" spans="1:7">
      <c r="A488" s="83">
        <v>5</v>
      </c>
      <c r="B488" s="83"/>
      <c r="C488" s="258"/>
      <c r="D488" s="258"/>
      <c r="E488" s="258"/>
      <c r="F488" s="258"/>
      <c r="G488" s="84">
        <f>ROUND(IF(COUNTA(B488:F488)=0,0,IF(C488="",1,C488)*IF(D488="",1,D488)*IF(E488="",1,E488)*IF(F488="",1,F488)),2)</f>
        <v>0</v>
      </c>
    </row>
    <row r="489" spans="1:7">
      <c r="A489" s="393" t="s">
        <v>266</v>
      </c>
      <c r="B489" s="393" t="s">
        <v>266</v>
      </c>
      <c r="C489" s="394" t="s">
        <v>266</v>
      </c>
      <c r="D489" s="394" t="s">
        <v>266</v>
      </c>
      <c r="E489" s="394" t="s">
        <v>266</v>
      </c>
      <c r="F489" s="394" t="s">
        <v>266</v>
      </c>
      <c r="G489" s="85">
        <f>ROUND(SUM(G484:G488),2)</f>
        <v>3.73</v>
      </c>
    </row>
    <row r="490" spans="1:7">
      <c r="A490" s="78"/>
      <c r="B490" s="78"/>
      <c r="C490" s="86"/>
      <c r="D490" s="86"/>
      <c r="E490" s="86"/>
      <c r="F490" s="86"/>
      <c r="G490" s="86"/>
    </row>
    <row r="491" spans="1:7" ht="47.45" customHeight="1">
      <c r="A491" s="80" t="s">
        <v>389</v>
      </c>
      <c r="B491" s="80" t="s">
        <v>113</v>
      </c>
      <c r="C491" s="392" t="s">
        <v>189</v>
      </c>
      <c r="D491" s="392"/>
      <c r="E491" s="392"/>
      <c r="F491" s="392"/>
      <c r="G491" s="81" t="s">
        <v>72</v>
      </c>
    </row>
    <row r="492" spans="1:7">
      <c r="A492" s="79" t="s">
        <v>258</v>
      </c>
      <c r="B492" s="79" t="s">
        <v>259</v>
      </c>
      <c r="C492" s="82" t="s">
        <v>260</v>
      </c>
      <c r="D492" s="82" t="s">
        <v>261</v>
      </c>
      <c r="E492" s="82" t="s">
        <v>262</v>
      </c>
      <c r="F492" s="82" t="s">
        <v>263</v>
      </c>
      <c r="G492" s="82" t="s">
        <v>264</v>
      </c>
    </row>
    <row r="493" spans="1:7">
      <c r="A493" s="83">
        <v>1</v>
      </c>
      <c r="B493" s="83" t="s">
        <v>390</v>
      </c>
      <c r="C493" s="258">
        <v>3.58</v>
      </c>
      <c r="D493" s="258">
        <v>0.3</v>
      </c>
      <c r="E493" s="258">
        <v>0.3</v>
      </c>
      <c r="F493" s="258">
        <v>3</v>
      </c>
      <c r="G493" s="84">
        <f>ROUND(IF(COUNTA(B493:F493)=0,0,IF(C493="",1,C493)*IF(D493="",1,D493)*IF(E493="",1,E493)*IF(F493="",1,F493)),2)</f>
        <v>0.97</v>
      </c>
    </row>
    <row r="494" spans="1:7">
      <c r="A494" s="83">
        <v>2</v>
      </c>
      <c r="B494" s="83" t="s">
        <v>391</v>
      </c>
      <c r="C494" s="258">
        <v>1.2</v>
      </c>
      <c r="D494" s="258">
        <v>0.3</v>
      </c>
      <c r="E494" s="258">
        <v>0.3</v>
      </c>
      <c r="F494" s="258">
        <v>4</v>
      </c>
      <c r="G494" s="84">
        <f>ROUND(IF(COUNTA(B494:F494)=0,0,IF(C494="",1,C494)*IF(D494="",1,D494)*IF(E494="",1,E494)*IF(F494="",1,F494)),2)</f>
        <v>0.43</v>
      </c>
    </row>
    <row r="495" spans="1:7">
      <c r="A495" s="83">
        <v>3</v>
      </c>
      <c r="B495" s="83" t="s">
        <v>392</v>
      </c>
      <c r="C495" s="258">
        <v>1.84</v>
      </c>
      <c r="D495" s="258">
        <v>0.3</v>
      </c>
      <c r="E495" s="258">
        <v>0.3</v>
      </c>
      <c r="F495" s="258">
        <v>3</v>
      </c>
      <c r="G495" s="84">
        <f>ROUND(IF(COUNTA(B495:F495)=0,0,IF(C495="",1,C495)*IF(D495="",1,D495)*IF(E495="",1,E495)*IF(F495="",1,F495)),2)</f>
        <v>0.5</v>
      </c>
    </row>
    <row r="496" spans="1:7">
      <c r="A496" s="83">
        <v>4</v>
      </c>
      <c r="B496" s="83" t="s">
        <v>393</v>
      </c>
      <c r="C496" s="258">
        <v>5.01</v>
      </c>
      <c r="D496" s="258">
        <v>0.3</v>
      </c>
      <c r="E496" s="258">
        <v>0.3</v>
      </c>
      <c r="F496" s="258">
        <v>2</v>
      </c>
      <c r="G496" s="84">
        <f>ROUND(IF(COUNTA(B496:F496)=0,0,IF(C496="",1,C496)*IF(D496="",1,D496)*IF(E496="",1,E496)*IF(F496="",1,F496)),2)</f>
        <v>0.9</v>
      </c>
    </row>
    <row r="497" spans="1:7">
      <c r="A497" s="83">
        <v>5</v>
      </c>
      <c r="B497" s="83"/>
      <c r="C497" s="258"/>
      <c r="D497" s="258"/>
      <c r="E497" s="258"/>
      <c r="F497" s="258"/>
      <c r="G497" s="84">
        <f>ROUND(IF(COUNTA(B497:F497)=0,0,IF(C497="",1,C497)*IF(D497="",1,D497)*IF(E497="",1,E497)*IF(F497="",1,F497)),2)</f>
        <v>0</v>
      </c>
    </row>
    <row r="498" spans="1:7">
      <c r="A498" s="393" t="s">
        <v>266</v>
      </c>
      <c r="B498" s="393" t="s">
        <v>266</v>
      </c>
      <c r="C498" s="394" t="s">
        <v>266</v>
      </c>
      <c r="D498" s="394" t="s">
        <v>266</v>
      </c>
      <c r="E498" s="394" t="s">
        <v>266</v>
      </c>
      <c r="F498" s="394" t="s">
        <v>266</v>
      </c>
      <c r="G498" s="85">
        <f>ROUND(SUM(G493:G497),2)</f>
        <v>2.8</v>
      </c>
    </row>
    <row r="499" spans="1:7">
      <c r="A499" s="78"/>
      <c r="B499" s="78"/>
      <c r="C499" s="86"/>
      <c r="D499" s="86"/>
      <c r="E499" s="86"/>
      <c r="F499" s="86"/>
      <c r="G499" s="86"/>
    </row>
    <row r="500" spans="1:7" ht="47.45" customHeight="1">
      <c r="A500" s="80" t="s">
        <v>394</v>
      </c>
      <c r="B500" s="80" t="s">
        <v>115</v>
      </c>
      <c r="C500" s="392" t="s">
        <v>190</v>
      </c>
      <c r="D500" s="392"/>
      <c r="E500" s="392"/>
      <c r="F500" s="392"/>
      <c r="G500" s="81" t="s">
        <v>68</v>
      </c>
    </row>
    <row r="501" spans="1:7">
      <c r="A501" s="79" t="s">
        <v>258</v>
      </c>
      <c r="B501" s="79" t="s">
        <v>259</v>
      </c>
      <c r="C501" s="82" t="s">
        <v>260</v>
      </c>
      <c r="D501" s="82" t="s">
        <v>261</v>
      </c>
      <c r="E501" s="82" t="s">
        <v>262</v>
      </c>
      <c r="F501" s="82" t="s">
        <v>263</v>
      </c>
      <c r="G501" s="82" t="s">
        <v>264</v>
      </c>
    </row>
    <row r="502" spans="1:7">
      <c r="A502" s="83">
        <v>1</v>
      </c>
      <c r="B502" s="83" t="s">
        <v>395</v>
      </c>
      <c r="C502" s="258">
        <v>2.94</v>
      </c>
      <c r="D502" s="258"/>
      <c r="E502" s="258"/>
      <c r="F502" s="258">
        <v>3</v>
      </c>
      <c r="G502" s="84">
        <f>ROUND(IF(COUNTA(B502:F502)=0,0,IF(C502="",1,C502)*IF(D502="",1,D502)*IF(E502="",1,E502)*IF(F502="",1,F502)),2)</f>
        <v>8.82</v>
      </c>
    </row>
    <row r="503" spans="1:7">
      <c r="A503" s="83">
        <v>2</v>
      </c>
      <c r="B503" s="83" t="s">
        <v>396</v>
      </c>
      <c r="C503" s="258">
        <v>3.28</v>
      </c>
      <c r="D503" s="258"/>
      <c r="E503" s="258"/>
      <c r="F503" s="258">
        <v>3</v>
      </c>
      <c r="G503" s="84">
        <f>ROUND(IF(COUNTA(B503:F503)=0,0,IF(C503="",1,C503)*IF(D503="",1,D503)*IF(E503="",1,E503)*IF(F503="",1,F503)),2)</f>
        <v>9.84</v>
      </c>
    </row>
    <row r="504" spans="1:7">
      <c r="A504" s="83">
        <v>3</v>
      </c>
      <c r="B504" s="83"/>
      <c r="C504" s="258"/>
      <c r="D504" s="258"/>
      <c r="E504" s="258"/>
      <c r="F504" s="258"/>
      <c r="G504" s="84">
        <f>ROUND(IF(COUNTA(B504:F504)=0,0,IF(C504="",1,C504)*IF(D504="",1,D504)*IF(E504="",1,E504)*IF(F504="",1,F504)),2)</f>
        <v>0</v>
      </c>
    </row>
    <row r="505" spans="1:7">
      <c r="A505" s="83">
        <v>4</v>
      </c>
      <c r="B505" s="83"/>
      <c r="C505" s="258"/>
      <c r="D505" s="258"/>
      <c r="E505" s="258"/>
      <c r="F505" s="258"/>
      <c r="G505" s="84">
        <f>ROUND(IF(COUNTA(B505:F505)=0,0,IF(C505="",1,C505)*IF(D505="",1,D505)*IF(E505="",1,E505)*IF(F505="",1,F505)),2)</f>
        <v>0</v>
      </c>
    </row>
    <row r="506" spans="1:7">
      <c r="A506" s="83">
        <v>5</v>
      </c>
      <c r="B506" s="83"/>
      <c r="C506" s="258"/>
      <c r="D506" s="258"/>
      <c r="E506" s="258"/>
      <c r="F506" s="258"/>
      <c r="G506" s="84">
        <f>ROUND(IF(COUNTA(B506:F506)=0,0,IF(C506="",1,C506)*IF(D506="",1,D506)*IF(E506="",1,E506)*IF(F506="",1,F506)),2)</f>
        <v>0</v>
      </c>
    </row>
    <row r="507" spans="1:7">
      <c r="A507" s="393" t="s">
        <v>266</v>
      </c>
      <c r="B507" s="393" t="s">
        <v>266</v>
      </c>
      <c r="C507" s="394" t="s">
        <v>266</v>
      </c>
      <c r="D507" s="394" t="s">
        <v>266</v>
      </c>
      <c r="E507" s="394" t="s">
        <v>266</v>
      </c>
      <c r="F507" s="394" t="s">
        <v>266</v>
      </c>
      <c r="G507" s="85">
        <f>ROUND(SUM(G502:G506),2)</f>
        <v>18.66</v>
      </c>
    </row>
    <row r="508" spans="1:7">
      <c r="A508" s="78"/>
      <c r="B508" s="78"/>
      <c r="C508" s="86"/>
      <c r="D508" s="86"/>
      <c r="E508" s="86"/>
      <c r="F508" s="86"/>
      <c r="G508" s="86"/>
    </row>
    <row r="509" spans="1:7" ht="43.9" customHeight="1">
      <c r="A509" s="80" t="s">
        <v>397</v>
      </c>
      <c r="B509" s="80" t="s">
        <v>191</v>
      </c>
      <c r="C509" s="392" t="s">
        <v>192</v>
      </c>
      <c r="D509" s="392"/>
      <c r="E509" s="392"/>
      <c r="F509" s="392"/>
      <c r="G509" s="81" t="s">
        <v>68</v>
      </c>
    </row>
    <row r="510" spans="1:7">
      <c r="A510" s="79" t="s">
        <v>258</v>
      </c>
      <c r="B510" s="79" t="s">
        <v>259</v>
      </c>
      <c r="C510" s="82" t="s">
        <v>260</v>
      </c>
      <c r="D510" s="82" t="s">
        <v>261</v>
      </c>
      <c r="E510" s="82" t="s">
        <v>262</v>
      </c>
      <c r="F510" s="82" t="s">
        <v>263</v>
      </c>
      <c r="G510" s="82" t="s">
        <v>264</v>
      </c>
    </row>
    <row r="511" spans="1:7">
      <c r="A511" s="83">
        <v>1</v>
      </c>
      <c r="B511" s="83" t="s">
        <v>398</v>
      </c>
      <c r="C511" s="258">
        <v>3.58</v>
      </c>
      <c r="D511" s="258"/>
      <c r="E511" s="258"/>
      <c r="F511" s="258">
        <v>3</v>
      </c>
      <c r="G511" s="84">
        <f>ROUND(IF(COUNTA(B511:F511)=0,0,IF(C511="",1,C511)*IF(D511="",1,D511)*IF(E511="",1,E511)*IF(F511="",1,F511)),2)</f>
        <v>10.74</v>
      </c>
    </row>
    <row r="512" spans="1:7">
      <c r="A512" s="83">
        <v>2</v>
      </c>
      <c r="B512" s="83" t="s">
        <v>399</v>
      </c>
      <c r="C512" s="258">
        <v>1.2</v>
      </c>
      <c r="D512" s="258"/>
      <c r="E512" s="258"/>
      <c r="F512" s="258">
        <v>4</v>
      </c>
      <c r="G512" s="84">
        <f>ROUND(IF(COUNTA(B512:F512)=0,0,IF(C512="",1,C512)*IF(D512="",1,D512)*IF(E512="",1,E512)*IF(F512="",1,F512)),2)</f>
        <v>4.8</v>
      </c>
    </row>
    <row r="513" spans="1:7">
      <c r="A513" s="83">
        <v>3</v>
      </c>
      <c r="B513" s="83" t="s">
        <v>400</v>
      </c>
      <c r="C513" s="258">
        <v>1.84</v>
      </c>
      <c r="D513" s="258"/>
      <c r="E513" s="258"/>
      <c r="F513" s="258">
        <v>3</v>
      </c>
      <c r="G513" s="84">
        <f>ROUND(IF(COUNTA(B513:F513)=0,0,IF(C513="",1,C513)*IF(D513="",1,D513)*IF(E513="",1,E513)*IF(F513="",1,F513)),2)</f>
        <v>5.52</v>
      </c>
    </row>
    <row r="514" spans="1:7">
      <c r="A514" s="83">
        <v>4</v>
      </c>
      <c r="B514" s="83" t="s">
        <v>401</v>
      </c>
      <c r="C514" s="258">
        <v>5.01</v>
      </c>
      <c r="D514" s="258"/>
      <c r="E514" s="258"/>
      <c r="F514" s="258">
        <v>2</v>
      </c>
      <c r="G514" s="84">
        <f>ROUND(IF(COUNTA(B514:F514)=0,0,IF(C514="",1,C514)*IF(D514="",1,D514)*IF(E514="",1,E514)*IF(F514="",1,F514)),2)</f>
        <v>10.02</v>
      </c>
    </row>
    <row r="515" spans="1:7">
      <c r="A515" s="83">
        <v>5</v>
      </c>
      <c r="B515" s="83"/>
      <c r="C515" s="258"/>
      <c r="D515" s="258"/>
      <c r="E515" s="258"/>
      <c r="F515" s="258"/>
      <c r="G515" s="84">
        <f>ROUND(IF(COUNTA(B515:F515)=0,0,IF(C515="",1,C515)*IF(D515="",1,D515)*IF(E515="",1,E515)*IF(F515="",1,F515)),2)</f>
        <v>0</v>
      </c>
    </row>
    <row r="516" spans="1:7">
      <c r="A516" s="393" t="s">
        <v>266</v>
      </c>
      <c r="B516" s="393" t="s">
        <v>266</v>
      </c>
      <c r="C516" s="394" t="s">
        <v>266</v>
      </c>
      <c r="D516" s="394" t="s">
        <v>266</v>
      </c>
      <c r="E516" s="394" t="s">
        <v>266</v>
      </c>
      <c r="F516" s="394" t="s">
        <v>266</v>
      </c>
      <c r="G516" s="85">
        <f>ROUND(SUM(G511:G515),2)</f>
        <v>31.08</v>
      </c>
    </row>
    <row r="517" spans="1:7">
      <c r="A517" s="78"/>
      <c r="B517" s="78"/>
      <c r="C517" s="86"/>
      <c r="D517" s="86"/>
      <c r="E517" s="86"/>
      <c r="F517" s="86"/>
      <c r="G517" s="86"/>
    </row>
    <row r="518" spans="1:7" ht="45" customHeight="1">
      <c r="A518" s="80" t="s">
        <v>402</v>
      </c>
      <c r="B518" s="80" t="s">
        <v>193</v>
      </c>
      <c r="C518" s="392" t="s">
        <v>194</v>
      </c>
      <c r="D518" s="392"/>
      <c r="E518" s="392"/>
      <c r="F518" s="392"/>
      <c r="G518" s="81" t="s">
        <v>68</v>
      </c>
    </row>
    <row r="519" spans="1:7">
      <c r="A519" s="79" t="s">
        <v>258</v>
      </c>
      <c r="B519" s="79" t="s">
        <v>259</v>
      </c>
      <c r="C519" s="82" t="s">
        <v>260</v>
      </c>
      <c r="D519" s="82" t="s">
        <v>261</v>
      </c>
      <c r="E519" s="82" t="s">
        <v>262</v>
      </c>
      <c r="F519" s="82" t="s">
        <v>263</v>
      </c>
      <c r="G519" s="82" t="s">
        <v>264</v>
      </c>
    </row>
    <row r="520" spans="1:7">
      <c r="A520" s="83">
        <v>1</v>
      </c>
      <c r="B520" s="83" t="s">
        <v>403</v>
      </c>
      <c r="C520" s="258">
        <v>5.0999999999999996</v>
      </c>
      <c r="D520" s="258"/>
      <c r="E520" s="258"/>
      <c r="F520" s="258">
        <v>1</v>
      </c>
      <c r="G520" s="84">
        <f>ROUND(IF(COUNTA(B520:F520)=0,0,IF(C520="",1,C520)*IF(D520="",1,D520)*IF(E520="",1,E520)*IF(F520="",1,F520)),2)</f>
        <v>5.0999999999999996</v>
      </c>
    </row>
    <row r="521" spans="1:7">
      <c r="A521" s="83">
        <v>2</v>
      </c>
      <c r="B521" s="83" t="s">
        <v>404</v>
      </c>
      <c r="C521" s="258">
        <v>5.0999999999999996</v>
      </c>
      <c r="D521" s="258"/>
      <c r="E521" s="258"/>
      <c r="F521" s="258">
        <v>1</v>
      </c>
      <c r="G521" s="84">
        <f>ROUND(IF(COUNTA(B521:F521)=0,0,IF(C521="",1,C521)*IF(D521="",1,D521)*IF(E521="",1,E521)*IF(F521="",1,F521)),2)</f>
        <v>5.0999999999999996</v>
      </c>
    </row>
    <row r="522" spans="1:7">
      <c r="A522" s="83">
        <v>3</v>
      </c>
      <c r="B522" s="83" t="s">
        <v>405</v>
      </c>
      <c r="C522" s="258">
        <v>3.58</v>
      </c>
      <c r="D522" s="258"/>
      <c r="E522" s="258"/>
      <c r="F522" s="258">
        <v>1</v>
      </c>
      <c r="G522" s="84">
        <f>ROUND(IF(COUNTA(B522:F522)=0,0,IF(C522="",1,C522)*IF(D522="",1,D522)*IF(E522="",1,E522)*IF(F522="",1,F522)),2)</f>
        <v>3.58</v>
      </c>
    </row>
    <row r="523" spans="1:7">
      <c r="A523" s="83">
        <v>4</v>
      </c>
      <c r="B523" s="83" t="s">
        <v>406</v>
      </c>
      <c r="C523" s="258">
        <v>3.58</v>
      </c>
      <c r="D523" s="258"/>
      <c r="E523" s="258"/>
      <c r="F523" s="258">
        <v>1</v>
      </c>
      <c r="G523" s="84">
        <f>ROUND(IF(COUNTA(B523:F523)=0,0,IF(C523="",1,C523)*IF(D523="",1,D523)*IF(E523="",1,E523)*IF(F523="",1,F523)),2)</f>
        <v>3.58</v>
      </c>
    </row>
    <row r="524" spans="1:7">
      <c r="A524" s="83">
        <v>5</v>
      </c>
      <c r="B524" s="83" t="s">
        <v>407</v>
      </c>
      <c r="C524" s="258">
        <v>5.0999999999999996</v>
      </c>
      <c r="D524" s="258"/>
      <c r="E524" s="258"/>
      <c r="F524" s="258">
        <v>1</v>
      </c>
      <c r="G524" s="84">
        <f>ROUND(IF(COUNTA(B524:F524)=0,0,IF(C524="",1,C524)*IF(D524="",1,D524)*IF(E524="",1,E524)*IF(F524="",1,F524)),2)</f>
        <v>5.0999999999999996</v>
      </c>
    </row>
    <row r="525" spans="1:7">
      <c r="A525" s="393" t="s">
        <v>266</v>
      </c>
      <c r="B525" s="393" t="s">
        <v>266</v>
      </c>
      <c r="C525" s="394" t="s">
        <v>266</v>
      </c>
      <c r="D525" s="394" t="s">
        <v>266</v>
      </c>
      <c r="E525" s="394" t="s">
        <v>266</v>
      </c>
      <c r="F525" s="394" t="s">
        <v>266</v>
      </c>
      <c r="G525" s="85">
        <f>ROUND(SUM(G520:G524),2)</f>
        <v>22.46</v>
      </c>
    </row>
    <row r="526" spans="1:7">
      <c r="A526" s="78"/>
      <c r="B526" s="78"/>
      <c r="C526" s="86"/>
      <c r="D526" s="86"/>
      <c r="E526" s="86"/>
      <c r="F526" s="86"/>
      <c r="G526" s="86"/>
    </row>
    <row r="527" spans="1:7" ht="46.9" customHeight="1">
      <c r="A527" s="80" t="s">
        <v>408</v>
      </c>
      <c r="B527" s="80" t="s">
        <v>195</v>
      </c>
      <c r="C527" s="392" t="s">
        <v>196</v>
      </c>
      <c r="D527" s="392"/>
      <c r="E527" s="392"/>
      <c r="F527" s="392"/>
      <c r="G527" s="81" t="s">
        <v>68</v>
      </c>
    </row>
    <row r="528" spans="1:7">
      <c r="A528" s="79" t="s">
        <v>258</v>
      </c>
      <c r="B528" s="79" t="s">
        <v>259</v>
      </c>
      <c r="C528" s="82" t="s">
        <v>260</v>
      </c>
      <c r="D528" s="82" t="s">
        <v>261</v>
      </c>
      <c r="E528" s="82" t="s">
        <v>262</v>
      </c>
      <c r="F528" s="82" t="s">
        <v>263</v>
      </c>
      <c r="G528" s="82" t="s">
        <v>264</v>
      </c>
    </row>
    <row r="529" spans="1:7">
      <c r="A529" s="83">
        <v>1</v>
      </c>
      <c r="B529" s="83" t="s">
        <v>403</v>
      </c>
      <c r="C529" s="258">
        <v>1.3</v>
      </c>
      <c r="D529" s="258"/>
      <c r="E529" s="258"/>
      <c r="F529" s="258">
        <v>1</v>
      </c>
      <c r="G529" s="84">
        <f>ROUND(IF(COUNTA(B529:F529)=0,0,IF(C529="",1,C529)*IF(D529="",1,D529)*IF(E529="",1,E529)*IF(F529="",1,F529)),2)</f>
        <v>1.3</v>
      </c>
    </row>
    <row r="530" spans="1:7">
      <c r="A530" s="83">
        <v>2</v>
      </c>
      <c r="B530" s="83" t="s">
        <v>404</v>
      </c>
      <c r="C530" s="258">
        <v>1.3</v>
      </c>
      <c r="D530" s="258"/>
      <c r="E530" s="258"/>
      <c r="F530" s="258">
        <v>1</v>
      </c>
      <c r="G530" s="84">
        <f>ROUND(IF(COUNTA(B530:F530)=0,0,IF(C530="",1,C530)*IF(D530="",1,D530)*IF(E530="",1,E530)*IF(F530="",1,F530)),2)</f>
        <v>1.3</v>
      </c>
    </row>
    <row r="531" spans="1:7">
      <c r="A531" s="83">
        <v>3</v>
      </c>
      <c r="B531" s="83"/>
      <c r="C531" s="258"/>
      <c r="D531" s="258"/>
      <c r="E531" s="258"/>
      <c r="F531" s="258"/>
      <c r="G531" s="84">
        <f>ROUND(IF(COUNTA(B531:F531)=0,0,IF(C531="",1,C531)*IF(D531="",1,D531)*IF(E531="",1,E531)*IF(F531="",1,F531)),2)</f>
        <v>0</v>
      </c>
    </row>
    <row r="532" spans="1:7">
      <c r="A532" s="83">
        <v>4</v>
      </c>
      <c r="B532" s="83"/>
      <c r="C532" s="258"/>
      <c r="D532" s="258"/>
      <c r="E532" s="258"/>
      <c r="F532" s="258"/>
      <c r="G532" s="84">
        <f>ROUND(IF(COUNTA(B532:F532)=0,0,IF(C532="",1,C532)*IF(D532="",1,D532)*IF(E532="",1,E532)*IF(F532="",1,F532)),2)</f>
        <v>0</v>
      </c>
    </row>
    <row r="533" spans="1:7">
      <c r="A533" s="83">
        <v>5</v>
      </c>
      <c r="B533" s="83"/>
      <c r="C533" s="258"/>
      <c r="D533" s="258"/>
      <c r="E533" s="258"/>
      <c r="F533" s="258"/>
      <c r="G533" s="84">
        <f>ROUND(IF(COUNTA(B533:F533)=0,0,IF(C533="",1,C533)*IF(D533="",1,D533)*IF(E533="",1,E533)*IF(F533="",1,F533)),2)</f>
        <v>0</v>
      </c>
    </row>
    <row r="534" spans="1:7">
      <c r="A534" s="393" t="s">
        <v>266</v>
      </c>
      <c r="B534" s="393" t="s">
        <v>266</v>
      </c>
      <c r="C534" s="394" t="s">
        <v>266</v>
      </c>
      <c r="D534" s="394" t="s">
        <v>266</v>
      </c>
      <c r="E534" s="394" t="s">
        <v>266</v>
      </c>
      <c r="F534" s="394" t="s">
        <v>266</v>
      </c>
      <c r="G534" s="85">
        <f>ROUND(SUM(G529:G533),2)</f>
        <v>2.6</v>
      </c>
    </row>
    <row r="535" spans="1:7">
      <c r="A535" s="78"/>
      <c r="B535" s="78"/>
      <c r="C535" s="86"/>
      <c r="D535" s="86"/>
      <c r="E535" s="86"/>
      <c r="F535" s="86"/>
      <c r="G535" s="86"/>
    </row>
    <row r="536" spans="1:7" ht="46.9" customHeight="1">
      <c r="A536" s="80" t="s">
        <v>409</v>
      </c>
      <c r="B536" s="80" t="s">
        <v>197</v>
      </c>
      <c r="C536" s="392" t="s">
        <v>198</v>
      </c>
      <c r="D536" s="392"/>
      <c r="E536" s="392"/>
      <c r="F536" s="392"/>
      <c r="G536" s="81" t="s">
        <v>65</v>
      </c>
    </row>
    <row r="537" spans="1:7">
      <c r="A537" s="79" t="s">
        <v>258</v>
      </c>
      <c r="B537" s="79" t="s">
        <v>259</v>
      </c>
      <c r="C537" s="82" t="s">
        <v>260</v>
      </c>
      <c r="D537" s="82" t="s">
        <v>261</v>
      </c>
      <c r="E537" s="82" t="s">
        <v>262</v>
      </c>
      <c r="F537" s="82" t="s">
        <v>263</v>
      </c>
      <c r="G537" s="82" t="s">
        <v>264</v>
      </c>
    </row>
    <row r="538" spans="1:7">
      <c r="A538" s="83">
        <v>1</v>
      </c>
      <c r="B538" s="83" t="s">
        <v>410</v>
      </c>
      <c r="C538" s="258">
        <v>3.58</v>
      </c>
      <c r="D538" s="258">
        <v>5.01</v>
      </c>
      <c r="E538" s="258"/>
      <c r="F538" s="258">
        <v>1</v>
      </c>
      <c r="G538" s="84">
        <f>ROUND(IF(COUNTA(B538:F538)=0,0,IF(C538="",1,C538)*IF(D538="",1,D538)*IF(E538="",1,E538)*IF(F538="",1,F538)),2)</f>
        <v>17.940000000000001</v>
      </c>
    </row>
    <row r="539" spans="1:7">
      <c r="A539" s="83">
        <v>2</v>
      </c>
      <c r="B539" s="83"/>
      <c r="C539" s="258"/>
      <c r="D539" s="258"/>
      <c r="E539" s="258"/>
      <c r="F539" s="258"/>
      <c r="G539" s="84">
        <f>ROUND(IF(COUNTA(B539:F539)=0,0,IF(C539="",1,C539)*IF(D539="",1,D539)*IF(E539="",1,E539)*IF(F539="",1,F539)),2)</f>
        <v>0</v>
      </c>
    </row>
    <row r="540" spans="1:7">
      <c r="A540" s="83">
        <v>3</v>
      </c>
      <c r="B540" s="83"/>
      <c r="C540" s="258"/>
      <c r="D540" s="258"/>
      <c r="E540" s="258"/>
      <c r="F540" s="258"/>
      <c r="G540" s="84">
        <f>ROUND(IF(COUNTA(B540:F540)=0,0,IF(C540="",1,C540)*IF(D540="",1,D540)*IF(E540="",1,E540)*IF(F540="",1,F540)),2)</f>
        <v>0</v>
      </c>
    </row>
    <row r="541" spans="1:7">
      <c r="A541" s="83">
        <v>4</v>
      </c>
      <c r="B541" s="83"/>
      <c r="C541" s="258"/>
      <c r="D541" s="258"/>
      <c r="E541" s="258"/>
      <c r="F541" s="258"/>
      <c r="G541" s="84">
        <f>ROUND(IF(COUNTA(B541:F541)=0,0,IF(C541="",1,C541)*IF(D541="",1,D541)*IF(E541="",1,E541)*IF(F541="",1,F541)),2)</f>
        <v>0</v>
      </c>
    </row>
    <row r="542" spans="1:7">
      <c r="A542" s="83">
        <v>5</v>
      </c>
      <c r="B542" s="83"/>
      <c r="C542" s="258"/>
      <c r="D542" s="258"/>
      <c r="E542" s="258"/>
      <c r="F542" s="258"/>
      <c r="G542" s="84">
        <f>ROUND(IF(COUNTA(B542:F542)=0,0,IF(C542="",1,C542)*IF(D542="",1,D542)*IF(E542="",1,E542)*IF(F542="",1,F542)),2)</f>
        <v>0</v>
      </c>
    </row>
    <row r="543" spans="1:7">
      <c r="A543" s="393" t="s">
        <v>266</v>
      </c>
      <c r="B543" s="393" t="s">
        <v>266</v>
      </c>
      <c r="C543" s="394" t="s">
        <v>266</v>
      </c>
      <c r="D543" s="394" t="s">
        <v>266</v>
      </c>
      <c r="E543" s="394" t="s">
        <v>266</v>
      </c>
      <c r="F543" s="394" t="s">
        <v>266</v>
      </c>
      <c r="G543" s="85">
        <f>ROUND(SUM(G538:G542),2)</f>
        <v>17.940000000000001</v>
      </c>
    </row>
    <row r="544" spans="1:7">
      <c r="A544" s="78"/>
      <c r="B544" s="78"/>
      <c r="C544" s="86"/>
      <c r="D544" s="86"/>
      <c r="E544" s="86"/>
      <c r="F544" s="86"/>
      <c r="G544" s="86"/>
    </row>
    <row r="545" spans="1:7" ht="39" customHeight="1">
      <c r="A545" s="80" t="s">
        <v>411</v>
      </c>
      <c r="B545" s="80" t="s">
        <v>118</v>
      </c>
      <c r="C545" s="392" t="s">
        <v>127</v>
      </c>
      <c r="D545" s="392"/>
      <c r="E545" s="392"/>
      <c r="F545" s="392"/>
      <c r="G545" s="81" t="s">
        <v>65</v>
      </c>
    </row>
    <row r="546" spans="1:7">
      <c r="A546" s="79" t="s">
        <v>258</v>
      </c>
      <c r="B546" s="79" t="s">
        <v>259</v>
      </c>
      <c r="C546" s="82" t="s">
        <v>260</v>
      </c>
      <c r="D546" s="82" t="s">
        <v>261</v>
      </c>
      <c r="E546" s="82" t="s">
        <v>262</v>
      </c>
      <c r="F546" s="82" t="s">
        <v>263</v>
      </c>
      <c r="G546" s="82" t="s">
        <v>264</v>
      </c>
    </row>
    <row r="547" spans="1:7">
      <c r="A547" s="83">
        <v>1</v>
      </c>
      <c r="B547" s="83" t="s">
        <v>412</v>
      </c>
      <c r="C547" s="258">
        <v>1.2</v>
      </c>
      <c r="D547" s="258"/>
      <c r="E547" s="258"/>
      <c r="F547" s="258">
        <v>4</v>
      </c>
      <c r="G547" s="84">
        <f>ROUND(IF(COUNTA(B547:F547)=0,0,IF(C547="",1,C547)*IF(D547="",1,D547)*IF(E547="",1,E547)*IF(F547="",1,F547)),2)</f>
        <v>4.8</v>
      </c>
    </row>
    <row r="548" spans="1:7">
      <c r="A548" s="83">
        <v>2</v>
      </c>
      <c r="B548" s="83" t="s">
        <v>413</v>
      </c>
      <c r="C548" s="258">
        <v>1.3</v>
      </c>
      <c r="D548" s="258"/>
      <c r="E548" s="258"/>
      <c r="F548" s="258">
        <v>4</v>
      </c>
      <c r="G548" s="84">
        <f>ROUND(IF(COUNTA(B548:F548)=0,0,IF(C548="",1,C548)*IF(D548="",1,D548)*IF(E548="",1,E548)*IF(F548="",1,F548)),2)</f>
        <v>5.2</v>
      </c>
    </row>
    <row r="549" spans="1:7">
      <c r="A549" s="83">
        <v>3</v>
      </c>
      <c r="B549" s="83" t="s">
        <v>414</v>
      </c>
      <c r="C549" s="258">
        <v>3.58</v>
      </c>
      <c r="D549" s="258">
        <f>(3.08+2.38)/2</f>
        <v>2.73</v>
      </c>
      <c r="E549" s="258"/>
      <c r="F549" s="258">
        <v>1</v>
      </c>
      <c r="G549" s="84">
        <f>ROUND(IF(COUNTA(B549:F549)=0,0,IF(C549="",1,C549)*IF(D549="",1,D549)*IF(E549="",1,E549)*IF(F549="",1,F549)),2)</f>
        <v>9.77</v>
      </c>
    </row>
    <row r="550" spans="1:7">
      <c r="A550" s="83">
        <v>4</v>
      </c>
      <c r="B550" s="83" t="s">
        <v>415</v>
      </c>
      <c r="C550" s="258">
        <f>17-(3+3.2)</f>
        <v>10.8</v>
      </c>
      <c r="D550" s="258"/>
      <c r="E550" s="258"/>
      <c r="F550" s="258">
        <v>1</v>
      </c>
      <c r="G550" s="84">
        <f>ROUND(IF(COUNTA(B550:F550)=0,0,IF(C550="",1,C550)*IF(D550="",1,D550)*IF(E550="",1,E550)*IF(F550="",1,F550)),2)</f>
        <v>10.8</v>
      </c>
    </row>
    <row r="551" spans="1:7">
      <c r="A551" s="83">
        <v>5</v>
      </c>
      <c r="B551" s="83" t="s">
        <v>416</v>
      </c>
      <c r="C551" s="258">
        <v>9.8219999999999992</v>
      </c>
      <c r="D551" s="258"/>
      <c r="E551" s="258"/>
      <c r="F551" s="258">
        <v>1</v>
      </c>
      <c r="G551" s="84">
        <f>ROUND(IF(COUNTA(B551:F551)=0,0,IF(C551="",1,C551)*IF(D551="",1,D551)*IF(E551="",1,E551)*IF(F551="",1,F551)),2)</f>
        <v>9.82</v>
      </c>
    </row>
    <row r="552" spans="1:7">
      <c r="A552" s="393" t="s">
        <v>266</v>
      </c>
      <c r="B552" s="393" t="s">
        <v>266</v>
      </c>
      <c r="C552" s="394" t="s">
        <v>266</v>
      </c>
      <c r="D552" s="394" t="s">
        <v>266</v>
      </c>
      <c r="E552" s="394" t="s">
        <v>266</v>
      </c>
      <c r="F552" s="394" t="s">
        <v>266</v>
      </c>
      <c r="G552" s="85">
        <f>ROUND(SUM(G547:G551),2)</f>
        <v>40.39</v>
      </c>
    </row>
    <row r="553" spans="1:7">
      <c r="A553" s="78"/>
      <c r="B553" s="78"/>
      <c r="C553" s="86"/>
      <c r="D553" s="86"/>
      <c r="E553" s="86"/>
      <c r="F553" s="86"/>
      <c r="G553" s="86"/>
    </row>
    <row r="554" spans="1:7" ht="35.450000000000003" customHeight="1">
      <c r="A554" s="80" t="s">
        <v>417</v>
      </c>
      <c r="B554" s="80" t="s">
        <v>121</v>
      </c>
      <c r="C554" s="392" t="s">
        <v>131</v>
      </c>
      <c r="D554" s="392"/>
      <c r="E554" s="392"/>
      <c r="F554" s="392"/>
      <c r="G554" s="81" t="s">
        <v>65</v>
      </c>
    </row>
    <row r="555" spans="1:7">
      <c r="A555" s="79" t="s">
        <v>258</v>
      </c>
      <c r="B555" s="79" t="s">
        <v>259</v>
      </c>
      <c r="C555" s="82" t="s">
        <v>260</v>
      </c>
      <c r="D555" s="82" t="s">
        <v>261</v>
      </c>
      <c r="E555" s="82" t="s">
        <v>262</v>
      </c>
      <c r="F555" s="82" t="s">
        <v>263</v>
      </c>
      <c r="G555" s="82" t="s">
        <v>264</v>
      </c>
    </row>
    <row r="556" spans="1:7">
      <c r="A556" s="83">
        <v>1</v>
      </c>
      <c r="B556" s="83" t="s">
        <v>418</v>
      </c>
      <c r="C556" s="258">
        <v>1.5</v>
      </c>
      <c r="D556" s="258">
        <v>2</v>
      </c>
      <c r="E556" s="258"/>
      <c r="F556" s="258">
        <v>1</v>
      </c>
      <c r="G556" s="84">
        <f>ROUND(IF(COUNTA(B556:F556)=0,0,IF(C556="",1,C556)*IF(D556="",1,D556)*IF(E556="",1,E556)*IF(F556="",1,F556)),2)</f>
        <v>3</v>
      </c>
    </row>
    <row r="557" spans="1:7">
      <c r="A557" s="83">
        <v>2</v>
      </c>
      <c r="B557" s="83"/>
      <c r="C557" s="258"/>
      <c r="D557" s="258"/>
      <c r="E557" s="258"/>
      <c r="F557" s="258"/>
      <c r="G557" s="84">
        <f>ROUND(IF(COUNTA(B557:F557)=0,0,IF(C557="",1,C557)*IF(D557="",1,D557)*IF(E557="",1,E557)*IF(F557="",1,F557)),2)</f>
        <v>0</v>
      </c>
    </row>
    <row r="558" spans="1:7">
      <c r="A558" s="83">
        <v>3</v>
      </c>
      <c r="B558" s="83"/>
      <c r="C558" s="258"/>
      <c r="D558" s="258"/>
      <c r="E558" s="258"/>
      <c r="F558" s="258"/>
      <c r="G558" s="84">
        <f>ROUND(IF(COUNTA(B558:F558)=0,0,IF(C558="",1,C558)*IF(D558="",1,D558)*IF(E558="",1,E558)*IF(F558="",1,F558)),2)</f>
        <v>0</v>
      </c>
    </row>
    <row r="559" spans="1:7">
      <c r="A559" s="83">
        <v>4</v>
      </c>
      <c r="B559" s="83"/>
      <c r="C559" s="258"/>
      <c r="D559" s="258"/>
      <c r="E559" s="258"/>
      <c r="F559" s="258"/>
      <c r="G559" s="84">
        <f>ROUND(IF(COUNTA(B559:F559)=0,0,IF(C559="",1,C559)*IF(D559="",1,D559)*IF(E559="",1,E559)*IF(F559="",1,F559)),2)</f>
        <v>0</v>
      </c>
    </row>
    <row r="560" spans="1:7">
      <c r="A560" s="83">
        <v>5</v>
      </c>
      <c r="B560" s="83"/>
      <c r="C560" s="258"/>
      <c r="D560" s="258"/>
      <c r="E560" s="258"/>
      <c r="F560" s="258"/>
      <c r="G560" s="84">
        <f>ROUND(IF(COUNTA(B560:F560)=0,0,IF(C560="",1,C560)*IF(D560="",1,D560)*IF(E560="",1,E560)*IF(F560="",1,F560)),2)</f>
        <v>0</v>
      </c>
    </row>
    <row r="561" spans="1:7">
      <c r="A561" s="393" t="s">
        <v>266</v>
      </c>
      <c r="B561" s="393" t="s">
        <v>266</v>
      </c>
      <c r="C561" s="394" t="s">
        <v>266</v>
      </c>
      <c r="D561" s="394" t="s">
        <v>266</v>
      </c>
      <c r="E561" s="394" t="s">
        <v>266</v>
      </c>
      <c r="F561" s="394" t="s">
        <v>266</v>
      </c>
      <c r="G561" s="85">
        <f>ROUND(SUM(G556:G560),2)</f>
        <v>3</v>
      </c>
    </row>
    <row r="562" spans="1:7">
      <c r="A562" s="78"/>
      <c r="B562" s="78"/>
      <c r="C562" s="86"/>
      <c r="D562" s="86"/>
      <c r="E562" s="86"/>
      <c r="F562" s="86"/>
      <c r="G562" s="86"/>
    </row>
    <row r="563" spans="1:7" ht="43.15" customHeight="1">
      <c r="A563" s="80" t="s">
        <v>419</v>
      </c>
      <c r="B563" s="80" t="s">
        <v>200</v>
      </c>
      <c r="C563" s="392" t="s">
        <v>133</v>
      </c>
      <c r="D563" s="392"/>
      <c r="E563" s="392"/>
      <c r="F563" s="392"/>
      <c r="G563" s="81" t="s">
        <v>65</v>
      </c>
    </row>
    <row r="564" spans="1:7">
      <c r="A564" s="79" t="s">
        <v>258</v>
      </c>
      <c r="B564" s="79" t="s">
        <v>259</v>
      </c>
      <c r="C564" s="82" t="s">
        <v>260</v>
      </c>
      <c r="D564" s="82" t="s">
        <v>261</v>
      </c>
      <c r="E564" s="82" t="s">
        <v>262</v>
      </c>
      <c r="F564" s="82" t="s">
        <v>263</v>
      </c>
      <c r="G564" s="82" t="s">
        <v>264</v>
      </c>
    </row>
    <row r="565" spans="1:7">
      <c r="A565" s="83">
        <v>1</v>
      </c>
      <c r="B565" s="83"/>
      <c r="C565" s="258">
        <f>$G$552</f>
        <v>40.39</v>
      </c>
      <c r="D565" s="258"/>
      <c r="E565" s="258"/>
      <c r="F565" s="258">
        <v>2</v>
      </c>
      <c r="G565" s="84">
        <f>ROUND(IF(COUNTA(B565:F565)=0,0,IF(C565="",1,C565)*IF(D565="",1,D565)*IF(E565="",1,E565)*IF(F565="",1,F565)),2)</f>
        <v>80.78</v>
      </c>
    </row>
    <row r="566" spans="1:7">
      <c r="A566" s="83">
        <v>2</v>
      </c>
      <c r="B566" s="83"/>
      <c r="C566" s="258"/>
      <c r="D566" s="258"/>
      <c r="E566" s="258"/>
      <c r="F566" s="258"/>
      <c r="G566" s="84">
        <f>ROUND(IF(COUNTA(B566:F566)=0,0,IF(C566="",1,C566)*IF(D566="",1,D566)*IF(E566="",1,E566)*IF(F566="",1,F566)),2)</f>
        <v>0</v>
      </c>
    </row>
    <row r="567" spans="1:7">
      <c r="A567" s="83">
        <v>3</v>
      </c>
      <c r="B567" s="83"/>
      <c r="C567" s="258"/>
      <c r="D567" s="258"/>
      <c r="E567" s="258"/>
      <c r="F567" s="258"/>
      <c r="G567" s="84">
        <f>ROUND(IF(COUNTA(B567:F567)=0,0,IF(C567="",1,C567)*IF(D567="",1,D567)*IF(E567="",1,E567)*IF(F567="",1,F567)),2)</f>
        <v>0</v>
      </c>
    </row>
    <row r="568" spans="1:7">
      <c r="A568" s="83">
        <v>4</v>
      </c>
      <c r="B568" s="83"/>
      <c r="C568" s="258"/>
      <c r="D568" s="258"/>
      <c r="E568" s="258"/>
      <c r="F568" s="258"/>
      <c r="G568" s="84">
        <f>ROUND(IF(COUNTA(B568:F568)=0,0,IF(C568="",1,C568)*IF(D568="",1,D568)*IF(E568="",1,E568)*IF(F568="",1,F568)),2)</f>
        <v>0</v>
      </c>
    </row>
    <row r="569" spans="1:7">
      <c r="A569" s="83">
        <v>5</v>
      </c>
      <c r="B569" s="83"/>
      <c r="C569" s="258"/>
      <c r="D569" s="258"/>
      <c r="E569" s="258"/>
      <c r="F569" s="258"/>
      <c r="G569" s="84">
        <f>ROUND(IF(COUNTA(B569:F569)=0,0,IF(C569="",1,C569)*IF(D569="",1,D569)*IF(E569="",1,E569)*IF(F569="",1,F569)),2)</f>
        <v>0</v>
      </c>
    </row>
    <row r="570" spans="1:7">
      <c r="A570" s="393" t="s">
        <v>266</v>
      </c>
      <c r="B570" s="393" t="s">
        <v>266</v>
      </c>
      <c r="C570" s="394" t="s">
        <v>266</v>
      </c>
      <c r="D570" s="394" t="s">
        <v>266</v>
      </c>
      <c r="E570" s="394" t="s">
        <v>266</v>
      </c>
      <c r="F570" s="394" t="s">
        <v>266</v>
      </c>
      <c r="G570" s="85">
        <f>ROUND(SUM(G565:G569),2)</f>
        <v>80.78</v>
      </c>
    </row>
    <row r="571" spans="1:7">
      <c r="A571" s="78"/>
      <c r="B571" s="78"/>
      <c r="C571" s="86"/>
      <c r="D571" s="86"/>
      <c r="E571" s="86"/>
      <c r="F571" s="86"/>
      <c r="G571" s="86"/>
    </row>
    <row r="572" spans="1:7" ht="48.6" customHeight="1">
      <c r="A572" s="80" t="s">
        <v>420</v>
      </c>
      <c r="B572" s="80" t="s">
        <v>202</v>
      </c>
      <c r="C572" s="392" t="s">
        <v>148</v>
      </c>
      <c r="D572" s="392"/>
      <c r="E572" s="392"/>
      <c r="F572" s="392"/>
      <c r="G572" s="81" t="s">
        <v>103</v>
      </c>
    </row>
    <row r="573" spans="1:7">
      <c r="A573" s="79" t="s">
        <v>258</v>
      </c>
      <c r="B573" s="79" t="s">
        <v>259</v>
      </c>
      <c r="C573" s="82" t="s">
        <v>260</v>
      </c>
      <c r="D573" s="82" t="s">
        <v>261</v>
      </c>
      <c r="E573" s="82" t="s">
        <v>262</v>
      </c>
      <c r="F573" s="82" t="s">
        <v>263</v>
      </c>
      <c r="G573" s="82" t="s">
        <v>264</v>
      </c>
    </row>
    <row r="574" spans="1:7">
      <c r="A574" s="83">
        <v>1</v>
      </c>
      <c r="B574" s="83" t="s">
        <v>421</v>
      </c>
      <c r="C574" s="258"/>
      <c r="D574" s="258"/>
      <c r="E574" s="258"/>
      <c r="F574" s="258">
        <v>2</v>
      </c>
      <c r="G574" s="84">
        <f>ROUND(IF(COUNTA(B574:F574)=0,0,IF(C574="",1,C574)*IF(D574="",1,D574)*IF(E574="",1,E574)*IF(F574="",1,F574)),2)</f>
        <v>2</v>
      </c>
    </row>
    <row r="575" spans="1:7">
      <c r="A575" s="83">
        <v>2</v>
      </c>
      <c r="B575" s="83"/>
      <c r="C575" s="258"/>
      <c r="D575" s="258"/>
      <c r="E575" s="258"/>
      <c r="F575" s="258"/>
      <c r="G575" s="84">
        <f>ROUND(IF(COUNTA(B575:F575)=0,0,IF(C575="",1,C575)*IF(D575="",1,D575)*IF(E575="",1,E575)*IF(F575="",1,F575)),2)</f>
        <v>0</v>
      </c>
    </row>
    <row r="576" spans="1:7">
      <c r="A576" s="83">
        <v>3</v>
      </c>
      <c r="B576" s="83"/>
      <c r="C576" s="258"/>
      <c r="D576" s="258"/>
      <c r="E576" s="258"/>
      <c r="F576" s="258"/>
      <c r="G576" s="84">
        <f>ROUND(IF(COUNTA(B576:F576)=0,0,IF(C576="",1,C576)*IF(D576="",1,D576)*IF(E576="",1,E576)*IF(F576="",1,F576)),2)</f>
        <v>0</v>
      </c>
    </row>
    <row r="577" spans="1:7">
      <c r="A577" s="83">
        <v>4</v>
      </c>
      <c r="B577" s="83"/>
      <c r="C577" s="258"/>
      <c r="D577" s="258"/>
      <c r="E577" s="258"/>
      <c r="F577" s="258"/>
      <c r="G577" s="84">
        <f>ROUND(IF(COUNTA(B577:F577)=0,0,IF(C577="",1,C577)*IF(D577="",1,D577)*IF(E577="",1,E577)*IF(F577="",1,F577)),2)</f>
        <v>0</v>
      </c>
    </row>
    <row r="578" spans="1:7">
      <c r="A578" s="83">
        <v>5</v>
      </c>
      <c r="B578" s="83"/>
      <c r="C578" s="258"/>
      <c r="D578" s="258"/>
      <c r="E578" s="258"/>
      <c r="F578" s="258"/>
      <c r="G578" s="84">
        <f>ROUND(IF(COUNTA(B578:F578)=0,0,IF(C578="",1,C578)*IF(D578="",1,D578)*IF(E578="",1,E578)*IF(F578="",1,F578)),2)</f>
        <v>0</v>
      </c>
    </row>
    <row r="579" spans="1:7">
      <c r="A579" s="393" t="s">
        <v>266</v>
      </c>
      <c r="B579" s="393" t="s">
        <v>266</v>
      </c>
      <c r="C579" s="394" t="s">
        <v>266</v>
      </c>
      <c r="D579" s="394" t="s">
        <v>266</v>
      </c>
      <c r="E579" s="394" t="s">
        <v>266</v>
      </c>
      <c r="F579" s="394" t="s">
        <v>266</v>
      </c>
      <c r="G579" s="85">
        <f>ROUND(SUM(G574:G578),2)</f>
        <v>2</v>
      </c>
    </row>
    <row r="580" spans="1:7">
      <c r="A580" s="78"/>
      <c r="B580" s="78"/>
      <c r="C580" s="86"/>
      <c r="D580" s="86"/>
      <c r="E580" s="86"/>
      <c r="F580" s="86"/>
      <c r="G580" s="86"/>
    </row>
    <row r="581" spans="1:7" ht="59.45" customHeight="1">
      <c r="A581" s="80" t="s">
        <v>422</v>
      </c>
      <c r="B581" s="80" t="s">
        <v>203</v>
      </c>
      <c r="C581" s="392" t="s">
        <v>204</v>
      </c>
      <c r="D581" s="392"/>
      <c r="E581" s="392"/>
      <c r="F581" s="392"/>
      <c r="G581" s="81" t="s">
        <v>103</v>
      </c>
    </row>
    <row r="582" spans="1:7">
      <c r="A582" s="79" t="s">
        <v>258</v>
      </c>
      <c r="B582" s="79" t="s">
        <v>259</v>
      </c>
      <c r="C582" s="82" t="s">
        <v>260</v>
      </c>
      <c r="D582" s="82" t="s">
        <v>261</v>
      </c>
      <c r="E582" s="82" t="s">
        <v>262</v>
      </c>
      <c r="F582" s="82" t="s">
        <v>263</v>
      </c>
      <c r="G582" s="82" t="s">
        <v>264</v>
      </c>
    </row>
    <row r="583" spans="1:7">
      <c r="A583" s="83">
        <v>1</v>
      </c>
      <c r="B583" s="83" t="s">
        <v>423</v>
      </c>
      <c r="C583" s="258"/>
      <c r="D583" s="258"/>
      <c r="E583" s="258"/>
      <c r="F583" s="258">
        <v>4</v>
      </c>
      <c r="G583" s="84">
        <f>ROUND(IF(COUNTA(B583:F583)=0,0,IF(C583="",1,C583)*IF(D583="",1,D583)*IF(E583="",1,E583)*IF(F583="",1,F583)),2)</f>
        <v>4</v>
      </c>
    </row>
    <row r="584" spans="1:7">
      <c r="A584" s="83">
        <v>2</v>
      </c>
      <c r="B584" s="83"/>
      <c r="C584" s="258"/>
      <c r="D584" s="258"/>
      <c r="E584" s="258"/>
      <c r="F584" s="258"/>
      <c r="G584" s="84">
        <f>ROUND(IF(COUNTA(B584:F584)=0,0,IF(C584="",1,C584)*IF(D584="",1,D584)*IF(E584="",1,E584)*IF(F584="",1,F584)),2)</f>
        <v>0</v>
      </c>
    </row>
    <row r="585" spans="1:7">
      <c r="A585" s="83">
        <v>3</v>
      </c>
      <c r="B585" s="83"/>
      <c r="C585" s="258"/>
      <c r="D585" s="258"/>
      <c r="E585" s="258"/>
      <c r="F585" s="258"/>
      <c r="G585" s="84">
        <f>ROUND(IF(COUNTA(B585:F585)=0,0,IF(C585="",1,C585)*IF(D585="",1,D585)*IF(E585="",1,E585)*IF(F585="",1,F585)),2)</f>
        <v>0</v>
      </c>
    </row>
    <row r="586" spans="1:7">
      <c r="A586" s="83">
        <v>4</v>
      </c>
      <c r="B586" s="83"/>
      <c r="C586" s="258"/>
      <c r="D586" s="258"/>
      <c r="E586" s="258"/>
      <c r="F586" s="258"/>
      <c r="G586" s="84">
        <f>ROUND(IF(COUNTA(B586:F586)=0,0,IF(C586="",1,C586)*IF(D586="",1,D586)*IF(E586="",1,E586)*IF(F586="",1,F586)),2)</f>
        <v>0</v>
      </c>
    </row>
    <row r="587" spans="1:7">
      <c r="A587" s="83">
        <v>5</v>
      </c>
      <c r="B587" s="83"/>
      <c r="C587" s="258"/>
      <c r="D587" s="258"/>
      <c r="E587" s="258"/>
      <c r="F587" s="258"/>
      <c r="G587" s="84">
        <f>ROUND(IF(COUNTA(B587:F587)=0,0,IF(C587="",1,C587)*IF(D587="",1,D587)*IF(E587="",1,E587)*IF(F587="",1,F587)),2)</f>
        <v>0</v>
      </c>
    </row>
    <row r="588" spans="1:7">
      <c r="A588" s="393" t="s">
        <v>266</v>
      </c>
      <c r="B588" s="393" t="s">
        <v>266</v>
      </c>
      <c r="C588" s="394" t="s">
        <v>266</v>
      </c>
      <c r="D588" s="394" t="s">
        <v>266</v>
      </c>
      <c r="E588" s="394" t="s">
        <v>266</v>
      </c>
      <c r="F588" s="394" t="s">
        <v>266</v>
      </c>
      <c r="G588" s="85">
        <f>ROUND(SUM(G583:G587),2)</f>
        <v>4</v>
      </c>
    </row>
    <row r="589" spans="1:7">
      <c r="A589" s="78"/>
      <c r="B589" s="78"/>
      <c r="C589" s="86"/>
      <c r="D589" s="86"/>
      <c r="E589" s="86"/>
      <c r="F589" s="86"/>
      <c r="G589" s="86"/>
    </row>
    <row r="590" spans="1:7" ht="48.6" customHeight="1">
      <c r="A590" s="80" t="s">
        <v>424</v>
      </c>
      <c r="B590" s="80" t="s">
        <v>206</v>
      </c>
      <c r="C590" s="392" t="s">
        <v>207</v>
      </c>
      <c r="D590" s="392"/>
      <c r="E590" s="392"/>
      <c r="F590" s="392"/>
      <c r="G590" s="81" t="s">
        <v>68</v>
      </c>
    </row>
    <row r="591" spans="1:7">
      <c r="A591" s="79" t="s">
        <v>258</v>
      </c>
      <c r="B591" s="79" t="s">
        <v>259</v>
      </c>
      <c r="C591" s="82" t="s">
        <v>260</v>
      </c>
      <c r="D591" s="82" t="s">
        <v>261</v>
      </c>
      <c r="E591" s="82" t="s">
        <v>262</v>
      </c>
      <c r="F591" s="82" t="s">
        <v>263</v>
      </c>
      <c r="G591" s="82" t="s">
        <v>264</v>
      </c>
    </row>
    <row r="592" spans="1:7">
      <c r="A592" s="83">
        <v>1</v>
      </c>
      <c r="B592" s="83" t="s">
        <v>425</v>
      </c>
      <c r="C592" s="258"/>
      <c r="D592" s="258"/>
      <c r="E592" s="258"/>
      <c r="F592" s="258">
        <v>20</v>
      </c>
      <c r="G592" s="84">
        <f>ROUND(IF(COUNTA(B592:F592)=0,0,IF(C592="",1,C592)*IF(D592="",1,D592)*IF(E592="",1,E592)*IF(F592="",1,F592)),2)</f>
        <v>20</v>
      </c>
    </row>
    <row r="593" spans="1:7">
      <c r="A593" s="83">
        <v>2</v>
      </c>
      <c r="B593" s="83"/>
      <c r="C593" s="258"/>
      <c r="D593" s="258"/>
      <c r="E593" s="258"/>
      <c r="F593" s="258"/>
      <c r="G593" s="84">
        <f>ROUND(IF(COUNTA(B593:F593)=0,0,IF(C593="",1,C593)*IF(D593="",1,D593)*IF(E593="",1,E593)*IF(F593="",1,F593)),2)</f>
        <v>0</v>
      </c>
    </row>
    <row r="594" spans="1:7">
      <c r="A594" s="83">
        <v>3</v>
      </c>
      <c r="B594" s="83"/>
      <c r="C594" s="258"/>
      <c r="D594" s="258"/>
      <c r="E594" s="258"/>
      <c r="F594" s="258"/>
      <c r="G594" s="84">
        <f>ROUND(IF(COUNTA(B594:F594)=0,0,IF(C594="",1,C594)*IF(D594="",1,D594)*IF(E594="",1,E594)*IF(F594="",1,F594)),2)</f>
        <v>0</v>
      </c>
    </row>
    <row r="595" spans="1:7">
      <c r="A595" s="83">
        <v>4</v>
      </c>
      <c r="B595" s="83"/>
      <c r="C595" s="258"/>
      <c r="D595" s="258"/>
      <c r="E595" s="258"/>
      <c r="F595" s="258"/>
      <c r="G595" s="84">
        <f>ROUND(IF(COUNTA(B595:F595)=0,0,IF(C595="",1,C595)*IF(D595="",1,D595)*IF(E595="",1,E595)*IF(F595="",1,F595)),2)</f>
        <v>0</v>
      </c>
    </row>
    <row r="596" spans="1:7">
      <c r="A596" s="83">
        <v>5</v>
      </c>
      <c r="B596" s="83"/>
      <c r="C596" s="258"/>
      <c r="D596" s="258"/>
      <c r="E596" s="258"/>
      <c r="F596" s="258"/>
      <c r="G596" s="84">
        <f>ROUND(IF(COUNTA(B596:F596)=0,0,IF(C596="",1,C596)*IF(D596="",1,D596)*IF(E596="",1,E596)*IF(F596="",1,F596)),2)</f>
        <v>0</v>
      </c>
    </row>
    <row r="597" spans="1:7">
      <c r="A597" s="393" t="s">
        <v>266</v>
      </c>
      <c r="B597" s="393" t="s">
        <v>266</v>
      </c>
      <c r="C597" s="394" t="s">
        <v>266</v>
      </c>
      <c r="D597" s="394" t="s">
        <v>266</v>
      </c>
      <c r="E597" s="394" t="s">
        <v>266</v>
      </c>
      <c r="F597" s="394" t="s">
        <v>266</v>
      </c>
      <c r="G597" s="85">
        <f>ROUND(SUM(G592:G596),2)</f>
        <v>20</v>
      </c>
    </row>
    <row r="598" spans="1:7">
      <c r="A598" s="78"/>
      <c r="B598" s="78"/>
      <c r="C598" s="86"/>
      <c r="D598" s="86"/>
      <c r="E598" s="86"/>
      <c r="F598" s="86"/>
      <c r="G598" s="86"/>
    </row>
    <row r="599" spans="1:7" ht="45" customHeight="1">
      <c r="A599" s="80" t="s">
        <v>426</v>
      </c>
      <c r="B599" s="80" t="s">
        <v>208</v>
      </c>
      <c r="C599" s="392" t="s">
        <v>209</v>
      </c>
      <c r="D599" s="392"/>
      <c r="E599" s="392"/>
      <c r="F599" s="392"/>
      <c r="G599" s="81" t="s">
        <v>103</v>
      </c>
    </row>
    <row r="600" spans="1:7">
      <c r="A600" s="79" t="s">
        <v>258</v>
      </c>
      <c r="B600" s="79" t="s">
        <v>259</v>
      </c>
      <c r="C600" s="82" t="s">
        <v>260</v>
      </c>
      <c r="D600" s="82" t="s">
        <v>261</v>
      </c>
      <c r="E600" s="82" t="s">
        <v>262</v>
      </c>
      <c r="F600" s="82" t="s">
        <v>263</v>
      </c>
      <c r="G600" s="82" t="s">
        <v>264</v>
      </c>
    </row>
    <row r="601" spans="1:7">
      <c r="A601" s="83">
        <v>1</v>
      </c>
      <c r="B601" s="83" t="s">
        <v>427</v>
      </c>
      <c r="C601" s="258"/>
      <c r="D601" s="258"/>
      <c r="E601" s="258"/>
      <c r="F601" s="258">
        <v>10</v>
      </c>
      <c r="G601" s="84">
        <f>ROUND(IF(COUNTA(B601:F601)=0,0,IF(C601="",1,C601)*IF(D601="",1,D601)*IF(E601="",1,E601)*IF(F601="",1,F601)),2)</f>
        <v>10</v>
      </c>
    </row>
    <row r="602" spans="1:7">
      <c r="A602" s="83">
        <v>2</v>
      </c>
      <c r="B602" s="83"/>
      <c r="C602" s="258"/>
      <c r="D602" s="258"/>
      <c r="E602" s="258"/>
      <c r="F602" s="258"/>
      <c r="G602" s="84">
        <f>ROUND(IF(COUNTA(B602:F602)=0,0,IF(C602="",1,C602)*IF(D602="",1,D602)*IF(E602="",1,E602)*IF(F602="",1,F602)),2)</f>
        <v>0</v>
      </c>
    </row>
    <row r="603" spans="1:7">
      <c r="A603" s="83">
        <v>3</v>
      </c>
      <c r="B603" s="83"/>
      <c r="C603" s="258"/>
      <c r="D603" s="258"/>
      <c r="E603" s="258"/>
      <c r="F603" s="258"/>
      <c r="G603" s="84">
        <f>ROUND(IF(COUNTA(B603:F603)=0,0,IF(C603="",1,C603)*IF(D603="",1,D603)*IF(E603="",1,E603)*IF(F603="",1,F603)),2)</f>
        <v>0</v>
      </c>
    </row>
    <row r="604" spans="1:7">
      <c r="A604" s="83">
        <v>4</v>
      </c>
      <c r="B604" s="83"/>
      <c r="C604" s="258"/>
      <c r="D604" s="258"/>
      <c r="E604" s="258"/>
      <c r="F604" s="258"/>
      <c r="G604" s="84">
        <f>ROUND(IF(COUNTA(B604:F604)=0,0,IF(C604="",1,C604)*IF(D604="",1,D604)*IF(E604="",1,E604)*IF(F604="",1,F604)),2)</f>
        <v>0</v>
      </c>
    </row>
    <row r="605" spans="1:7">
      <c r="A605" s="83">
        <v>5</v>
      </c>
      <c r="B605" s="83"/>
      <c r="C605" s="258"/>
      <c r="D605" s="258"/>
      <c r="E605" s="258"/>
      <c r="F605" s="258"/>
      <c r="G605" s="84">
        <f>ROUND(IF(COUNTA(B605:F605)=0,0,IF(C605="",1,C605)*IF(D605="",1,D605)*IF(E605="",1,E605)*IF(F605="",1,F605)),2)</f>
        <v>0</v>
      </c>
    </row>
    <row r="606" spans="1:7">
      <c r="A606" s="393" t="s">
        <v>266</v>
      </c>
      <c r="B606" s="393" t="s">
        <v>266</v>
      </c>
      <c r="C606" s="394" t="s">
        <v>266</v>
      </c>
      <c r="D606" s="394" t="s">
        <v>266</v>
      </c>
      <c r="E606" s="394" t="s">
        <v>266</v>
      </c>
      <c r="F606" s="394" t="s">
        <v>266</v>
      </c>
      <c r="G606" s="85">
        <f>ROUND(SUM(G601:G605),2)</f>
        <v>10</v>
      </c>
    </row>
    <row r="607" spans="1:7">
      <c r="A607" s="78"/>
      <c r="B607" s="78"/>
      <c r="C607" s="86"/>
      <c r="D607" s="86"/>
      <c r="E607" s="86"/>
      <c r="F607" s="86"/>
      <c r="G607" s="86"/>
    </row>
    <row r="608" spans="1:7" ht="33" customHeight="1">
      <c r="A608" s="80" t="s">
        <v>428</v>
      </c>
      <c r="B608" s="80" t="s">
        <v>210</v>
      </c>
      <c r="C608" s="392" t="s">
        <v>211</v>
      </c>
      <c r="D608" s="392"/>
      <c r="E608" s="392"/>
      <c r="F608" s="392"/>
      <c r="G608" s="81" t="s">
        <v>103</v>
      </c>
    </row>
    <row r="609" spans="1:7">
      <c r="A609" s="79" t="s">
        <v>258</v>
      </c>
      <c r="B609" s="79" t="s">
        <v>259</v>
      </c>
      <c r="C609" s="82" t="s">
        <v>260</v>
      </c>
      <c r="D609" s="82" t="s">
        <v>261</v>
      </c>
      <c r="E609" s="82" t="s">
        <v>262</v>
      </c>
      <c r="F609" s="82" t="s">
        <v>263</v>
      </c>
      <c r="G609" s="82" t="s">
        <v>264</v>
      </c>
    </row>
    <row r="610" spans="1:7">
      <c r="A610" s="83">
        <v>1</v>
      </c>
      <c r="B610" s="83" t="s">
        <v>429</v>
      </c>
      <c r="C610" s="258"/>
      <c r="D610" s="258"/>
      <c r="E610" s="258"/>
      <c r="F610" s="258">
        <v>2</v>
      </c>
      <c r="G610" s="84">
        <f>ROUND(IF(COUNTA(B610:F610)=0,0,IF(C610="",1,C610)*IF(D610="",1,D610)*IF(E610="",1,E610)*IF(F610="",1,F610)),2)</f>
        <v>2</v>
      </c>
    </row>
    <row r="611" spans="1:7">
      <c r="A611" s="83">
        <v>2</v>
      </c>
      <c r="B611" s="83"/>
      <c r="C611" s="258"/>
      <c r="D611" s="258"/>
      <c r="E611" s="258"/>
      <c r="F611" s="258"/>
      <c r="G611" s="84">
        <f>ROUND(IF(COUNTA(B611:F611)=0,0,IF(C611="",1,C611)*IF(D611="",1,D611)*IF(E611="",1,E611)*IF(F611="",1,F611)),2)</f>
        <v>0</v>
      </c>
    </row>
    <row r="612" spans="1:7">
      <c r="A612" s="83">
        <v>3</v>
      </c>
      <c r="B612" s="83"/>
      <c r="C612" s="258"/>
      <c r="D612" s="258"/>
      <c r="E612" s="258"/>
      <c r="F612" s="258"/>
      <c r="G612" s="84">
        <f>ROUND(IF(COUNTA(B612:F612)=0,0,IF(C612="",1,C612)*IF(D612="",1,D612)*IF(E612="",1,E612)*IF(F612="",1,F612)),2)</f>
        <v>0</v>
      </c>
    </row>
    <row r="613" spans="1:7">
      <c r="A613" s="83">
        <v>4</v>
      </c>
      <c r="B613" s="83"/>
      <c r="C613" s="258"/>
      <c r="D613" s="258"/>
      <c r="E613" s="258"/>
      <c r="F613" s="258"/>
      <c r="G613" s="84">
        <f>ROUND(IF(COUNTA(B613:F613)=0,0,IF(C613="",1,C613)*IF(D613="",1,D613)*IF(E613="",1,E613)*IF(F613="",1,F613)),2)</f>
        <v>0</v>
      </c>
    </row>
    <row r="614" spans="1:7">
      <c r="A614" s="83">
        <v>5</v>
      </c>
      <c r="B614" s="83"/>
      <c r="C614" s="258"/>
      <c r="D614" s="258"/>
      <c r="E614" s="258"/>
      <c r="F614" s="258"/>
      <c r="G614" s="84">
        <f>ROUND(IF(COUNTA(B614:F614)=0,0,IF(C614="",1,C614)*IF(D614="",1,D614)*IF(E614="",1,E614)*IF(F614="",1,F614)),2)</f>
        <v>0</v>
      </c>
    </row>
    <row r="615" spans="1:7">
      <c r="A615" s="393" t="s">
        <v>266</v>
      </c>
      <c r="B615" s="393" t="s">
        <v>266</v>
      </c>
      <c r="C615" s="394" t="s">
        <v>266</v>
      </c>
      <c r="D615" s="394" t="s">
        <v>266</v>
      </c>
      <c r="E615" s="394" t="s">
        <v>266</v>
      </c>
      <c r="F615" s="394" t="s">
        <v>266</v>
      </c>
      <c r="G615" s="85">
        <f>ROUND(SUM(G610:G614),2)</f>
        <v>2</v>
      </c>
    </row>
    <row r="616" spans="1:7">
      <c r="A616" s="78"/>
      <c r="B616" s="78"/>
      <c r="C616" s="86"/>
      <c r="D616" s="86"/>
      <c r="E616" s="86"/>
      <c r="F616" s="86"/>
      <c r="G616" s="86"/>
    </row>
    <row r="617" spans="1:7" ht="31.9" customHeight="1">
      <c r="A617" s="80" t="s">
        <v>430</v>
      </c>
      <c r="B617" s="80" t="s">
        <v>213</v>
      </c>
      <c r="C617" s="392" t="s">
        <v>214</v>
      </c>
      <c r="D617" s="392"/>
      <c r="E617" s="392"/>
      <c r="F617" s="392"/>
      <c r="G617" s="81" t="s">
        <v>103</v>
      </c>
    </row>
    <row r="618" spans="1:7">
      <c r="A618" s="79" t="s">
        <v>258</v>
      </c>
      <c r="B618" s="79" t="s">
        <v>259</v>
      </c>
      <c r="C618" s="82" t="s">
        <v>260</v>
      </c>
      <c r="D618" s="82" t="s">
        <v>261</v>
      </c>
      <c r="E618" s="82" t="s">
        <v>262</v>
      </c>
      <c r="F618" s="82" t="s">
        <v>263</v>
      </c>
      <c r="G618" s="82" t="s">
        <v>264</v>
      </c>
    </row>
    <row r="619" spans="1:7">
      <c r="A619" s="83">
        <v>1</v>
      </c>
      <c r="B619" s="83" t="s">
        <v>431</v>
      </c>
      <c r="C619" s="258"/>
      <c r="D619" s="258"/>
      <c r="E619" s="258"/>
      <c r="F619" s="258">
        <v>3</v>
      </c>
      <c r="G619" s="84">
        <f>ROUND(IF(COUNTA(B619:F619)=0,0,IF(C619="",1,C619)*IF(D619="",1,D619)*IF(E619="",1,E619)*IF(F619="",1,F619)),2)</f>
        <v>3</v>
      </c>
    </row>
    <row r="620" spans="1:7">
      <c r="A620" s="83">
        <v>2</v>
      </c>
      <c r="B620" s="83"/>
      <c r="C620" s="258"/>
      <c r="D620" s="258"/>
      <c r="E620" s="258"/>
      <c r="F620" s="258"/>
      <c r="G620" s="84">
        <f>ROUND(IF(COUNTA(B620:F620)=0,0,IF(C620="",1,C620)*IF(D620="",1,D620)*IF(E620="",1,E620)*IF(F620="",1,F620)),2)</f>
        <v>0</v>
      </c>
    </row>
    <row r="621" spans="1:7">
      <c r="A621" s="83">
        <v>3</v>
      </c>
      <c r="B621" s="83"/>
      <c r="C621" s="258"/>
      <c r="D621" s="258"/>
      <c r="E621" s="258"/>
      <c r="F621" s="258"/>
      <c r="G621" s="84">
        <f>ROUND(IF(COUNTA(B621:F621)=0,0,IF(C621="",1,C621)*IF(D621="",1,D621)*IF(E621="",1,E621)*IF(F621="",1,F621)),2)</f>
        <v>0</v>
      </c>
    </row>
    <row r="622" spans="1:7">
      <c r="A622" s="83">
        <v>4</v>
      </c>
      <c r="B622" s="83"/>
      <c r="C622" s="258"/>
      <c r="D622" s="258"/>
      <c r="E622" s="258"/>
      <c r="F622" s="258"/>
      <c r="G622" s="84">
        <f>ROUND(IF(COUNTA(B622:F622)=0,0,IF(C622="",1,C622)*IF(D622="",1,D622)*IF(E622="",1,E622)*IF(F622="",1,F622)),2)</f>
        <v>0</v>
      </c>
    </row>
    <row r="623" spans="1:7">
      <c r="A623" s="83">
        <v>5</v>
      </c>
      <c r="B623" s="83"/>
      <c r="C623" s="258"/>
      <c r="D623" s="258"/>
      <c r="E623" s="258"/>
      <c r="F623" s="258"/>
      <c r="G623" s="84">
        <f>ROUND(IF(COUNTA(B623:F623)=0,0,IF(C623="",1,C623)*IF(D623="",1,D623)*IF(E623="",1,E623)*IF(F623="",1,F623)),2)</f>
        <v>0</v>
      </c>
    </row>
    <row r="624" spans="1:7">
      <c r="A624" s="393" t="s">
        <v>266</v>
      </c>
      <c r="B624" s="393" t="s">
        <v>266</v>
      </c>
      <c r="C624" s="394" t="s">
        <v>266</v>
      </c>
      <c r="D624" s="394" t="s">
        <v>266</v>
      </c>
      <c r="E624" s="394" t="s">
        <v>266</v>
      </c>
      <c r="F624" s="394" t="s">
        <v>266</v>
      </c>
      <c r="G624" s="85">
        <f>ROUND(SUM(G619:G623),2)</f>
        <v>3</v>
      </c>
    </row>
    <row r="625" spans="1:7">
      <c r="A625" s="78"/>
      <c r="B625" s="78"/>
      <c r="C625" s="86"/>
      <c r="D625" s="86"/>
      <c r="E625" s="86"/>
      <c r="F625" s="86"/>
      <c r="G625" s="86"/>
    </row>
    <row r="626" spans="1:7" ht="31.15" customHeight="1">
      <c r="A626" s="80" t="s">
        <v>432</v>
      </c>
      <c r="B626" s="80" t="s">
        <v>215</v>
      </c>
      <c r="C626" s="392" t="s">
        <v>216</v>
      </c>
      <c r="D626" s="392"/>
      <c r="E626" s="392"/>
      <c r="F626" s="392"/>
      <c r="G626" s="81" t="s">
        <v>103</v>
      </c>
    </row>
    <row r="627" spans="1:7">
      <c r="A627" s="79" t="s">
        <v>258</v>
      </c>
      <c r="B627" s="79" t="s">
        <v>259</v>
      </c>
      <c r="C627" s="82" t="s">
        <v>260</v>
      </c>
      <c r="D627" s="82" t="s">
        <v>261</v>
      </c>
      <c r="E627" s="82" t="s">
        <v>262</v>
      </c>
      <c r="F627" s="82" t="s">
        <v>263</v>
      </c>
      <c r="G627" s="82" t="s">
        <v>264</v>
      </c>
    </row>
    <row r="628" spans="1:7">
      <c r="A628" s="83">
        <v>1</v>
      </c>
      <c r="B628" s="83" t="s">
        <v>433</v>
      </c>
      <c r="C628" s="258"/>
      <c r="D628" s="258"/>
      <c r="E628" s="258"/>
      <c r="F628" s="258">
        <v>7</v>
      </c>
      <c r="G628" s="84">
        <f>ROUND(IF(COUNTA(B628:F628)=0,0,IF(C628="",1,C628)*IF(D628="",1,D628)*IF(E628="",1,E628)*IF(F628="",1,F628)),2)</f>
        <v>7</v>
      </c>
    </row>
    <row r="629" spans="1:7">
      <c r="A629" s="83">
        <v>2</v>
      </c>
      <c r="B629" s="83"/>
      <c r="C629" s="258"/>
      <c r="D629" s="258"/>
      <c r="E629" s="258"/>
      <c r="F629" s="258"/>
      <c r="G629" s="84">
        <f>ROUND(IF(COUNTA(B629:F629)=0,0,IF(C629="",1,C629)*IF(D629="",1,D629)*IF(E629="",1,E629)*IF(F629="",1,F629)),2)</f>
        <v>0</v>
      </c>
    </row>
    <row r="630" spans="1:7">
      <c r="A630" s="83">
        <v>3</v>
      </c>
      <c r="B630" s="83"/>
      <c r="C630" s="258"/>
      <c r="D630" s="258"/>
      <c r="E630" s="258"/>
      <c r="F630" s="258"/>
      <c r="G630" s="84">
        <f>ROUND(IF(COUNTA(B630:F630)=0,0,IF(C630="",1,C630)*IF(D630="",1,D630)*IF(E630="",1,E630)*IF(F630="",1,F630)),2)</f>
        <v>0</v>
      </c>
    </row>
    <row r="631" spans="1:7">
      <c r="A631" s="83">
        <v>4</v>
      </c>
      <c r="B631" s="83"/>
      <c r="C631" s="258"/>
      <c r="D631" s="258"/>
      <c r="E631" s="258"/>
      <c r="F631" s="258"/>
      <c r="G631" s="84">
        <f>ROUND(IF(COUNTA(B631:F631)=0,0,IF(C631="",1,C631)*IF(D631="",1,D631)*IF(E631="",1,E631)*IF(F631="",1,F631)),2)</f>
        <v>0</v>
      </c>
    </row>
    <row r="632" spans="1:7">
      <c r="A632" s="83">
        <v>5</v>
      </c>
      <c r="B632" s="83"/>
      <c r="C632" s="258"/>
      <c r="D632" s="258"/>
      <c r="E632" s="258"/>
      <c r="F632" s="258"/>
      <c r="G632" s="84">
        <f>ROUND(IF(COUNTA(B632:F632)=0,0,IF(C632="",1,C632)*IF(D632="",1,D632)*IF(E632="",1,E632)*IF(F632="",1,F632)),2)</f>
        <v>0</v>
      </c>
    </row>
    <row r="633" spans="1:7">
      <c r="A633" s="393" t="s">
        <v>266</v>
      </c>
      <c r="B633" s="393" t="s">
        <v>266</v>
      </c>
      <c r="C633" s="394" t="s">
        <v>266</v>
      </c>
      <c r="D633" s="394" t="s">
        <v>266</v>
      </c>
      <c r="E633" s="394" t="s">
        <v>266</v>
      </c>
      <c r="F633" s="394" t="s">
        <v>266</v>
      </c>
      <c r="G633" s="85">
        <f>ROUND(SUM(G628:G632),2)</f>
        <v>7</v>
      </c>
    </row>
    <row r="634" spans="1:7">
      <c r="A634" s="78"/>
      <c r="B634" s="78"/>
      <c r="C634" s="86"/>
      <c r="D634" s="86"/>
      <c r="E634" s="86"/>
      <c r="F634" s="86"/>
      <c r="G634" s="86"/>
    </row>
    <row r="635" spans="1:7" ht="30.6" customHeight="1">
      <c r="A635" s="80" t="s">
        <v>434</v>
      </c>
      <c r="B635" s="80" t="s">
        <v>217</v>
      </c>
      <c r="C635" s="392" t="s">
        <v>218</v>
      </c>
      <c r="D635" s="392"/>
      <c r="E635" s="392"/>
      <c r="F635" s="392"/>
      <c r="G635" s="81" t="s">
        <v>103</v>
      </c>
    </row>
    <row r="636" spans="1:7">
      <c r="A636" s="79" t="s">
        <v>258</v>
      </c>
      <c r="B636" s="79" t="s">
        <v>259</v>
      </c>
      <c r="C636" s="82" t="s">
        <v>260</v>
      </c>
      <c r="D636" s="82" t="s">
        <v>261</v>
      </c>
      <c r="E636" s="82" t="s">
        <v>262</v>
      </c>
      <c r="F636" s="82" t="s">
        <v>263</v>
      </c>
      <c r="G636" s="82" t="s">
        <v>264</v>
      </c>
    </row>
    <row r="637" spans="1:7">
      <c r="A637" s="83">
        <v>1</v>
      </c>
      <c r="B637" s="83" t="s">
        <v>435</v>
      </c>
      <c r="C637" s="258"/>
      <c r="D637" s="258"/>
      <c r="E637" s="258"/>
      <c r="F637" s="258">
        <v>2</v>
      </c>
      <c r="G637" s="84">
        <f>ROUND(IF(COUNTA(B637:F637)=0,0,IF(C637="",1,C637)*IF(D637="",1,D637)*IF(E637="",1,E637)*IF(F637="",1,F637)),2)</f>
        <v>2</v>
      </c>
    </row>
    <row r="638" spans="1:7">
      <c r="A638" s="83">
        <v>2</v>
      </c>
      <c r="B638" s="83"/>
      <c r="C638" s="258"/>
      <c r="D638" s="258"/>
      <c r="E638" s="258"/>
      <c r="F638" s="258"/>
      <c r="G638" s="84">
        <f>ROUND(IF(COUNTA(B638:F638)=0,0,IF(C638="",1,C638)*IF(D638="",1,D638)*IF(E638="",1,E638)*IF(F638="",1,F638)),2)</f>
        <v>0</v>
      </c>
    </row>
    <row r="639" spans="1:7">
      <c r="A639" s="83">
        <v>3</v>
      </c>
      <c r="B639" s="83"/>
      <c r="C639" s="258"/>
      <c r="D639" s="258"/>
      <c r="E639" s="258"/>
      <c r="F639" s="258"/>
      <c r="G639" s="84">
        <f>ROUND(IF(COUNTA(B639:F639)=0,0,IF(C639="",1,C639)*IF(D639="",1,D639)*IF(E639="",1,E639)*IF(F639="",1,F639)),2)</f>
        <v>0</v>
      </c>
    </row>
    <row r="640" spans="1:7">
      <c r="A640" s="83">
        <v>4</v>
      </c>
      <c r="B640" s="83"/>
      <c r="C640" s="258"/>
      <c r="D640" s="258"/>
      <c r="E640" s="258"/>
      <c r="F640" s="258"/>
      <c r="G640" s="84">
        <f>ROUND(IF(COUNTA(B640:F640)=0,0,IF(C640="",1,C640)*IF(D640="",1,D640)*IF(E640="",1,E640)*IF(F640="",1,F640)),2)</f>
        <v>0</v>
      </c>
    </row>
    <row r="641" spans="1:7">
      <c r="A641" s="83">
        <v>5</v>
      </c>
      <c r="B641" s="83"/>
      <c r="C641" s="258"/>
      <c r="D641" s="258"/>
      <c r="E641" s="258"/>
      <c r="F641" s="258"/>
      <c r="G641" s="84">
        <f>ROUND(IF(COUNTA(B641:F641)=0,0,IF(C641="",1,C641)*IF(D641="",1,D641)*IF(E641="",1,E641)*IF(F641="",1,F641)),2)</f>
        <v>0</v>
      </c>
    </row>
    <row r="642" spans="1:7">
      <c r="A642" s="393" t="s">
        <v>266</v>
      </c>
      <c r="B642" s="393" t="s">
        <v>266</v>
      </c>
      <c r="C642" s="394" t="s">
        <v>266</v>
      </c>
      <c r="D642" s="394" t="s">
        <v>266</v>
      </c>
      <c r="E642" s="394" t="s">
        <v>266</v>
      </c>
      <c r="F642" s="394" t="s">
        <v>266</v>
      </c>
      <c r="G642" s="85">
        <f>ROUND(SUM(G637:G641),2)</f>
        <v>2</v>
      </c>
    </row>
    <row r="643" spans="1:7">
      <c r="A643" s="78"/>
      <c r="B643" s="78"/>
      <c r="C643" s="86"/>
      <c r="D643" s="86"/>
      <c r="E643" s="86"/>
      <c r="F643" s="86"/>
      <c r="G643" s="86"/>
    </row>
    <row r="644" spans="1:7" ht="42.6" customHeight="1">
      <c r="A644" s="80" t="s">
        <v>436</v>
      </c>
      <c r="B644" s="80" t="s">
        <v>219</v>
      </c>
      <c r="C644" s="392" t="s">
        <v>220</v>
      </c>
      <c r="D644" s="392"/>
      <c r="E644" s="392"/>
      <c r="F644" s="392"/>
      <c r="G644" s="81" t="s">
        <v>68</v>
      </c>
    </row>
    <row r="645" spans="1:7">
      <c r="A645" s="79" t="s">
        <v>258</v>
      </c>
      <c r="B645" s="79" t="s">
        <v>259</v>
      </c>
      <c r="C645" s="82" t="s">
        <v>260</v>
      </c>
      <c r="D645" s="82" t="s">
        <v>261</v>
      </c>
      <c r="E645" s="82" t="s">
        <v>262</v>
      </c>
      <c r="F645" s="82" t="s">
        <v>263</v>
      </c>
      <c r="G645" s="82" t="s">
        <v>264</v>
      </c>
    </row>
    <row r="646" spans="1:7">
      <c r="A646" s="83">
        <v>1</v>
      </c>
      <c r="B646" s="83" t="s">
        <v>437</v>
      </c>
      <c r="C646" s="258">
        <v>1.5</v>
      </c>
      <c r="D646" s="258"/>
      <c r="E646" s="258"/>
      <c r="F646" s="258">
        <v>2</v>
      </c>
      <c r="G646" s="84">
        <f>ROUND(IF(COUNTA(B646:F646)=0,0,IF(C646="",1,C646)*IF(D646="",1,D646)*IF(E646="",1,E646)*IF(F646="",1,F646)),2)</f>
        <v>3</v>
      </c>
    </row>
    <row r="647" spans="1:7">
      <c r="A647" s="83">
        <v>2</v>
      </c>
      <c r="C647" s="258"/>
      <c r="D647" s="258"/>
      <c r="E647" s="258"/>
      <c r="F647" s="258"/>
      <c r="G647" s="84">
        <f>ROUND(IF(COUNTA(B647:F647)=0,0,IF(C647="",1,C647)*IF(D647="",1,D647)*IF(E647="",1,E647)*IF(F647="",1,F647)),2)</f>
        <v>0</v>
      </c>
    </row>
    <row r="648" spans="1:7">
      <c r="A648" s="83">
        <v>3</v>
      </c>
      <c r="B648" s="83"/>
      <c r="C648" s="258"/>
      <c r="D648" s="258"/>
      <c r="E648" s="258"/>
      <c r="F648" s="258"/>
      <c r="G648" s="84">
        <f>ROUND(IF(COUNTA(B648:F648)=0,0,IF(C648="",1,C648)*IF(D648="",1,D648)*IF(E648="",1,E648)*IF(F648="",1,F648)),2)</f>
        <v>0</v>
      </c>
    </row>
    <row r="649" spans="1:7">
      <c r="A649" s="83">
        <v>4</v>
      </c>
      <c r="B649" s="83"/>
      <c r="C649" s="258"/>
      <c r="D649" s="258"/>
      <c r="E649" s="258"/>
      <c r="F649" s="258"/>
      <c r="G649" s="84">
        <f>ROUND(IF(COUNTA(B649:F649)=0,0,IF(C649="",1,C649)*IF(D649="",1,D649)*IF(E649="",1,E649)*IF(F649="",1,F649)),2)</f>
        <v>0</v>
      </c>
    </row>
    <row r="650" spans="1:7">
      <c r="A650" s="83">
        <v>5</v>
      </c>
      <c r="B650" s="83"/>
      <c r="C650" s="258"/>
      <c r="D650" s="258"/>
      <c r="E650" s="258"/>
      <c r="F650" s="258"/>
      <c r="G650" s="84">
        <f>ROUND(IF(COUNTA(B650:F650)=0,0,IF(C650="",1,C650)*IF(D650="",1,D650)*IF(E650="",1,E650)*IF(F650="",1,F650)),2)</f>
        <v>0</v>
      </c>
    </row>
    <row r="651" spans="1:7">
      <c r="A651" s="393" t="s">
        <v>266</v>
      </c>
      <c r="B651" s="393" t="s">
        <v>266</v>
      </c>
      <c r="C651" s="394" t="s">
        <v>266</v>
      </c>
      <c r="D651" s="394" t="s">
        <v>266</v>
      </c>
      <c r="E651" s="394" t="s">
        <v>266</v>
      </c>
      <c r="F651" s="394" t="s">
        <v>266</v>
      </c>
      <c r="G651" s="85">
        <f>ROUND(SUM(G646:G650),2)</f>
        <v>3</v>
      </c>
    </row>
    <row r="652" spans="1:7">
      <c r="A652" s="78"/>
      <c r="B652" s="78"/>
      <c r="C652" s="86"/>
      <c r="D652" s="86"/>
      <c r="E652" s="86"/>
      <c r="F652" s="86"/>
      <c r="G652" s="86"/>
    </row>
    <row r="653" spans="1:7" ht="46.15" customHeight="1">
      <c r="A653" s="80" t="s">
        <v>438</v>
      </c>
      <c r="B653" s="80" t="s">
        <v>221</v>
      </c>
      <c r="C653" s="392" t="s">
        <v>222</v>
      </c>
      <c r="D653" s="392"/>
      <c r="E653" s="392"/>
      <c r="F653" s="392"/>
      <c r="G653" s="81" t="s">
        <v>65</v>
      </c>
    </row>
    <row r="654" spans="1:7">
      <c r="A654" s="79" t="s">
        <v>258</v>
      </c>
      <c r="B654" s="79" t="s">
        <v>259</v>
      </c>
      <c r="C654" s="82" t="s">
        <v>260</v>
      </c>
      <c r="D654" s="82" t="s">
        <v>261</v>
      </c>
      <c r="E654" s="82" t="s">
        <v>262</v>
      </c>
      <c r="F654" s="82" t="s">
        <v>263</v>
      </c>
      <c r="G654" s="82" t="s">
        <v>264</v>
      </c>
    </row>
    <row r="655" spans="1:7">
      <c r="A655" s="83">
        <v>1</v>
      </c>
      <c r="B655" s="83" t="s">
        <v>439</v>
      </c>
      <c r="C655" s="258">
        <v>40</v>
      </c>
      <c r="D655" s="258">
        <v>1.25</v>
      </c>
      <c r="E655" s="258"/>
      <c r="F655" s="258">
        <v>1</v>
      </c>
      <c r="G655" s="84">
        <f>ROUND(IF(COUNTA(B655:F655)=0,0,IF(C655="",1,C655)*IF(D655="",1,D655)*IF(E655="",1,E655)*IF(F655="",1,F655)),2)</f>
        <v>50</v>
      </c>
    </row>
    <row r="656" spans="1:7">
      <c r="A656" s="83">
        <v>2</v>
      </c>
      <c r="B656" s="83"/>
      <c r="C656" s="258"/>
      <c r="D656" s="258"/>
      <c r="E656" s="258"/>
      <c r="F656" s="258"/>
      <c r="G656" s="84">
        <f>ROUND(IF(COUNTA(B656:F656)=0,0,IF(C656="",1,C656)*IF(D656="",1,D656)*IF(E656="",1,E656)*IF(F656="",1,F656)),2)</f>
        <v>0</v>
      </c>
    </row>
    <row r="657" spans="1:7">
      <c r="A657" s="83">
        <v>3</v>
      </c>
      <c r="B657" s="83"/>
      <c r="C657" s="258"/>
      <c r="D657" s="258"/>
      <c r="E657" s="258"/>
      <c r="F657" s="258"/>
      <c r="G657" s="84">
        <f>ROUND(IF(COUNTA(B657:F657)=0,0,IF(C657="",1,C657)*IF(D657="",1,D657)*IF(E657="",1,E657)*IF(F657="",1,F657)),2)</f>
        <v>0</v>
      </c>
    </row>
    <row r="658" spans="1:7">
      <c r="A658" s="83">
        <v>4</v>
      </c>
      <c r="B658" s="83"/>
      <c r="C658" s="258"/>
      <c r="D658" s="258"/>
      <c r="E658" s="258"/>
      <c r="F658" s="258"/>
      <c r="G658" s="84">
        <f>ROUND(IF(COUNTA(B658:F658)=0,0,IF(C658="",1,C658)*IF(D658="",1,D658)*IF(E658="",1,E658)*IF(F658="",1,F658)),2)</f>
        <v>0</v>
      </c>
    </row>
    <row r="659" spans="1:7">
      <c r="A659" s="83">
        <v>5</v>
      </c>
      <c r="B659" s="83"/>
      <c r="C659" s="258"/>
      <c r="D659" s="258"/>
      <c r="E659" s="258"/>
      <c r="F659" s="258"/>
      <c r="G659" s="84">
        <f>ROUND(IF(COUNTA(B659:F659)=0,0,IF(C659="",1,C659)*IF(D659="",1,D659)*IF(E659="",1,E659)*IF(F659="",1,F659)),2)</f>
        <v>0</v>
      </c>
    </row>
    <row r="660" spans="1:7">
      <c r="A660" s="393" t="s">
        <v>266</v>
      </c>
      <c r="B660" s="393" t="s">
        <v>266</v>
      </c>
      <c r="C660" s="394" t="s">
        <v>266</v>
      </c>
      <c r="D660" s="394" t="s">
        <v>266</v>
      </c>
      <c r="E660" s="394" t="s">
        <v>266</v>
      </c>
      <c r="F660" s="394" t="s">
        <v>266</v>
      </c>
      <c r="G660" s="85">
        <f>ROUND(SUM(G655:G659),2)</f>
        <v>50</v>
      </c>
    </row>
    <row r="661" spans="1:7">
      <c r="A661" s="78"/>
      <c r="B661" s="78"/>
      <c r="C661" s="86"/>
      <c r="D661" s="86"/>
      <c r="E661" s="86"/>
      <c r="F661" s="86"/>
      <c r="G661" s="86"/>
    </row>
    <row r="662" spans="1:7" ht="33" customHeight="1">
      <c r="A662" s="80" t="s">
        <v>440</v>
      </c>
      <c r="B662" s="80" t="s">
        <v>223</v>
      </c>
      <c r="C662" s="392" t="s">
        <v>224</v>
      </c>
      <c r="D662" s="392"/>
      <c r="E662" s="392"/>
      <c r="F662" s="392"/>
      <c r="G662" s="81" t="s">
        <v>65</v>
      </c>
    </row>
    <row r="663" spans="1:7">
      <c r="A663" s="79" t="s">
        <v>258</v>
      </c>
      <c r="B663" s="79" t="s">
        <v>259</v>
      </c>
      <c r="C663" s="82" t="s">
        <v>260</v>
      </c>
      <c r="D663" s="82" t="s">
        <v>261</v>
      </c>
      <c r="E663" s="82" t="s">
        <v>262</v>
      </c>
      <c r="F663" s="82" t="s">
        <v>263</v>
      </c>
      <c r="G663" s="82" t="s">
        <v>264</v>
      </c>
    </row>
    <row r="664" spans="1:7">
      <c r="A664" s="83">
        <v>1</v>
      </c>
      <c r="B664" s="83" t="s">
        <v>441</v>
      </c>
      <c r="C664" s="258">
        <v>8.1</v>
      </c>
      <c r="D664" s="258">
        <v>2</v>
      </c>
      <c r="E664" s="258"/>
      <c r="F664" s="258">
        <v>1</v>
      </c>
      <c r="G664" s="84">
        <f>ROUND(IF(COUNTA(B664:F664)=0,0,IF(C664="",1,C664)*IF(D664="",1,D664)*IF(E664="",1,E664)*IF(F664="",1,F664)),2)</f>
        <v>16.2</v>
      </c>
    </row>
    <row r="665" spans="1:7">
      <c r="A665" s="83">
        <v>2</v>
      </c>
      <c r="B665" s="83"/>
      <c r="C665" s="258"/>
      <c r="D665" s="258"/>
      <c r="E665" s="258"/>
      <c r="F665" s="258"/>
      <c r="G665" s="84">
        <f>ROUND(IF(COUNTA(B665:F665)=0,0,IF(C665="",1,C665)*IF(D665="",1,D665)*IF(E665="",1,E665)*IF(F665="",1,F665)),2)</f>
        <v>0</v>
      </c>
    </row>
    <row r="666" spans="1:7">
      <c r="A666" s="83">
        <v>3</v>
      </c>
      <c r="B666" s="83"/>
      <c r="C666" s="258"/>
      <c r="D666" s="258"/>
      <c r="E666" s="258"/>
      <c r="F666" s="258"/>
      <c r="G666" s="84">
        <f>ROUND(IF(COUNTA(B666:F666)=0,0,IF(C666="",1,C666)*IF(D666="",1,D666)*IF(E666="",1,E666)*IF(F666="",1,F666)),2)</f>
        <v>0</v>
      </c>
    </row>
    <row r="667" spans="1:7">
      <c r="A667" s="83">
        <v>4</v>
      </c>
      <c r="B667" s="83"/>
      <c r="C667" s="258"/>
      <c r="D667" s="258"/>
      <c r="E667" s="258"/>
      <c r="F667" s="258"/>
      <c r="G667" s="84">
        <f>ROUND(IF(COUNTA(B667:F667)=0,0,IF(C667="",1,C667)*IF(D667="",1,D667)*IF(E667="",1,E667)*IF(F667="",1,F667)),2)</f>
        <v>0</v>
      </c>
    </row>
    <row r="668" spans="1:7">
      <c r="A668" s="83">
        <v>5</v>
      </c>
      <c r="B668" s="83"/>
      <c r="C668" s="258"/>
      <c r="D668" s="258"/>
      <c r="E668" s="258"/>
      <c r="F668" s="258"/>
      <c r="G668" s="84">
        <f>ROUND(IF(COUNTA(B668:F668)=0,0,IF(C668="",1,C668)*IF(D668="",1,D668)*IF(E668="",1,E668)*IF(F668="",1,F668)),2)</f>
        <v>0</v>
      </c>
    </row>
    <row r="669" spans="1:7">
      <c r="A669" s="393" t="s">
        <v>266</v>
      </c>
      <c r="B669" s="393" t="s">
        <v>266</v>
      </c>
      <c r="C669" s="394" t="s">
        <v>266</v>
      </c>
      <c r="D669" s="394" t="s">
        <v>266</v>
      </c>
      <c r="E669" s="394" t="s">
        <v>266</v>
      </c>
      <c r="F669" s="394" t="s">
        <v>266</v>
      </c>
      <c r="G669" s="85">
        <f>ROUND(SUM(G664:G668),2)</f>
        <v>16.2</v>
      </c>
    </row>
    <row r="670" spans="1:7">
      <c r="A670" s="78"/>
      <c r="B670" s="78"/>
      <c r="C670" s="86"/>
      <c r="D670" s="86"/>
      <c r="E670" s="86"/>
      <c r="F670" s="86"/>
      <c r="G670" s="86"/>
    </row>
    <row r="671" spans="1:7" ht="34.15" customHeight="1">
      <c r="A671" s="80" t="s">
        <v>442</v>
      </c>
      <c r="B671" s="80" t="s">
        <v>225</v>
      </c>
      <c r="C671" s="392" t="s">
        <v>226</v>
      </c>
      <c r="D671" s="392"/>
      <c r="E671" s="392"/>
      <c r="F671" s="392"/>
      <c r="G671" s="81" t="s">
        <v>65</v>
      </c>
    </row>
    <row r="672" spans="1:7">
      <c r="A672" s="79" t="s">
        <v>258</v>
      </c>
      <c r="B672" s="79" t="s">
        <v>259</v>
      </c>
      <c r="C672" s="82" t="s">
        <v>260</v>
      </c>
      <c r="D672" s="82" t="s">
        <v>261</v>
      </c>
      <c r="E672" s="82" t="s">
        <v>262</v>
      </c>
      <c r="F672" s="82" t="s">
        <v>263</v>
      </c>
      <c r="G672" s="82" t="s">
        <v>264</v>
      </c>
    </row>
    <row r="673" spans="1:7">
      <c r="A673" s="83">
        <v>1</v>
      </c>
      <c r="B673" s="83" t="s">
        <v>443</v>
      </c>
      <c r="C673" s="258">
        <v>1</v>
      </c>
      <c r="D673" s="258">
        <v>0.7</v>
      </c>
      <c r="E673" s="258"/>
      <c r="F673" s="258">
        <v>3</v>
      </c>
      <c r="G673" s="84">
        <f>ROUND(IF(COUNTA(B673:F673)=0,0,IF(C673="",1,C673)*IF(D673="",1,D673)*IF(E673="",1,E673)*IF(F673="",1,F673)),2)</f>
        <v>2.1</v>
      </c>
    </row>
    <row r="674" spans="1:7">
      <c r="A674" s="83">
        <v>2</v>
      </c>
      <c r="B674" s="83"/>
      <c r="C674" s="258"/>
      <c r="D674" s="258"/>
      <c r="E674" s="258"/>
      <c r="F674" s="258"/>
      <c r="G674" s="84">
        <f>ROUND(IF(COUNTA(B674:F674)=0,0,IF(C674="",1,C674)*IF(D674="",1,D674)*IF(E674="",1,E674)*IF(F674="",1,F674)),2)</f>
        <v>0</v>
      </c>
    </row>
    <row r="675" spans="1:7">
      <c r="A675" s="83">
        <v>3</v>
      </c>
      <c r="B675" s="83"/>
      <c r="C675" s="258"/>
      <c r="D675" s="258"/>
      <c r="E675" s="258"/>
      <c r="F675" s="258"/>
      <c r="G675" s="84">
        <f>ROUND(IF(COUNTA(B675:F675)=0,0,IF(C675="",1,C675)*IF(D675="",1,D675)*IF(E675="",1,E675)*IF(F675="",1,F675)),2)</f>
        <v>0</v>
      </c>
    </row>
    <row r="676" spans="1:7">
      <c r="A676" s="83">
        <v>4</v>
      </c>
      <c r="B676" s="83"/>
      <c r="C676" s="258"/>
      <c r="D676" s="258"/>
      <c r="E676" s="258"/>
      <c r="F676" s="258"/>
      <c r="G676" s="84">
        <f>ROUND(IF(COUNTA(B676:F676)=0,0,IF(C676="",1,C676)*IF(D676="",1,D676)*IF(E676="",1,E676)*IF(F676="",1,F676)),2)</f>
        <v>0</v>
      </c>
    </row>
    <row r="677" spans="1:7">
      <c r="A677" s="83">
        <v>5</v>
      </c>
      <c r="B677" s="83"/>
      <c r="C677" s="258"/>
      <c r="D677" s="258"/>
      <c r="E677" s="258"/>
      <c r="F677" s="258"/>
      <c r="G677" s="84">
        <f>ROUND(IF(COUNTA(B677:F677)=0,0,IF(C677="",1,C677)*IF(D677="",1,D677)*IF(E677="",1,E677)*IF(F677="",1,F677)),2)</f>
        <v>0</v>
      </c>
    </row>
    <row r="678" spans="1:7">
      <c r="A678" s="393" t="s">
        <v>266</v>
      </c>
      <c r="B678" s="393" t="s">
        <v>266</v>
      </c>
      <c r="C678" s="394" t="s">
        <v>266</v>
      </c>
      <c r="D678" s="394" t="s">
        <v>266</v>
      </c>
      <c r="E678" s="394" t="s">
        <v>266</v>
      </c>
      <c r="F678" s="394" t="s">
        <v>266</v>
      </c>
      <c r="G678" s="85">
        <f>ROUND(SUM(G673:G677),2)</f>
        <v>2.1</v>
      </c>
    </row>
    <row r="679" spans="1:7">
      <c r="A679" s="78"/>
      <c r="B679" s="78"/>
      <c r="C679" s="86"/>
      <c r="D679" s="86"/>
      <c r="E679" s="86"/>
      <c r="F679" s="86"/>
      <c r="G679" s="86"/>
    </row>
    <row r="680" spans="1:7" ht="45" customHeight="1">
      <c r="A680" s="80" t="s">
        <v>444</v>
      </c>
      <c r="B680" s="80" t="s">
        <v>227</v>
      </c>
      <c r="C680" s="392" t="s">
        <v>228</v>
      </c>
      <c r="D680" s="392"/>
      <c r="E680" s="392"/>
      <c r="F680" s="392"/>
      <c r="G680" s="81" t="s">
        <v>103</v>
      </c>
    </row>
    <row r="681" spans="1:7">
      <c r="A681" s="79" t="s">
        <v>258</v>
      </c>
      <c r="B681" s="79" t="s">
        <v>259</v>
      </c>
      <c r="C681" s="82" t="s">
        <v>260</v>
      </c>
      <c r="D681" s="82" t="s">
        <v>261</v>
      </c>
      <c r="E681" s="82" t="s">
        <v>262</v>
      </c>
      <c r="F681" s="82" t="s">
        <v>263</v>
      </c>
      <c r="G681" s="82" t="s">
        <v>264</v>
      </c>
    </row>
    <row r="682" spans="1:7">
      <c r="A682" s="83">
        <v>1</v>
      </c>
      <c r="B682" s="83" t="s">
        <v>431</v>
      </c>
      <c r="C682" s="258"/>
      <c r="D682" s="258"/>
      <c r="E682" s="258"/>
      <c r="F682" s="258">
        <v>3</v>
      </c>
      <c r="G682" s="84">
        <f>ROUND(IF(COUNTA(B682:F682)=0,0,IF(C682="",1,C682)*IF(D682="",1,D682)*IF(E682="",1,E682)*IF(F682="",1,F682)),2)</f>
        <v>3</v>
      </c>
    </row>
    <row r="683" spans="1:7">
      <c r="A683" s="83">
        <v>2</v>
      </c>
      <c r="B683" s="83"/>
      <c r="C683" s="258"/>
      <c r="D683" s="258"/>
      <c r="E683" s="258"/>
      <c r="F683" s="258"/>
      <c r="G683" s="84">
        <f>ROUND(IF(COUNTA(B683:F683)=0,0,IF(C683="",1,C683)*IF(D683="",1,D683)*IF(E683="",1,E683)*IF(F683="",1,F683)),2)</f>
        <v>0</v>
      </c>
    </row>
    <row r="684" spans="1:7">
      <c r="A684" s="83">
        <v>3</v>
      </c>
      <c r="B684" s="83"/>
      <c r="C684" s="258"/>
      <c r="D684" s="258"/>
      <c r="E684" s="258"/>
      <c r="F684" s="258"/>
      <c r="G684" s="84">
        <f>ROUND(IF(COUNTA(B684:F684)=0,0,IF(C684="",1,C684)*IF(D684="",1,D684)*IF(E684="",1,E684)*IF(F684="",1,F684)),2)</f>
        <v>0</v>
      </c>
    </row>
    <row r="685" spans="1:7">
      <c r="A685" s="83">
        <v>4</v>
      </c>
      <c r="B685" s="83"/>
      <c r="C685" s="258"/>
      <c r="D685" s="258"/>
      <c r="E685" s="258"/>
      <c r="F685" s="258"/>
      <c r="G685" s="84">
        <f>ROUND(IF(COUNTA(B685:F685)=0,0,IF(C685="",1,C685)*IF(D685="",1,D685)*IF(E685="",1,E685)*IF(F685="",1,F685)),2)</f>
        <v>0</v>
      </c>
    </row>
    <row r="686" spans="1:7">
      <c r="A686" s="83">
        <v>5</v>
      </c>
      <c r="B686" s="83"/>
      <c r="C686" s="258"/>
      <c r="D686" s="258"/>
      <c r="E686" s="258"/>
      <c r="F686" s="258"/>
      <c r="G686" s="84">
        <f>ROUND(IF(COUNTA(B686:F686)=0,0,IF(C686="",1,C686)*IF(D686="",1,D686)*IF(E686="",1,E686)*IF(F686="",1,F686)),2)</f>
        <v>0</v>
      </c>
    </row>
    <row r="687" spans="1:7">
      <c r="A687" s="393" t="s">
        <v>266</v>
      </c>
      <c r="B687" s="393" t="s">
        <v>266</v>
      </c>
      <c r="C687" s="394" t="s">
        <v>266</v>
      </c>
      <c r="D687" s="394" t="s">
        <v>266</v>
      </c>
      <c r="E687" s="394" t="s">
        <v>266</v>
      </c>
      <c r="F687" s="394" t="s">
        <v>266</v>
      </c>
      <c r="G687" s="85">
        <f>ROUND(SUM(G682:G686),2)</f>
        <v>3</v>
      </c>
    </row>
    <row r="688" spans="1:7">
      <c r="A688" s="78"/>
      <c r="B688" s="78"/>
      <c r="C688" s="86"/>
      <c r="D688" s="86"/>
      <c r="E688" s="86"/>
      <c r="F688" s="86"/>
      <c r="G688" s="86"/>
    </row>
    <row r="689" spans="1:7" ht="42" customHeight="1">
      <c r="A689" s="80" t="s">
        <v>445</v>
      </c>
      <c r="B689" s="80" t="s">
        <v>229</v>
      </c>
      <c r="C689" s="392" t="s">
        <v>230</v>
      </c>
      <c r="D689" s="392"/>
      <c r="E689" s="392"/>
      <c r="F689" s="392"/>
      <c r="G689" s="81" t="s">
        <v>103</v>
      </c>
    </row>
    <row r="690" spans="1:7">
      <c r="A690" s="79" t="s">
        <v>258</v>
      </c>
      <c r="B690" s="79" t="s">
        <v>259</v>
      </c>
      <c r="C690" s="82" t="s">
        <v>260</v>
      </c>
      <c r="D690" s="82" t="s">
        <v>261</v>
      </c>
      <c r="E690" s="82" t="s">
        <v>262</v>
      </c>
      <c r="F690" s="82" t="s">
        <v>263</v>
      </c>
      <c r="G690" s="82" t="s">
        <v>264</v>
      </c>
    </row>
    <row r="691" spans="1:7">
      <c r="A691" s="83">
        <v>1</v>
      </c>
      <c r="B691" s="83" t="s">
        <v>446</v>
      </c>
      <c r="C691" s="258"/>
      <c r="D691" s="258"/>
      <c r="E691" s="258"/>
      <c r="F691" s="258">
        <v>1</v>
      </c>
      <c r="G691" s="84">
        <f>ROUND(IF(COUNTA(B691:F691)=0,0,IF(C691="",1,C691)*IF(D691="",1,D691)*IF(E691="",1,E691)*IF(F691="",1,F691)),2)</f>
        <v>1</v>
      </c>
    </row>
    <row r="692" spans="1:7">
      <c r="A692" s="83">
        <v>2</v>
      </c>
      <c r="B692" s="83"/>
      <c r="C692" s="258"/>
      <c r="D692" s="258"/>
      <c r="E692" s="258"/>
      <c r="F692" s="258"/>
      <c r="G692" s="84">
        <f>ROUND(IF(COUNTA(B692:F692)=0,0,IF(C692="",1,C692)*IF(D692="",1,D692)*IF(E692="",1,E692)*IF(F692="",1,F692)),2)</f>
        <v>0</v>
      </c>
    </row>
    <row r="693" spans="1:7">
      <c r="A693" s="83">
        <v>3</v>
      </c>
      <c r="B693" s="83"/>
      <c r="C693" s="258"/>
      <c r="D693" s="258"/>
      <c r="E693" s="258"/>
      <c r="F693" s="258"/>
      <c r="G693" s="84">
        <f>ROUND(IF(COUNTA(B693:F693)=0,0,IF(C693="",1,C693)*IF(D693="",1,D693)*IF(E693="",1,E693)*IF(F693="",1,F693)),2)</f>
        <v>0</v>
      </c>
    </row>
    <row r="694" spans="1:7">
      <c r="A694" s="83">
        <v>4</v>
      </c>
      <c r="B694" s="83"/>
      <c r="C694" s="258"/>
      <c r="D694" s="258"/>
      <c r="E694" s="258"/>
      <c r="F694" s="258"/>
      <c r="G694" s="84">
        <f>ROUND(IF(COUNTA(B694:F694)=0,0,IF(C694="",1,C694)*IF(D694="",1,D694)*IF(E694="",1,E694)*IF(F694="",1,F694)),2)</f>
        <v>0</v>
      </c>
    </row>
    <row r="695" spans="1:7">
      <c r="A695" s="83">
        <v>5</v>
      </c>
      <c r="B695" s="83"/>
      <c r="C695" s="258"/>
      <c r="D695" s="258"/>
      <c r="E695" s="258"/>
      <c r="F695" s="258"/>
      <c r="G695" s="84">
        <f>ROUND(IF(COUNTA(B695:F695)=0,0,IF(C695="",1,C695)*IF(D695="",1,D695)*IF(E695="",1,E695)*IF(F695="",1,F695)),2)</f>
        <v>0</v>
      </c>
    </row>
    <row r="696" spans="1:7">
      <c r="A696" s="393" t="s">
        <v>266</v>
      </c>
      <c r="B696" s="393" t="s">
        <v>266</v>
      </c>
      <c r="C696" s="394" t="s">
        <v>266</v>
      </c>
      <c r="D696" s="394" t="s">
        <v>266</v>
      </c>
      <c r="E696" s="394" t="s">
        <v>266</v>
      </c>
      <c r="F696" s="394" t="s">
        <v>266</v>
      </c>
      <c r="G696" s="85">
        <f>ROUND(SUM(G691:G695),2)</f>
        <v>1</v>
      </c>
    </row>
    <row r="697" spans="1:7">
      <c r="A697" s="78"/>
      <c r="B697" s="78"/>
      <c r="C697" s="86"/>
      <c r="D697" s="86"/>
      <c r="E697" s="86"/>
      <c r="F697" s="86"/>
      <c r="G697" s="86"/>
    </row>
    <row r="698" spans="1:7" ht="47.45" customHeight="1">
      <c r="A698" s="80" t="s">
        <v>447</v>
      </c>
      <c r="B698" s="80" t="s">
        <v>231</v>
      </c>
      <c r="C698" s="392" t="s">
        <v>232</v>
      </c>
      <c r="D698" s="392"/>
      <c r="E698" s="392"/>
      <c r="F698" s="392"/>
      <c r="G698" s="81" t="s">
        <v>103</v>
      </c>
    </row>
    <row r="699" spans="1:7">
      <c r="A699" s="79" t="s">
        <v>258</v>
      </c>
      <c r="B699" s="79" t="s">
        <v>259</v>
      </c>
      <c r="C699" s="82" t="s">
        <v>260</v>
      </c>
      <c r="D699" s="82" t="s">
        <v>261</v>
      </c>
      <c r="E699" s="82" t="s">
        <v>262</v>
      </c>
      <c r="F699" s="82" t="s">
        <v>263</v>
      </c>
      <c r="G699" s="82" t="s">
        <v>264</v>
      </c>
    </row>
    <row r="700" spans="1:7">
      <c r="A700" s="83">
        <v>1</v>
      </c>
      <c r="B700" s="83" t="s">
        <v>448</v>
      </c>
      <c r="C700" s="258"/>
      <c r="D700" s="258"/>
      <c r="E700" s="258"/>
      <c r="F700" s="258">
        <v>4</v>
      </c>
      <c r="G700" s="84">
        <f>ROUND(IF(COUNTA(B700:F700)=0,0,IF(C700="",1,C700)*IF(D700="",1,D700)*IF(E700="",1,E700)*IF(F700="",1,F700)),2)</f>
        <v>4</v>
      </c>
    </row>
    <row r="701" spans="1:7">
      <c r="A701" s="83">
        <v>2</v>
      </c>
      <c r="B701" s="83"/>
      <c r="C701" s="258"/>
      <c r="D701" s="258"/>
      <c r="E701" s="258"/>
      <c r="F701" s="258"/>
      <c r="G701" s="84">
        <f>ROUND(IF(COUNTA(B701:F701)=0,0,IF(C701="",1,C701)*IF(D701="",1,D701)*IF(E701="",1,E701)*IF(F701="",1,F701)),2)</f>
        <v>0</v>
      </c>
    </row>
    <row r="702" spans="1:7">
      <c r="A702" s="83">
        <v>3</v>
      </c>
      <c r="B702" s="83"/>
      <c r="C702" s="258"/>
      <c r="D702" s="258"/>
      <c r="E702" s="258"/>
      <c r="F702" s="258"/>
      <c r="G702" s="84">
        <f>ROUND(IF(COUNTA(B702:F702)=0,0,IF(C702="",1,C702)*IF(D702="",1,D702)*IF(E702="",1,E702)*IF(F702="",1,F702)),2)</f>
        <v>0</v>
      </c>
    </row>
    <row r="703" spans="1:7">
      <c r="A703" s="83">
        <v>4</v>
      </c>
      <c r="B703" s="83"/>
      <c r="C703" s="258"/>
      <c r="D703" s="258"/>
      <c r="E703" s="258"/>
      <c r="F703" s="258"/>
      <c r="G703" s="84">
        <f>ROUND(IF(COUNTA(B703:F703)=0,0,IF(C703="",1,C703)*IF(D703="",1,D703)*IF(E703="",1,E703)*IF(F703="",1,F703)),2)</f>
        <v>0</v>
      </c>
    </row>
    <row r="704" spans="1:7">
      <c r="A704" s="83">
        <v>5</v>
      </c>
      <c r="B704" s="83"/>
      <c r="C704" s="258"/>
      <c r="D704" s="258"/>
      <c r="E704" s="258"/>
      <c r="F704" s="258"/>
      <c r="G704" s="84">
        <f>ROUND(IF(COUNTA(B704:F704)=0,0,IF(C704="",1,C704)*IF(D704="",1,D704)*IF(E704="",1,E704)*IF(F704="",1,F704)),2)</f>
        <v>0</v>
      </c>
    </row>
    <row r="705" spans="1:7">
      <c r="A705" s="393" t="s">
        <v>266</v>
      </c>
      <c r="B705" s="393" t="s">
        <v>266</v>
      </c>
      <c r="C705" s="394" t="s">
        <v>266</v>
      </c>
      <c r="D705" s="394" t="s">
        <v>266</v>
      </c>
      <c r="E705" s="394" t="s">
        <v>266</v>
      </c>
      <c r="F705" s="394" t="s">
        <v>266</v>
      </c>
      <c r="G705" s="85">
        <f>ROUND(SUM(G700:G704),2)</f>
        <v>4</v>
      </c>
    </row>
    <row r="706" spans="1:7">
      <c r="A706" s="78"/>
      <c r="B706" s="78"/>
      <c r="C706" s="86"/>
      <c r="D706" s="86"/>
      <c r="E706" s="86"/>
      <c r="F706" s="86"/>
      <c r="G706" s="86"/>
    </row>
    <row r="707" spans="1:7" ht="28.15" customHeight="1">
      <c r="A707" s="80" t="s">
        <v>449</v>
      </c>
      <c r="B707" s="80" t="s">
        <v>233</v>
      </c>
      <c r="C707" s="392" t="s">
        <v>234</v>
      </c>
      <c r="D707" s="392"/>
      <c r="E707" s="392"/>
      <c r="F707" s="392"/>
      <c r="G707" s="81" t="s">
        <v>103</v>
      </c>
    </row>
    <row r="708" spans="1:7">
      <c r="A708" s="79" t="s">
        <v>258</v>
      </c>
      <c r="B708" s="79" t="s">
        <v>259</v>
      </c>
      <c r="C708" s="82" t="s">
        <v>260</v>
      </c>
      <c r="D708" s="82" t="s">
        <v>261</v>
      </c>
      <c r="E708" s="82" t="s">
        <v>262</v>
      </c>
      <c r="F708" s="82" t="s">
        <v>263</v>
      </c>
      <c r="G708" s="82" t="s">
        <v>264</v>
      </c>
    </row>
    <row r="709" spans="1:7">
      <c r="A709" s="83">
        <v>1</v>
      </c>
      <c r="B709" s="83" t="s">
        <v>425</v>
      </c>
      <c r="C709" s="258"/>
      <c r="D709" s="258"/>
      <c r="E709" s="258"/>
      <c r="F709" s="258">
        <v>3</v>
      </c>
      <c r="G709" s="84">
        <f>ROUND(IF(COUNTA(B709:F709)=0,0,IF(C709="",1,C709)*IF(D709="",1,D709)*IF(E709="",1,E709)*IF(F709="",1,F709)),2)</f>
        <v>3</v>
      </c>
    </row>
    <row r="710" spans="1:7">
      <c r="A710" s="83">
        <v>2</v>
      </c>
      <c r="B710" s="83"/>
      <c r="C710" s="258"/>
      <c r="D710" s="258"/>
      <c r="E710" s="258"/>
      <c r="F710" s="258"/>
      <c r="G710" s="84">
        <f>ROUND(IF(COUNTA(B710:F710)=0,0,IF(C710="",1,C710)*IF(D710="",1,D710)*IF(E710="",1,E710)*IF(F710="",1,F710)),2)</f>
        <v>0</v>
      </c>
    </row>
    <row r="711" spans="1:7">
      <c r="A711" s="83">
        <v>3</v>
      </c>
      <c r="B711" s="83"/>
      <c r="C711" s="258"/>
      <c r="D711" s="258"/>
      <c r="E711" s="258"/>
      <c r="F711" s="258"/>
      <c r="G711" s="84">
        <f>ROUND(IF(COUNTA(B711:F711)=0,0,IF(C711="",1,C711)*IF(D711="",1,D711)*IF(E711="",1,E711)*IF(F711="",1,F711)),2)</f>
        <v>0</v>
      </c>
    </row>
    <row r="712" spans="1:7">
      <c r="A712" s="83">
        <v>4</v>
      </c>
      <c r="B712" s="83"/>
      <c r="C712" s="258"/>
      <c r="D712" s="258"/>
      <c r="E712" s="258"/>
      <c r="F712" s="258"/>
      <c r="G712" s="84">
        <f>ROUND(IF(COUNTA(B712:F712)=0,0,IF(C712="",1,C712)*IF(D712="",1,D712)*IF(E712="",1,E712)*IF(F712="",1,F712)),2)</f>
        <v>0</v>
      </c>
    </row>
    <row r="713" spans="1:7">
      <c r="A713" s="83">
        <v>5</v>
      </c>
      <c r="B713" s="83"/>
      <c r="C713" s="258"/>
      <c r="D713" s="258"/>
      <c r="E713" s="258"/>
      <c r="F713" s="258"/>
      <c r="G713" s="84">
        <f>ROUND(IF(COUNTA(B713:F713)=0,0,IF(C713="",1,C713)*IF(D713="",1,D713)*IF(E713="",1,E713)*IF(F713="",1,F713)),2)</f>
        <v>0</v>
      </c>
    </row>
    <row r="714" spans="1:7">
      <c r="A714" s="393" t="s">
        <v>266</v>
      </c>
      <c r="B714" s="393" t="s">
        <v>266</v>
      </c>
      <c r="C714" s="394" t="s">
        <v>266</v>
      </c>
      <c r="D714" s="394" t="s">
        <v>266</v>
      </c>
      <c r="E714" s="394" t="s">
        <v>266</v>
      </c>
      <c r="F714" s="394" t="s">
        <v>266</v>
      </c>
      <c r="G714" s="85">
        <f>ROUND(SUM(G709:G713),2)</f>
        <v>3</v>
      </c>
    </row>
    <row r="715" spans="1:7">
      <c r="A715" s="78"/>
      <c r="B715" s="78"/>
      <c r="C715" s="86"/>
      <c r="D715" s="86"/>
      <c r="E715" s="86"/>
      <c r="F715" s="86"/>
      <c r="G715" s="86"/>
    </row>
    <row r="716" spans="1:7" ht="58.15" customHeight="1">
      <c r="A716" s="80" t="s">
        <v>450</v>
      </c>
      <c r="B716" s="80" t="s">
        <v>235</v>
      </c>
      <c r="C716" s="392" t="s">
        <v>236</v>
      </c>
      <c r="D716" s="392"/>
      <c r="E716" s="392"/>
      <c r="F716" s="392"/>
      <c r="G716" s="81" t="s">
        <v>103</v>
      </c>
    </row>
    <row r="717" spans="1:7">
      <c r="A717" s="79" t="s">
        <v>258</v>
      </c>
      <c r="B717" s="79" t="s">
        <v>259</v>
      </c>
      <c r="C717" s="82" t="s">
        <v>260</v>
      </c>
      <c r="D717" s="82" t="s">
        <v>261</v>
      </c>
      <c r="E717" s="82" t="s">
        <v>262</v>
      </c>
      <c r="F717" s="82" t="s">
        <v>263</v>
      </c>
      <c r="G717" s="82" t="s">
        <v>264</v>
      </c>
    </row>
    <row r="718" spans="1:7">
      <c r="A718" s="83">
        <v>1</v>
      </c>
      <c r="B718" s="83" t="s">
        <v>451</v>
      </c>
      <c r="C718" s="258"/>
      <c r="D718" s="258"/>
      <c r="E718" s="258"/>
      <c r="F718" s="258">
        <v>1</v>
      </c>
      <c r="G718" s="84">
        <f>ROUND(IF(COUNTA(B718:F718)=0,0,IF(C718="",1,C718)*IF(D718="",1,D718)*IF(E718="",1,E718)*IF(F718="",1,F718)),2)</f>
        <v>1</v>
      </c>
    </row>
    <row r="719" spans="1:7">
      <c r="A719" s="83">
        <v>2</v>
      </c>
      <c r="B719" s="83"/>
      <c r="C719" s="258"/>
      <c r="D719" s="258"/>
      <c r="E719" s="258"/>
      <c r="F719" s="258"/>
      <c r="G719" s="84">
        <f>ROUND(IF(COUNTA(B719:F719)=0,0,IF(C719="",1,C719)*IF(D719="",1,D719)*IF(E719="",1,E719)*IF(F719="",1,F719)),2)</f>
        <v>0</v>
      </c>
    </row>
    <row r="720" spans="1:7">
      <c r="A720" s="83">
        <v>3</v>
      </c>
      <c r="B720" s="83"/>
      <c r="C720" s="258"/>
      <c r="D720" s="258"/>
      <c r="E720" s="258"/>
      <c r="F720" s="258"/>
      <c r="G720" s="84">
        <f>ROUND(IF(COUNTA(B720:F720)=0,0,IF(C720="",1,C720)*IF(D720="",1,D720)*IF(E720="",1,E720)*IF(F720="",1,F720)),2)</f>
        <v>0</v>
      </c>
    </row>
    <row r="721" spans="1:7">
      <c r="A721" s="83">
        <v>4</v>
      </c>
      <c r="B721" s="83"/>
      <c r="C721" s="258"/>
      <c r="D721" s="258"/>
      <c r="E721" s="258"/>
      <c r="F721" s="258"/>
      <c r="G721" s="84">
        <f>ROUND(IF(COUNTA(B721:F721)=0,0,IF(C721="",1,C721)*IF(D721="",1,D721)*IF(E721="",1,E721)*IF(F721="",1,F721)),2)</f>
        <v>0</v>
      </c>
    </row>
    <row r="722" spans="1:7">
      <c r="A722" s="83">
        <v>5</v>
      </c>
      <c r="B722" s="83"/>
      <c r="C722" s="258"/>
      <c r="D722" s="258"/>
      <c r="E722" s="258"/>
      <c r="F722" s="258"/>
      <c r="G722" s="84">
        <f>ROUND(IF(COUNTA(B722:F722)=0,0,IF(C722="",1,C722)*IF(D722="",1,D722)*IF(E722="",1,E722)*IF(F722="",1,F722)),2)</f>
        <v>0</v>
      </c>
    </row>
    <row r="723" spans="1:7">
      <c r="A723" s="393" t="s">
        <v>266</v>
      </c>
      <c r="B723" s="393" t="s">
        <v>266</v>
      </c>
      <c r="C723" s="394" t="s">
        <v>266</v>
      </c>
      <c r="D723" s="394" t="s">
        <v>266</v>
      </c>
      <c r="E723" s="394" t="s">
        <v>266</v>
      </c>
      <c r="F723" s="394" t="s">
        <v>266</v>
      </c>
      <c r="G723" s="85">
        <f>ROUND(SUM(G718:G722),2)</f>
        <v>1</v>
      </c>
    </row>
    <row r="724" spans="1:7">
      <c r="A724" s="78"/>
      <c r="B724" s="78"/>
      <c r="C724" s="86"/>
      <c r="D724" s="86"/>
      <c r="E724" s="86"/>
      <c r="F724" s="86"/>
      <c r="G724" s="86"/>
    </row>
    <row r="725" spans="1:7" ht="44.45" customHeight="1">
      <c r="A725" s="80" t="s">
        <v>452</v>
      </c>
      <c r="B725" s="80" t="s">
        <v>237</v>
      </c>
      <c r="C725" s="392" t="s">
        <v>238</v>
      </c>
      <c r="D725" s="392"/>
      <c r="E725" s="392"/>
      <c r="F725" s="392"/>
      <c r="G725" s="81" t="s">
        <v>103</v>
      </c>
    </row>
    <row r="726" spans="1:7">
      <c r="A726" s="79" t="s">
        <v>258</v>
      </c>
      <c r="B726" s="79" t="s">
        <v>259</v>
      </c>
      <c r="C726" s="82" t="s">
        <v>260</v>
      </c>
      <c r="D726" s="82" t="s">
        <v>261</v>
      </c>
      <c r="E726" s="82" t="s">
        <v>262</v>
      </c>
      <c r="F726" s="82" t="s">
        <v>263</v>
      </c>
      <c r="G726" s="82" t="s">
        <v>264</v>
      </c>
    </row>
    <row r="727" spans="1:7">
      <c r="A727" s="83">
        <v>1</v>
      </c>
      <c r="B727" s="83" t="s">
        <v>453</v>
      </c>
      <c r="C727" s="258"/>
      <c r="D727" s="258"/>
      <c r="E727" s="258"/>
      <c r="F727" s="258">
        <v>2</v>
      </c>
      <c r="G727" s="84">
        <f>ROUND(IF(COUNTA(B727:F727)=0,0,IF(C727="",1,C727)*IF(D727="",1,D727)*IF(E727="",1,E727)*IF(F727="",1,F727)),2)</f>
        <v>2</v>
      </c>
    </row>
    <row r="728" spans="1:7">
      <c r="A728" s="83">
        <v>2</v>
      </c>
      <c r="B728" s="83"/>
      <c r="C728" s="258"/>
      <c r="D728" s="258"/>
      <c r="E728" s="258"/>
      <c r="F728" s="258"/>
      <c r="G728" s="84">
        <f>ROUND(IF(COUNTA(B728:F728)=0,0,IF(C728="",1,C728)*IF(D728="",1,D728)*IF(E728="",1,E728)*IF(F728="",1,F728)),2)</f>
        <v>0</v>
      </c>
    </row>
    <row r="729" spans="1:7">
      <c r="A729" s="83">
        <v>3</v>
      </c>
      <c r="B729" s="83"/>
      <c r="C729" s="258"/>
      <c r="D729" s="258"/>
      <c r="E729" s="258"/>
      <c r="F729" s="258"/>
      <c r="G729" s="84">
        <f>ROUND(IF(COUNTA(B729:F729)=0,0,IF(C729="",1,C729)*IF(D729="",1,D729)*IF(E729="",1,E729)*IF(F729="",1,F729)),2)</f>
        <v>0</v>
      </c>
    </row>
    <row r="730" spans="1:7">
      <c r="A730" s="83">
        <v>4</v>
      </c>
      <c r="B730" s="83"/>
      <c r="C730" s="258"/>
      <c r="D730" s="258"/>
      <c r="E730" s="258"/>
      <c r="F730" s="258"/>
      <c r="G730" s="84">
        <f>ROUND(IF(COUNTA(B730:F730)=0,0,IF(C730="",1,C730)*IF(D730="",1,D730)*IF(E730="",1,E730)*IF(F730="",1,F730)),2)</f>
        <v>0</v>
      </c>
    </row>
    <row r="731" spans="1:7">
      <c r="A731" s="83">
        <v>5</v>
      </c>
      <c r="B731" s="83"/>
      <c r="C731" s="258"/>
      <c r="D731" s="258"/>
      <c r="E731" s="258"/>
      <c r="F731" s="258"/>
      <c r="G731" s="84">
        <f>ROUND(IF(COUNTA(B731:F731)=0,0,IF(C731="",1,C731)*IF(D731="",1,D731)*IF(E731="",1,E731)*IF(F731="",1,F731)),2)</f>
        <v>0</v>
      </c>
    </row>
    <row r="732" spans="1:7">
      <c r="A732" s="393" t="s">
        <v>266</v>
      </c>
      <c r="B732" s="393" t="s">
        <v>266</v>
      </c>
      <c r="C732" s="394" t="s">
        <v>266</v>
      </c>
      <c r="D732" s="394" t="s">
        <v>266</v>
      </c>
      <c r="E732" s="394" t="s">
        <v>266</v>
      </c>
      <c r="F732" s="394" t="s">
        <v>266</v>
      </c>
      <c r="G732" s="85">
        <f>ROUND(SUM(G727:G731),2)</f>
        <v>2</v>
      </c>
    </row>
    <row r="733" spans="1:7">
      <c r="A733" s="78"/>
      <c r="B733" s="78"/>
      <c r="C733" s="86"/>
      <c r="D733" s="86"/>
      <c r="E733" s="86"/>
      <c r="F733" s="86"/>
      <c r="G733" s="86"/>
    </row>
    <row r="734" spans="1:7" ht="35.450000000000003" customHeight="1">
      <c r="A734" s="80" t="s">
        <v>454</v>
      </c>
      <c r="B734" s="80" t="s">
        <v>239</v>
      </c>
      <c r="C734" s="392" t="s">
        <v>240</v>
      </c>
      <c r="D734" s="392"/>
      <c r="E734" s="392"/>
      <c r="F734" s="392"/>
      <c r="G734" s="81" t="s">
        <v>68</v>
      </c>
    </row>
    <row r="735" spans="1:7">
      <c r="A735" s="79" t="s">
        <v>258</v>
      </c>
      <c r="B735" s="79" t="s">
        <v>259</v>
      </c>
      <c r="C735" s="82" t="s">
        <v>260</v>
      </c>
      <c r="D735" s="82" t="s">
        <v>261</v>
      </c>
      <c r="E735" s="82" t="s">
        <v>262</v>
      </c>
      <c r="F735" s="82" t="s">
        <v>263</v>
      </c>
      <c r="G735" s="82" t="s">
        <v>264</v>
      </c>
    </row>
    <row r="736" spans="1:7">
      <c r="A736" s="83">
        <v>1</v>
      </c>
      <c r="B736" s="83"/>
      <c r="C736" s="258">
        <v>30</v>
      </c>
      <c r="D736" s="258"/>
      <c r="E736" s="258"/>
      <c r="F736" s="258">
        <v>1</v>
      </c>
      <c r="G736" s="84">
        <f>ROUND(IF(COUNTA(B736:F736)=0,0,IF(C736="",1,C736)*IF(D736="",1,D736)*IF(E736="",1,E736)*IF(F736="",1,F736)),2)</f>
        <v>30</v>
      </c>
    </row>
    <row r="737" spans="1:7">
      <c r="A737" s="83">
        <v>2</v>
      </c>
      <c r="B737" s="83"/>
      <c r="C737" s="258"/>
      <c r="D737" s="258"/>
      <c r="E737" s="258"/>
      <c r="F737" s="258"/>
      <c r="G737" s="84">
        <f>ROUND(IF(COUNTA(B737:F737)=0,0,IF(C737="",1,C737)*IF(D737="",1,D737)*IF(E737="",1,E737)*IF(F737="",1,F737)),2)</f>
        <v>0</v>
      </c>
    </row>
    <row r="738" spans="1:7">
      <c r="A738" s="83">
        <v>3</v>
      </c>
      <c r="B738" s="83"/>
      <c r="C738" s="258"/>
      <c r="D738" s="258"/>
      <c r="E738" s="258"/>
      <c r="F738" s="258"/>
      <c r="G738" s="84">
        <f>ROUND(IF(COUNTA(B738:F738)=0,0,IF(C738="",1,C738)*IF(D738="",1,D738)*IF(E738="",1,E738)*IF(F738="",1,F738)),2)</f>
        <v>0</v>
      </c>
    </row>
    <row r="739" spans="1:7">
      <c r="A739" s="83">
        <v>4</v>
      </c>
      <c r="B739" s="83"/>
      <c r="C739" s="258"/>
      <c r="D739" s="258"/>
      <c r="E739" s="258"/>
      <c r="F739" s="258"/>
      <c r="G739" s="84">
        <f>ROUND(IF(COUNTA(B739:F739)=0,0,IF(C739="",1,C739)*IF(D739="",1,D739)*IF(E739="",1,E739)*IF(F739="",1,F739)),2)</f>
        <v>0</v>
      </c>
    </row>
    <row r="740" spans="1:7">
      <c r="A740" s="83">
        <v>5</v>
      </c>
      <c r="B740" s="83"/>
      <c r="C740" s="258"/>
      <c r="D740" s="258"/>
      <c r="E740" s="258"/>
      <c r="F740" s="258"/>
      <c r="G740" s="84">
        <f>ROUND(IF(COUNTA(B740:F740)=0,0,IF(C740="",1,C740)*IF(D740="",1,D740)*IF(E740="",1,E740)*IF(F740="",1,F740)),2)</f>
        <v>0</v>
      </c>
    </row>
    <row r="741" spans="1:7">
      <c r="A741" s="393" t="s">
        <v>266</v>
      </c>
      <c r="B741" s="393" t="s">
        <v>266</v>
      </c>
      <c r="C741" s="394" t="s">
        <v>266</v>
      </c>
      <c r="D741" s="394" t="s">
        <v>266</v>
      </c>
      <c r="E741" s="394" t="s">
        <v>266</v>
      </c>
      <c r="F741" s="394" t="s">
        <v>266</v>
      </c>
      <c r="G741" s="85">
        <f>ROUND(SUM(G736:G740),2)</f>
        <v>30</v>
      </c>
    </row>
    <row r="742" spans="1:7">
      <c r="A742" s="78"/>
      <c r="B742" s="78"/>
      <c r="C742" s="86"/>
      <c r="D742" s="86"/>
      <c r="E742" s="86"/>
      <c r="F742" s="86"/>
      <c r="G742" s="86"/>
    </row>
    <row r="743" spans="1:7" ht="44.45" customHeight="1">
      <c r="A743" s="80" t="s">
        <v>455</v>
      </c>
      <c r="B743" s="80" t="s">
        <v>140</v>
      </c>
      <c r="C743" s="392" t="s">
        <v>242</v>
      </c>
      <c r="D743" s="392"/>
      <c r="E743" s="392"/>
      <c r="F743" s="392"/>
      <c r="G743" s="81" t="s">
        <v>103</v>
      </c>
    </row>
    <row r="744" spans="1:7">
      <c r="A744" s="79" t="s">
        <v>258</v>
      </c>
      <c r="B744" s="79" t="s">
        <v>259</v>
      </c>
      <c r="C744" s="82" t="s">
        <v>260</v>
      </c>
      <c r="D744" s="82" t="s">
        <v>261</v>
      </c>
      <c r="E744" s="82" t="s">
        <v>262</v>
      </c>
      <c r="F744" s="82" t="s">
        <v>263</v>
      </c>
      <c r="G744" s="82" t="s">
        <v>264</v>
      </c>
    </row>
    <row r="745" spans="1:7">
      <c r="A745" s="83">
        <v>1</v>
      </c>
      <c r="B745" s="83" t="s">
        <v>456</v>
      </c>
      <c r="C745" s="258"/>
      <c r="D745" s="258"/>
      <c r="E745" s="258"/>
      <c r="F745" s="258">
        <v>5</v>
      </c>
      <c r="G745" s="84">
        <f>ROUND(IF(COUNTA(B745:F745)=0,0,IF(C745="",1,C745)*IF(D745="",1,D745)*IF(E745="",1,E745)*IF(F745="",1,F745)),2)</f>
        <v>5</v>
      </c>
    </row>
    <row r="746" spans="1:7">
      <c r="A746" s="83">
        <v>2</v>
      </c>
      <c r="B746" s="83"/>
      <c r="C746" s="258"/>
      <c r="D746" s="258"/>
      <c r="E746" s="258"/>
      <c r="F746" s="258"/>
      <c r="G746" s="84">
        <f>ROUND(IF(COUNTA(B746:F746)=0,0,IF(C746="",1,C746)*IF(D746="",1,D746)*IF(E746="",1,E746)*IF(F746="",1,F746)),2)</f>
        <v>0</v>
      </c>
    </row>
    <row r="747" spans="1:7">
      <c r="A747" s="83">
        <v>3</v>
      </c>
      <c r="B747" s="83"/>
      <c r="C747" s="258"/>
      <c r="D747" s="258"/>
      <c r="E747" s="258"/>
      <c r="F747" s="258"/>
      <c r="G747" s="84">
        <f>ROUND(IF(COUNTA(B747:F747)=0,0,IF(C747="",1,C747)*IF(D747="",1,D747)*IF(E747="",1,E747)*IF(F747="",1,F747)),2)</f>
        <v>0</v>
      </c>
    </row>
    <row r="748" spans="1:7">
      <c r="A748" s="83">
        <v>4</v>
      </c>
      <c r="B748" s="83"/>
      <c r="C748" s="258"/>
      <c r="D748" s="258"/>
      <c r="E748" s="258"/>
      <c r="F748" s="258"/>
      <c r="G748" s="84">
        <f>ROUND(IF(COUNTA(B748:F748)=0,0,IF(C748="",1,C748)*IF(D748="",1,D748)*IF(E748="",1,E748)*IF(F748="",1,F748)),2)</f>
        <v>0</v>
      </c>
    </row>
    <row r="749" spans="1:7">
      <c r="A749" s="83">
        <v>5</v>
      </c>
      <c r="B749" s="83"/>
      <c r="C749" s="258"/>
      <c r="D749" s="258"/>
      <c r="E749" s="258"/>
      <c r="F749" s="258"/>
      <c r="G749" s="84">
        <f>ROUND(IF(COUNTA(B749:F749)=0,0,IF(C749="",1,C749)*IF(D749="",1,D749)*IF(E749="",1,E749)*IF(F749="",1,F749)),2)</f>
        <v>0</v>
      </c>
    </row>
    <row r="750" spans="1:7">
      <c r="A750" s="393" t="s">
        <v>266</v>
      </c>
      <c r="B750" s="393" t="s">
        <v>266</v>
      </c>
      <c r="C750" s="394" t="s">
        <v>266</v>
      </c>
      <c r="D750" s="394" t="s">
        <v>266</v>
      </c>
      <c r="E750" s="394" t="s">
        <v>266</v>
      </c>
      <c r="F750" s="394" t="s">
        <v>266</v>
      </c>
      <c r="G750" s="85">
        <f>ROUND(SUM(G745:G749),2)</f>
        <v>5</v>
      </c>
    </row>
    <row r="751" spans="1:7">
      <c r="A751" s="78"/>
      <c r="B751" s="78"/>
      <c r="C751" s="86"/>
      <c r="D751" s="86"/>
      <c r="E751" s="86"/>
      <c r="F751" s="86"/>
      <c r="G751" s="86"/>
    </row>
    <row r="752" spans="1:7" ht="32.450000000000003" customHeight="1">
      <c r="A752" s="80" t="s">
        <v>457</v>
      </c>
      <c r="B752" s="80" t="s">
        <v>243</v>
      </c>
      <c r="C752" s="392" t="s">
        <v>244</v>
      </c>
      <c r="D752" s="392"/>
      <c r="E752" s="392"/>
      <c r="F752" s="392"/>
      <c r="G752" s="81" t="s">
        <v>65</v>
      </c>
    </row>
    <row r="753" spans="1:7">
      <c r="A753" s="79" t="s">
        <v>258</v>
      </c>
      <c r="B753" s="79" t="s">
        <v>259</v>
      </c>
      <c r="C753" s="82" t="s">
        <v>260</v>
      </c>
      <c r="D753" s="82" t="s">
        <v>261</v>
      </c>
      <c r="E753" s="82" t="s">
        <v>262</v>
      </c>
      <c r="F753" s="82" t="s">
        <v>263</v>
      </c>
      <c r="G753" s="82" t="s">
        <v>264</v>
      </c>
    </row>
    <row r="754" spans="1:7">
      <c r="A754" s="83">
        <v>1</v>
      </c>
      <c r="B754" s="83" t="s">
        <v>403</v>
      </c>
      <c r="C754" s="258">
        <v>0.6</v>
      </c>
      <c r="D754" s="258">
        <v>1</v>
      </c>
      <c r="E754" s="258"/>
      <c r="F754" s="258">
        <v>1</v>
      </c>
      <c r="G754" s="84">
        <f>ROUND(IF(COUNTA(B754:F754)=0,0,IF(C754="",1,C754)*IF(D754="",1,D754)*IF(E754="",1,E754)*IF(F754="",1,F754)),2)</f>
        <v>0.6</v>
      </c>
    </row>
    <row r="755" spans="1:7">
      <c r="A755" s="83">
        <v>2</v>
      </c>
      <c r="B755" s="83" t="s">
        <v>404</v>
      </c>
      <c r="C755" s="258">
        <v>0.6</v>
      </c>
      <c r="D755" s="258">
        <v>1</v>
      </c>
      <c r="E755" s="258"/>
      <c r="F755" s="258">
        <v>1</v>
      </c>
      <c r="G755" s="84">
        <f>ROUND(IF(COUNTA(B755:F755)=0,0,IF(C755="",1,C755)*IF(D755="",1,D755)*IF(E755="",1,E755)*IF(F755="",1,F755)),2)</f>
        <v>0.6</v>
      </c>
    </row>
    <row r="756" spans="1:7">
      <c r="A756" s="83">
        <v>3</v>
      </c>
      <c r="B756" s="83"/>
      <c r="C756" s="258"/>
      <c r="D756" s="258"/>
      <c r="E756" s="258"/>
      <c r="F756" s="258"/>
      <c r="G756" s="84">
        <f>ROUND(IF(COUNTA(B756:F756)=0,0,IF(C756="",1,C756)*IF(D756="",1,D756)*IF(E756="",1,E756)*IF(F756="",1,F756)),2)</f>
        <v>0</v>
      </c>
    </row>
    <row r="757" spans="1:7">
      <c r="A757" s="83">
        <v>4</v>
      </c>
      <c r="B757" s="83"/>
      <c r="C757" s="258"/>
      <c r="D757" s="258"/>
      <c r="E757" s="258"/>
      <c r="F757" s="258"/>
      <c r="G757" s="84">
        <f>ROUND(IF(COUNTA(B757:F757)=0,0,IF(C757="",1,C757)*IF(D757="",1,D757)*IF(E757="",1,E757)*IF(F757="",1,F757)),2)</f>
        <v>0</v>
      </c>
    </row>
    <row r="758" spans="1:7">
      <c r="A758" s="83">
        <v>5</v>
      </c>
      <c r="B758" s="83"/>
      <c r="C758" s="258"/>
      <c r="D758" s="258"/>
      <c r="E758" s="258"/>
      <c r="F758" s="258"/>
      <c r="G758" s="84">
        <f>ROUND(IF(COUNTA(B758:F758)=0,0,IF(C758="",1,C758)*IF(D758="",1,D758)*IF(E758="",1,E758)*IF(F758="",1,F758)),2)</f>
        <v>0</v>
      </c>
    </row>
    <row r="759" spans="1:7">
      <c r="A759" s="393" t="s">
        <v>266</v>
      </c>
      <c r="B759" s="393" t="s">
        <v>266</v>
      </c>
      <c r="C759" s="394" t="s">
        <v>266</v>
      </c>
      <c r="D759" s="394" t="s">
        <v>266</v>
      </c>
      <c r="E759" s="394" t="s">
        <v>266</v>
      </c>
      <c r="F759" s="394" t="s">
        <v>266</v>
      </c>
      <c r="G759" s="85">
        <f>ROUND(SUM(G754:G758),2)</f>
        <v>1.2</v>
      </c>
    </row>
    <row r="760" spans="1:7">
      <c r="A760" s="78"/>
      <c r="B760" s="78"/>
      <c r="C760" s="86"/>
      <c r="D760" s="86"/>
      <c r="E760" s="86"/>
      <c r="F760" s="86"/>
      <c r="G760" s="86"/>
    </row>
    <row r="761" spans="1:7" ht="57" customHeight="1">
      <c r="A761" s="80" t="s">
        <v>458</v>
      </c>
      <c r="B761" s="80" t="s">
        <v>143</v>
      </c>
      <c r="C761" s="392" t="s">
        <v>246</v>
      </c>
      <c r="D761" s="392"/>
      <c r="E761" s="392"/>
      <c r="F761" s="392"/>
      <c r="G761" s="81" t="s">
        <v>65</v>
      </c>
    </row>
    <row r="762" spans="1:7">
      <c r="A762" s="79" t="s">
        <v>258</v>
      </c>
      <c r="B762" s="79" t="s">
        <v>259</v>
      </c>
      <c r="C762" s="82" t="s">
        <v>260</v>
      </c>
      <c r="D762" s="82" t="s">
        <v>261</v>
      </c>
      <c r="E762" s="82" t="s">
        <v>262</v>
      </c>
      <c r="F762" s="82" t="s">
        <v>263</v>
      </c>
      <c r="G762" s="82" t="s">
        <v>264</v>
      </c>
    </row>
    <row r="763" spans="1:7">
      <c r="A763" s="83">
        <v>1</v>
      </c>
      <c r="B763" s="83" t="s">
        <v>459</v>
      </c>
      <c r="C763" s="258">
        <f>$G$552</f>
        <v>40.39</v>
      </c>
      <c r="D763" s="258"/>
      <c r="E763" s="258"/>
      <c r="F763" s="258">
        <v>2</v>
      </c>
      <c r="G763" s="84">
        <f>ROUND(IF(COUNTA(B763:F763)=0,0,IF(C763="",1,C763)*IF(D763="",1,D763)*IF(E763="",1,E763)*IF(F763="",1,F763)),2)</f>
        <v>80.78</v>
      </c>
    </row>
    <row r="764" spans="1:7">
      <c r="A764" s="83">
        <v>2</v>
      </c>
      <c r="B764" s="83" t="s">
        <v>460</v>
      </c>
      <c r="C764" s="258">
        <f>$G$660</f>
        <v>50</v>
      </c>
      <c r="D764" s="258"/>
      <c r="E764" s="258"/>
      <c r="F764" s="258">
        <v>-1</v>
      </c>
      <c r="G764" s="84">
        <f>ROUND(IF(COUNTA(B764:F764)=0,0,IF(C764="",1,C764)*IF(D764="",1,D764)*IF(E764="",1,E764)*IF(F764="",1,F764)),2)</f>
        <v>-50</v>
      </c>
    </row>
    <row r="765" spans="1:7">
      <c r="A765" s="83">
        <v>3</v>
      </c>
      <c r="B765" s="83"/>
      <c r="C765" s="258"/>
      <c r="D765" s="258"/>
      <c r="E765" s="258"/>
      <c r="F765" s="258"/>
      <c r="G765" s="84">
        <f>ROUND(IF(COUNTA(B765:F765)=0,0,IF(C765="",1,C765)*IF(D765="",1,D765)*IF(E765="",1,E765)*IF(F765="",1,F765)),2)</f>
        <v>0</v>
      </c>
    </row>
    <row r="766" spans="1:7">
      <c r="A766" s="83">
        <v>4</v>
      </c>
      <c r="B766" s="83"/>
      <c r="C766" s="258"/>
      <c r="D766" s="258"/>
      <c r="E766" s="258"/>
      <c r="F766" s="258"/>
      <c r="G766" s="84">
        <f>ROUND(IF(COUNTA(B766:F766)=0,0,IF(C766="",1,C766)*IF(D766="",1,D766)*IF(E766="",1,E766)*IF(F766="",1,F766)),2)</f>
        <v>0</v>
      </c>
    </row>
    <row r="767" spans="1:7">
      <c r="A767" s="83">
        <v>5</v>
      </c>
      <c r="B767" s="83"/>
      <c r="C767" s="258"/>
      <c r="D767" s="258"/>
      <c r="E767" s="258"/>
      <c r="F767" s="258"/>
      <c r="G767" s="84">
        <f>ROUND(IF(COUNTA(B767:F767)=0,0,IF(C767="",1,C767)*IF(D767="",1,D767)*IF(E767="",1,E767)*IF(F767="",1,F767)),2)</f>
        <v>0</v>
      </c>
    </row>
    <row r="768" spans="1:7">
      <c r="A768" s="393" t="s">
        <v>266</v>
      </c>
      <c r="B768" s="393" t="s">
        <v>266</v>
      </c>
      <c r="C768" s="394" t="s">
        <v>266</v>
      </c>
      <c r="D768" s="394" t="s">
        <v>266</v>
      </c>
      <c r="E768" s="394" t="s">
        <v>266</v>
      </c>
      <c r="F768" s="394" t="s">
        <v>266</v>
      </c>
      <c r="G768" s="85">
        <f>ROUND(SUM(G763:G767),2)</f>
        <v>30.78</v>
      </c>
    </row>
    <row r="769" spans="1:7">
      <c r="A769" s="78"/>
      <c r="B769" s="78"/>
      <c r="C769" s="86"/>
      <c r="D769" s="86"/>
      <c r="E769" s="86"/>
      <c r="F769" s="86"/>
      <c r="G769" s="86"/>
    </row>
    <row r="770" spans="1:7" ht="42.6" customHeight="1">
      <c r="A770" s="80" t="s">
        <v>461</v>
      </c>
      <c r="B770" s="80" t="s">
        <v>145</v>
      </c>
      <c r="C770" s="392" t="s">
        <v>247</v>
      </c>
      <c r="D770" s="392"/>
      <c r="E770" s="392"/>
      <c r="F770" s="392"/>
      <c r="G770" s="81" t="s">
        <v>65</v>
      </c>
    </row>
    <row r="771" spans="1:7">
      <c r="A771" s="79" t="s">
        <v>258</v>
      </c>
      <c r="B771" s="79" t="s">
        <v>259</v>
      </c>
      <c r="C771" s="82" t="s">
        <v>260</v>
      </c>
      <c r="D771" s="82" t="s">
        <v>261</v>
      </c>
      <c r="E771" s="82" t="s">
        <v>262</v>
      </c>
      <c r="F771" s="82" t="s">
        <v>263</v>
      </c>
      <c r="G771" s="82" t="s">
        <v>264</v>
      </c>
    </row>
    <row r="772" spans="1:7">
      <c r="A772" s="83">
        <v>1</v>
      </c>
      <c r="B772" s="83" t="s">
        <v>462</v>
      </c>
      <c r="C772" s="258"/>
      <c r="D772" s="258"/>
      <c r="E772" s="258"/>
      <c r="F772" s="258">
        <v>6</v>
      </c>
      <c r="G772" s="84">
        <f>ROUND(IF(COUNTA(B772:F772)=0,0,IF(C772="",1,C772)*IF(D772="",1,D772)*IF(E772="",1,E772)*IF(F772="",1,F772)),2)</f>
        <v>6</v>
      </c>
    </row>
    <row r="773" spans="1:7">
      <c r="A773" s="83">
        <v>2</v>
      </c>
      <c r="B773" s="83"/>
      <c r="C773" s="258"/>
      <c r="D773" s="258"/>
      <c r="E773" s="258"/>
      <c r="F773" s="258"/>
      <c r="G773" s="84">
        <f>ROUND(IF(COUNTA(B773:F773)=0,0,IF(C773="",1,C773)*IF(D773="",1,D773)*IF(E773="",1,E773)*IF(F773="",1,F773)),2)</f>
        <v>0</v>
      </c>
    </row>
    <row r="774" spans="1:7">
      <c r="A774" s="83">
        <v>3</v>
      </c>
      <c r="B774" s="83"/>
      <c r="C774" s="258"/>
      <c r="D774" s="258"/>
      <c r="E774" s="258"/>
      <c r="F774" s="258"/>
      <c r="G774" s="84">
        <f>ROUND(IF(COUNTA(B774:F774)=0,0,IF(C774="",1,C774)*IF(D774="",1,D774)*IF(E774="",1,E774)*IF(F774="",1,F774)),2)</f>
        <v>0</v>
      </c>
    </row>
    <row r="775" spans="1:7">
      <c r="A775" s="83">
        <v>4</v>
      </c>
      <c r="B775" s="83"/>
      <c r="C775" s="258"/>
      <c r="D775" s="258"/>
      <c r="E775" s="258"/>
      <c r="F775" s="258"/>
      <c r="G775" s="84">
        <f>ROUND(IF(COUNTA(B775:F775)=0,0,IF(C775="",1,C775)*IF(D775="",1,D775)*IF(E775="",1,E775)*IF(F775="",1,F775)),2)</f>
        <v>0</v>
      </c>
    </row>
    <row r="776" spans="1:7">
      <c r="A776" s="83">
        <v>5</v>
      </c>
      <c r="B776" s="83"/>
      <c r="C776" s="258"/>
      <c r="D776" s="258"/>
      <c r="E776" s="258"/>
      <c r="F776" s="258"/>
      <c r="G776" s="84">
        <f>ROUND(IF(COUNTA(B776:F776)=0,0,IF(C776="",1,C776)*IF(D776="",1,D776)*IF(E776="",1,E776)*IF(F776="",1,F776)),2)</f>
        <v>0</v>
      </c>
    </row>
    <row r="777" spans="1:7">
      <c r="A777" s="393" t="s">
        <v>266</v>
      </c>
      <c r="B777" s="393" t="s">
        <v>266</v>
      </c>
      <c r="C777" s="394" t="s">
        <v>266</v>
      </c>
      <c r="D777" s="394" t="s">
        <v>266</v>
      </c>
      <c r="E777" s="394" t="s">
        <v>266</v>
      </c>
      <c r="F777" s="394" t="s">
        <v>266</v>
      </c>
      <c r="G777" s="85">
        <f>ROUND(SUM(G772:G776),2)</f>
        <v>6</v>
      </c>
    </row>
    <row r="778" spans="1:7">
      <c r="A778" s="78"/>
      <c r="B778" s="78"/>
      <c r="C778" s="86"/>
      <c r="D778" s="86"/>
      <c r="E778" s="86"/>
      <c r="F778" s="86"/>
      <c r="G778" s="86"/>
    </row>
    <row r="779" spans="1:7" ht="57" customHeight="1">
      <c r="A779" s="80" t="s">
        <v>463</v>
      </c>
      <c r="B779" s="80" t="s">
        <v>166</v>
      </c>
      <c r="C779" s="392" t="s">
        <v>138</v>
      </c>
      <c r="D779" s="392"/>
      <c r="E779" s="392"/>
      <c r="F779" s="392"/>
      <c r="G779" s="81" t="s">
        <v>65</v>
      </c>
    </row>
    <row r="780" spans="1:7">
      <c r="A780" s="79" t="s">
        <v>258</v>
      </c>
      <c r="B780" s="79" t="s">
        <v>259</v>
      </c>
      <c r="C780" s="82" t="s">
        <v>260</v>
      </c>
      <c r="D780" s="82" t="s">
        <v>261</v>
      </c>
      <c r="E780" s="82" t="s">
        <v>262</v>
      </c>
      <c r="F780" s="82" t="s">
        <v>263</v>
      </c>
      <c r="G780" s="82" t="s">
        <v>264</v>
      </c>
    </row>
    <row r="781" spans="1:7">
      <c r="A781" s="83">
        <v>1</v>
      </c>
      <c r="B781" s="83"/>
      <c r="C781" s="258">
        <v>10</v>
      </c>
      <c r="D781" s="258">
        <v>2.95</v>
      </c>
      <c r="E781" s="258"/>
      <c r="F781" s="258">
        <v>1</v>
      </c>
      <c r="G781" s="84">
        <f>ROUND(IF(COUNTA(B781:F781)=0,0,IF(C781="",1,C781)*IF(D781="",1,D781)*IF(E781="",1,E781)*IF(F781="",1,F781)),2)</f>
        <v>29.5</v>
      </c>
    </row>
    <row r="782" spans="1:7">
      <c r="A782" s="83">
        <v>2</v>
      </c>
      <c r="B782" s="83"/>
      <c r="C782" s="258"/>
      <c r="D782" s="258"/>
      <c r="E782" s="258"/>
      <c r="F782" s="258"/>
      <c r="G782" s="84">
        <f>ROUND(IF(COUNTA(B782:F782)=0,0,IF(C782="",1,C782)*IF(D782="",1,D782)*IF(E782="",1,E782)*IF(F782="",1,F782)),2)</f>
        <v>0</v>
      </c>
    </row>
    <row r="783" spans="1:7">
      <c r="A783" s="83">
        <v>3</v>
      </c>
      <c r="B783" s="83"/>
      <c r="C783" s="258"/>
      <c r="D783" s="258"/>
      <c r="E783" s="258"/>
      <c r="F783" s="258"/>
      <c r="G783" s="84">
        <f>ROUND(IF(COUNTA(B783:F783)=0,0,IF(C783="",1,C783)*IF(D783="",1,D783)*IF(E783="",1,E783)*IF(F783="",1,F783)),2)</f>
        <v>0</v>
      </c>
    </row>
    <row r="784" spans="1:7">
      <c r="A784" s="83">
        <v>4</v>
      </c>
      <c r="B784" s="83"/>
      <c r="C784" s="258"/>
      <c r="D784" s="258"/>
      <c r="E784" s="258"/>
      <c r="F784" s="258"/>
      <c r="G784" s="84">
        <f>ROUND(IF(COUNTA(B784:F784)=0,0,IF(C784="",1,C784)*IF(D784="",1,D784)*IF(E784="",1,E784)*IF(F784="",1,F784)),2)</f>
        <v>0</v>
      </c>
    </row>
    <row r="785" spans="1:7">
      <c r="A785" s="83">
        <v>5</v>
      </c>
      <c r="B785" s="83"/>
      <c r="C785" s="258"/>
      <c r="D785" s="258"/>
      <c r="E785" s="258"/>
      <c r="F785" s="258"/>
      <c r="G785" s="84">
        <f>ROUND(IF(COUNTA(B785:F785)=0,0,IF(C785="",1,C785)*IF(D785="",1,D785)*IF(E785="",1,E785)*IF(F785="",1,F785)),2)</f>
        <v>0</v>
      </c>
    </row>
    <row r="786" spans="1:7">
      <c r="A786" s="393" t="s">
        <v>266</v>
      </c>
      <c r="B786" s="393" t="s">
        <v>266</v>
      </c>
      <c r="C786" s="394" t="s">
        <v>266</v>
      </c>
      <c r="D786" s="394" t="s">
        <v>266</v>
      </c>
      <c r="E786" s="394" t="s">
        <v>266</v>
      </c>
      <c r="F786" s="394" t="s">
        <v>266</v>
      </c>
      <c r="G786" s="85">
        <f>ROUND(SUM(G781:G785),2)</f>
        <v>29.5</v>
      </c>
    </row>
    <row r="787" spans="1:7">
      <c r="A787" s="78"/>
      <c r="B787" s="78"/>
      <c r="C787" s="86"/>
      <c r="D787" s="86"/>
      <c r="E787" s="86"/>
      <c r="F787" s="86"/>
      <c r="G787" s="86"/>
    </row>
    <row r="788" spans="1:7" ht="58.15" customHeight="1">
      <c r="A788" s="80" t="s">
        <v>464</v>
      </c>
      <c r="B788" s="80" t="s">
        <v>168</v>
      </c>
      <c r="C788" s="392" t="s">
        <v>249</v>
      </c>
      <c r="D788" s="392"/>
      <c r="E788" s="392"/>
      <c r="F788" s="392"/>
      <c r="G788" s="81" t="s">
        <v>120</v>
      </c>
    </row>
    <row r="789" spans="1:7">
      <c r="A789" s="79" t="s">
        <v>258</v>
      </c>
      <c r="B789" s="79" t="s">
        <v>259</v>
      </c>
      <c r="C789" s="82" t="s">
        <v>260</v>
      </c>
      <c r="D789" s="82" t="s">
        <v>261</v>
      </c>
      <c r="E789" s="82" t="s">
        <v>347</v>
      </c>
      <c r="F789" s="82" t="s">
        <v>263</v>
      </c>
      <c r="G789" s="82" t="s">
        <v>264</v>
      </c>
    </row>
    <row r="790" spans="1:7">
      <c r="A790" s="83">
        <v>1</v>
      </c>
      <c r="B790" s="83" t="s">
        <v>465</v>
      </c>
      <c r="C790" s="258">
        <v>4.7699999999999996</v>
      </c>
      <c r="D790" s="258"/>
      <c r="E790" s="258">
        <v>16.13</v>
      </c>
      <c r="F790" s="258">
        <v>6</v>
      </c>
      <c r="G790" s="84">
        <f>ROUND(IF(COUNTA(B790:F790)=0,0,IF(C790="",1,C790)*IF(D790="",1,D790)*IF(E790="",1,E790)*IF(F790="",1,F790)),2)</f>
        <v>461.64</v>
      </c>
    </row>
    <row r="791" spans="1:7">
      <c r="A791" s="83">
        <v>2</v>
      </c>
      <c r="B791" s="83" t="s">
        <v>466</v>
      </c>
      <c r="C791" s="258">
        <f>$C$790</f>
        <v>4.7699999999999996</v>
      </c>
      <c r="D791" s="258"/>
      <c r="E791" s="258">
        <f>$E$790</f>
        <v>16.13</v>
      </c>
      <c r="F791" s="258">
        <v>1</v>
      </c>
      <c r="G791" s="84">
        <f>ROUND(IF(COUNTA(B791:F791)=0,0,IF(C791="",1,C791)*IF(D791="",1,D791)*IF(E791="",1,E791)*IF(F791="",1,F791)),2)</f>
        <v>76.94</v>
      </c>
    </row>
    <row r="792" spans="1:7">
      <c r="A792" s="83">
        <v>3</v>
      </c>
      <c r="B792" s="83"/>
      <c r="C792" s="258"/>
      <c r="D792" s="258"/>
      <c r="E792" s="258"/>
      <c r="F792" s="258"/>
      <c r="G792" s="84">
        <f>ROUND(IF(COUNTA(B792:F792)=0,0,IF(C792="",1,C792)*IF(D792="",1,D792)*IF(E792="",1,E792)*IF(F792="",1,F792)),2)</f>
        <v>0</v>
      </c>
    </row>
    <row r="793" spans="1:7">
      <c r="A793" s="83">
        <v>4</v>
      </c>
      <c r="B793" s="83"/>
      <c r="C793" s="258"/>
      <c r="D793" s="258"/>
      <c r="E793" s="258"/>
      <c r="F793" s="258"/>
      <c r="G793" s="84">
        <f>ROUND(IF(COUNTA(B793:F793)=0,0,IF(C793="",1,C793)*IF(D793="",1,D793)*IF(E793="",1,E793)*IF(F793="",1,F793)),2)</f>
        <v>0</v>
      </c>
    </row>
    <row r="794" spans="1:7">
      <c r="A794" s="83">
        <v>5</v>
      </c>
      <c r="B794" s="83"/>
      <c r="C794" s="258"/>
      <c r="D794" s="258"/>
      <c r="E794" s="258"/>
      <c r="F794" s="258"/>
      <c r="G794" s="84">
        <f>ROUND(IF(COUNTA(B794:F794)=0,0,IF(C794="",1,C794)*IF(D794="",1,D794)*IF(E794="",1,E794)*IF(F794="",1,F794)),2)</f>
        <v>0</v>
      </c>
    </row>
    <row r="795" spans="1:7">
      <c r="A795" s="393" t="s">
        <v>266</v>
      </c>
      <c r="B795" s="393" t="s">
        <v>266</v>
      </c>
      <c r="C795" s="394" t="s">
        <v>266</v>
      </c>
      <c r="D795" s="394" t="s">
        <v>266</v>
      </c>
      <c r="E795" s="394" t="s">
        <v>266</v>
      </c>
      <c r="F795" s="394" t="s">
        <v>266</v>
      </c>
      <c r="G795" s="85">
        <f>ROUND(SUM(G790:G794),2)</f>
        <v>538.58000000000004</v>
      </c>
    </row>
    <row r="796" spans="1:7">
      <c r="A796" s="78"/>
      <c r="B796" s="78"/>
      <c r="C796" s="86"/>
      <c r="D796" s="86"/>
      <c r="E796" s="86"/>
      <c r="F796" s="86"/>
      <c r="G796" s="86"/>
    </row>
    <row r="797" spans="1:7" ht="59.45" customHeight="1">
      <c r="A797" s="80" t="s">
        <v>467</v>
      </c>
      <c r="B797" s="80" t="s">
        <v>250</v>
      </c>
      <c r="C797" s="392" t="s">
        <v>251</v>
      </c>
      <c r="D797" s="392"/>
      <c r="E797" s="392"/>
      <c r="F797" s="392"/>
      <c r="G797" s="81" t="s">
        <v>120</v>
      </c>
    </row>
    <row r="798" spans="1:7">
      <c r="A798" s="79" t="s">
        <v>258</v>
      </c>
      <c r="B798" s="79" t="s">
        <v>259</v>
      </c>
      <c r="C798" s="82" t="s">
        <v>260</v>
      </c>
      <c r="D798" s="82" t="s">
        <v>261</v>
      </c>
      <c r="E798" s="82" t="s">
        <v>347</v>
      </c>
      <c r="F798" s="82" t="s">
        <v>263</v>
      </c>
      <c r="G798" s="82" t="s">
        <v>264</v>
      </c>
    </row>
    <row r="799" spans="1:7">
      <c r="A799" s="83">
        <v>1</v>
      </c>
      <c r="B799" s="83" t="s">
        <v>468</v>
      </c>
      <c r="C799" s="258">
        <v>5.47</v>
      </c>
      <c r="D799" s="258"/>
      <c r="E799" s="258">
        <v>27.29</v>
      </c>
      <c r="F799" s="258">
        <v>3</v>
      </c>
      <c r="G799" s="84">
        <f>ROUND(IF(COUNTA(B799:F799)=0,0,IF(C799="",1,C799)*IF(D799="",1,D799)*IF(E799="",1,E799)*IF(F799="",1,F799)),2)</f>
        <v>447.83</v>
      </c>
    </row>
    <row r="800" spans="1:7">
      <c r="A800" s="83">
        <v>2</v>
      </c>
      <c r="B800" s="83"/>
      <c r="C800" s="258"/>
      <c r="D800" s="258"/>
      <c r="E800" s="258"/>
      <c r="F800" s="258"/>
      <c r="G800" s="84">
        <f>ROUND(IF(COUNTA(B800:F800)=0,0,IF(C800="",1,C800)*IF(D800="",1,D800)*IF(E800="",1,E800)*IF(F800="",1,F800)),2)</f>
        <v>0</v>
      </c>
    </row>
    <row r="801" spans="1:7">
      <c r="A801" s="83">
        <v>3</v>
      </c>
      <c r="B801" s="83"/>
      <c r="C801" s="258"/>
      <c r="D801" s="258"/>
      <c r="E801" s="258"/>
      <c r="F801" s="258"/>
      <c r="G801" s="84">
        <f>ROUND(IF(COUNTA(B801:F801)=0,0,IF(C801="",1,C801)*IF(D801="",1,D801)*IF(E801="",1,E801)*IF(F801="",1,F801)),2)</f>
        <v>0</v>
      </c>
    </row>
    <row r="802" spans="1:7">
      <c r="A802" s="83">
        <v>4</v>
      </c>
      <c r="B802" s="83"/>
      <c r="C802" s="258"/>
      <c r="D802" s="258"/>
      <c r="E802" s="258"/>
      <c r="F802" s="258"/>
      <c r="G802" s="84">
        <f>ROUND(IF(COUNTA(B802:F802)=0,0,IF(C802="",1,C802)*IF(D802="",1,D802)*IF(E802="",1,E802)*IF(F802="",1,F802)),2)</f>
        <v>0</v>
      </c>
    </row>
    <row r="803" spans="1:7">
      <c r="A803" s="83">
        <v>5</v>
      </c>
      <c r="B803" s="83"/>
      <c r="C803" s="258"/>
      <c r="D803" s="258"/>
      <c r="E803" s="258"/>
      <c r="F803" s="258"/>
      <c r="G803" s="84">
        <f>ROUND(IF(COUNTA(B803:F803)=0,0,IF(C803="",1,C803)*IF(D803="",1,D803)*IF(E803="",1,E803)*IF(F803="",1,F803)),2)</f>
        <v>0</v>
      </c>
    </row>
    <row r="804" spans="1:7" ht="13.5" thickBot="1">
      <c r="A804" s="393" t="s">
        <v>266</v>
      </c>
      <c r="B804" s="393" t="s">
        <v>266</v>
      </c>
      <c r="C804" s="394" t="s">
        <v>266</v>
      </c>
      <c r="D804" s="394" t="s">
        <v>266</v>
      </c>
      <c r="E804" s="394" t="s">
        <v>266</v>
      </c>
      <c r="F804" s="394" t="s">
        <v>266</v>
      </c>
      <c r="G804" s="85">
        <f>ROUND(SUM(G799:G803),2)</f>
        <v>447.83</v>
      </c>
    </row>
  </sheetData>
  <mergeCells count="181">
    <mergeCell ref="C779:F779"/>
    <mergeCell ref="A786:F786"/>
    <mergeCell ref="C788:F788"/>
    <mergeCell ref="A795:F795"/>
    <mergeCell ref="A723:F723"/>
    <mergeCell ref="C725:F725"/>
    <mergeCell ref="A732:F732"/>
    <mergeCell ref="C797:F797"/>
    <mergeCell ref="A804:F804"/>
    <mergeCell ref="A768:F768"/>
    <mergeCell ref="C770:F770"/>
    <mergeCell ref="A777:F777"/>
    <mergeCell ref="C752:F752"/>
    <mergeCell ref="A759:F759"/>
    <mergeCell ref="C761:F761"/>
    <mergeCell ref="C734:F734"/>
    <mergeCell ref="A741:F741"/>
    <mergeCell ref="C743:F743"/>
    <mergeCell ref="A750:F750"/>
    <mergeCell ref="C716:F716"/>
    <mergeCell ref="C689:F689"/>
    <mergeCell ref="A696:F696"/>
    <mergeCell ref="C698:F698"/>
    <mergeCell ref="A705:F705"/>
    <mergeCell ref="A633:F633"/>
    <mergeCell ref="C635:F635"/>
    <mergeCell ref="A642:F642"/>
    <mergeCell ref="C707:F707"/>
    <mergeCell ref="A714:F714"/>
    <mergeCell ref="A678:F678"/>
    <mergeCell ref="C680:F680"/>
    <mergeCell ref="A687:F687"/>
    <mergeCell ref="C662:F662"/>
    <mergeCell ref="A669:F669"/>
    <mergeCell ref="C671:F671"/>
    <mergeCell ref="C644:F644"/>
    <mergeCell ref="A651:F651"/>
    <mergeCell ref="C653:F653"/>
    <mergeCell ref="A660:F660"/>
    <mergeCell ref="C626:F626"/>
    <mergeCell ref="C599:F599"/>
    <mergeCell ref="A606:F606"/>
    <mergeCell ref="C608:F608"/>
    <mergeCell ref="A615:F615"/>
    <mergeCell ref="A543:F543"/>
    <mergeCell ref="C545:F545"/>
    <mergeCell ref="A552:F552"/>
    <mergeCell ref="C617:F617"/>
    <mergeCell ref="A624:F624"/>
    <mergeCell ref="A588:F588"/>
    <mergeCell ref="C590:F590"/>
    <mergeCell ref="A597:F597"/>
    <mergeCell ref="C572:F572"/>
    <mergeCell ref="A579:F579"/>
    <mergeCell ref="C581:F581"/>
    <mergeCell ref="C554:F554"/>
    <mergeCell ref="A561:F561"/>
    <mergeCell ref="C563:F563"/>
    <mergeCell ref="A570:F570"/>
    <mergeCell ref="C536:F536"/>
    <mergeCell ref="C509:F509"/>
    <mergeCell ref="A516:F516"/>
    <mergeCell ref="C518:F518"/>
    <mergeCell ref="A525:F525"/>
    <mergeCell ref="A444:F444"/>
    <mergeCell ref="C446:F446"/>
    <mergeCell ref="A453:F453"/>
    <mergeCell ref="C527:F527"/>
    <mergeCell ref="A534:F534"/>
    <mergeCell ref="A498:F498"/>
    <mergeCell ref="C500:F500"/>
    <mergeCell ref="A507:F507"/>
    <mergeCell ref="C482:F482"/>
    <mergeCell ref="A489:F489"/>
    <mergeCell ref="C491:F491"/>
    <mergeCell ref="C464:F464"/>
    <mergeCell ref="A471:F471"/>
    <mergeCell ref="C473:F473"/>
    <mergeCell ref="A480:F480"/>
    <mergeCell ref="A462:F462"/>
    <mergeCell ref="C455:F455"/>
    <mergeCell ref="C437:F437"/>
    <mergeCell ref="C410:F410"/>
    <mergeCell ref="A417:F417"/>
    <mergeCell ref="C419:F419"/>
    <mergeCell ref="A426:F426"/>
    <mergeCell ref="A354:F354"/>
    <mergeCell ref="C356:F356"/>
    <mergeCell ref="A363:F363"/>
    <mergeCell ref="C428:F428"/>
    <mergeCell ref="A435:F435"/>
    <mergeCell ref="A399:F399"/>
    <mergeCell ref="C401:F401"/>
    <mergeCell ref="A408:F408"/>
    <mergeCell ref="C383:F383"/>
    <mergeCell ref="A390:F390"/>
    <mergeCell ref="C392:F392"/>
    <mergeCell ref="C365:F365"/>
    <mergeCell ref="A372:F372"/>
    <mergeCell ref="C374:F374"/>
    <mergeCell ref="A381:F381"/>
    <mergeCell ref="C347:F347"/>
    <mergeCell ref="C320:F320"/>
    <mergeCell ref="A327:F327"/>
    <mergeCell ref="C329:F329"/>
    <mergeCell ref="A336:F336"/>
    <mergeCell ref="A264:F264"/>
    <mergeCell ref="C266:F266"/>
    <mergeCell ref="A273:F273"/>
    <mergeCell ref="C338:F338"/>
    <mergeCell ref="A345:F345"/>
    <mergeCell ref="A309:F309"/>
    <mergeCell ref="C311:F311"/>
    <mergeCell ref="A318:F318"/>
    <mergeCell ref="C293:F293"/>
    <mergeCell ref="A300:F300"/>
    <mergeCell ref="C302:F302"/>
    <mergeCell ref="C275:F275"/>
    <mergeCell ref="A282:F282"/>
    <mergeCell ref="C284:F284"/>
    <mergeCell ref="A291:F291"/>
    <mergeCell ref="C257:F257"/>
    <mergeCell ref="C230:F230"/>
    <mergeCell ref="A237:F237"/>
    <mergeCell ref="C239:F239"/>
    <mergeCell ref="A246:F246"/>
    <mergeCell ref="A174:F174"/>
    <mergeCell ref="C176:F176"/>
    <mergeCell ref="A183:F183"/>
    <mergeCell ref="C248:F248"/>
    <mergeCell ref="A255:F255"/>
    <mergeCell ref="A219:F219"/>
    <mergeCell ref="C221:F221"/>
    <mergeCell ref="A228:F228"/>
    <mergeCell ref="C203:F203"/>
    <mergeCell ref="A210:F210"/>
    <mergeCell ref="C212:F212"/>
    <mergeCell ref="C185:F185"/>
    <mergeCell ref="A192:F192"/>
    <mergeCell ref="C194:F194"/>
    <mergeCell ref="A201:F201"/>
    <mergeCell ref="C167:F167"/>
    <mergeCell ref="C140:F140"/>
    <mergeCell ref="A147:F147"/>
    <mergeCell ref="C149:F149"/>
    <mergeCell ref="A156:F156"/>
    <mergeCell ref="A84:F84"/>
    <mergeCell ref="C86:F86"/>
    <mergeCell ref="A93:F93"/>
    <mergeCell ref="C158:F158"/>
    <mergeCell ref="A165:F165"/>
    <mergeCell ref="A129:F129"/>
    <mergeCell ref="C131:F131"/>
    <mergeCell ref="A138:F138"/>
    <mergeCell ref="C113:F113"/>
    <mergeCell ref="A120:F120"/>
    <mergeCell ref="C122:F122"/>
    <mergeCell ref="C95:F95"/>
    <mergeCell ref="A102:F102"/>
    <mergeCell ref="C104:F104"/>
    <mergeCell ref="A111:F111"/>
    <mergeCell ref="C77:F77"/>
    <mergeCell ref="C50:F50"/>
    <mergeCell ref="A57:F57"/>
    <mergeCell ref="C59:F59"/>
    <mergeCell ref="A66:F66"/>
    <mergeCell ref="A1:G1"/>
    <mergeCell ref="A2:G2"/>
    <mergeCell ref="A3:G3"/>
    <mergeCell ref="C68:F68"/>
    <mergeCell ref="A75:F75"/>
    <mergeCell ref="A39:F39"/>
    <mergeCell ref="C41:F41"/>
    <mergeCell ref="A48:F48"/>
    <mergeCell ref="C23:F23"/>
    <mergeCell ref="A30:F30"/>
    <mergeCell ref="C32:F32"/>
    <mergeCell ref="C5:F5"/>
    <mergeCell ref="A12:F12"/>
    <mergeCell ref="C14:F14"/>
    <mergeCell ref="A21:F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616"/>
  <sheetViews>
    <sheetView showGridLines="0" topLeftCell="A1574" workbookViewId="0">
      <selection activeCell="G1596" sqref="G1596"/>
    </sheetView>
  </sheetViews>
  <sheetFormatPr defaultColWidth="8.75" defaultRowHeight="12"/>
  <cols>
    <col min="1" max="1" width="18" style="68" customWidth="1"/>
    <col min="2" max="2" width="16" style="68" customWidth="1"/>
    <col min="3" max="3" width="66" style="68" customWidth="1"/>
    <col min="4" max="4" width="12" style="68" customWidth="1"/>
    <col min="5" max="5" width="18" style="68" customWidth="1"/>
    <col min="6" max="6" width="16" style="68" customWidth="1"/>
    <col min="7" max="7" width="18" style="68" customWidth="1"/>
    <col min="8" max="16384" width="8.75" style="68"/>
  </cols>
  <sheetData>
    <row r="1" spans="1:7">
      <c r="A1" s="398" t="s">
        <v>0</v>
      </c>
      <c r="B1" s="398" t="s">
        <v>0</v>
      </c>
      <c r="C1" s="398" t="s">
        <v>0</v>
      </c>
      <c r="D1" s="398" t="s">
        <v>0</v>
      </c>
      <c r="E1" s="399" t="s">
        <v>0</v>
      </c>
      <c r="F1" s="398" t="s">
        <v>0</v>
      </c>
      <c r="G1" s="399" t="s">
        <v>0</v>
      </c>
    </row>
    <row r="2" spans="1:7">
      <c r="A2" s="398" t="s">
        <v>1</v>
      </c>
      <c r="B2" s="398" t="s">
        <v>1</v>
      </c>
      <c r="C2" s="398" t="s">
        <v>1</v>
      </c>
      <c r="D2" s="398" t="s">
        <v>1</v>
      </c>
      <c r="E2" s="399" t="s">
        <v>1</v>
      </c>
      <c r="F2" s="398" t="s">
        <v>1</v>
      </c>
      <c r="G2" s="399" t="s">
        <v>1</v>
      </c>
    </row>
    <row r="3" spans="1:7">
      <c r="A3" s="398" t="s">
        <v>469</v>
      </c>
      <c r="B3" s="398" t="s">
        <v>469</v>
      </c>
      <c r="C3" s="398" t="s">
        <v>469</v>
      </c>
      <c r="D3" s="398" t="s">
        <v>469</v>
      </c>
      <c r="E3" s="399" t="s">
        <v>469</v>
      </c>
      <c r="F3" s="398" t="s">
        <v>469</v>
      </c>
      <c r="G3" s="399" t="s">
        <v>469</v>
      </c>
    </row>
    <row r="4" spans="1:7">
      <c r="A4" s="1"/>
      <c r="B4" s="1"/>
      <c r="C4" s="1"/>
      <c r="D4" s="1"/>
      <c r="E4" s="52"/>
      <c r="F4" s="1"/>
      <c r="G4" s="52"/>
    </row>
    <row r="5" spans="1:7" ht="42" customHeight="1">
      <c r="A5" s="5" t="s">
        <v>257</v>
      </c>
      <c r="B5" s="5" t="s">
        <v>63</v>
      </c>
      <c r="C5" s="407" t="s">
        <v>64</v>
      </c>
      <c r="D5" s="407"/>
      <c r="E5" s="408"/>
      <c r="F5" s="407"/>
      <c r="G5" s="53" t="s">
        <v>65</v>
      </c>
    </row>
    <row r="6" spans="1:7">
      <c r="A6" s="2" t="s">
        <v>470</v>
      </c>
      <c r="B6" s="2" t="s">
        <v>471</v>
      </c>
      <c r="C6" s="2" t="s">
        <v>4</v>
      </c>
      <c r="D6" s="2" t="s">
        <v>58</v>
      </c>
      <c r="E6" s="54" t="s">
        <v>472</v>
      </c>
      <c r="F6" s="2" t="s">
        <v>473</v>
      </c>
      <c r="G6" s="54" t="s">
        <v>264</v>
      </c>
    </row>
    <row r="7" spans="1:7">
      <c r="A7" s="400" t="s">
        <v>474</v>
      </c>
      <c r="B7" s="400" t="s">
        <v>474</v>
      </c>
      <c r="C7" s="400" t="s">
        <v>474</v>
      </c>
      <c r="D7" s="400" t="s">
        <v>474</v>
      </c>
      <c r="E7" s="401" t="s">
        <v>474</v>
      </c>
      <c r="F7" s="400" t="s">
        <v>474</v>
      </c>
      <c r="G7" s="401" t="s">
        <v>474</v>
      </c>
    </row>
    <row r="8" spans="1:7">
      <c r="A8" s="3" t="s">
        <v>475</v>
      </c>
      <c r="B8" s="3" t="s">
        <v>476</v>
      </c>
      <c r="C8" s="3" t="s">
        <v>477</v>
      </c>
      <c r="D8" s="3" t="s">
        <v>478</v>
      </c>
      <c r="E8" s="262">
        <f>ROUND(EQUIPOS!$E$7,0)</f>
        <v>15000</v>
      </c>
      <c r="F8" s="6">
        <v>5.0000000000000001E-3</v>
      </c>
      <c r="G8" s="35">
        <f>ROUND(E8*F8,0)</f>
        <v>75</v>
      </c>
    </row>
    <row r="9" spans="1:7">
      <c r="A9" s="3" t="s">
        <v>475</v>
      </c>
      <c r="B9" s="3" t="s">
        <v>479</v>
      </c>
      <c r="C9" s="3" t="s">
        <v>480</v>
      </c>
      <c r="D9" s="3" t="s">
        <v>481</v>
      </c>
      <c r="E9" s="262">
        <f>ROUND($G$21,0)</f>
        <v>5559</v>
      </c>
      <c r="F9" s="7">
        <v>0.05</v>
      </c>
      <c r="G9" s="35">
        <f>ROUND(E9*F9,0)</f>
        <v>278</v>
      </c>
    </row>
    <row r="10" spans="1:7">
      <c r="A10" s="402" t="s">
        <v>482</v>
      </c>
      <c r="B10" s="402" t="s">
        <v>482</v>
      </c>
      <c r="C10" s="402" t="s">
        <v>482</v>
      </c>
      <c r="D10" s="402" t="s">
        <v>482</v>
      </c>
      <c r="E10" s="403" t="s">
        <v>482</v>
      </c>
      <c r="F10" s="402" t="s">
        <v>482</v>
      </c>
      <c r="G10" s="55">
        <f>ROUND(SUM(G8:G9),0)</f>
        <v>353</v>
      </c>
    </row>
    <row r="11" spans="1:7">
      <c r="A11" s="400" t="s">
        <v>483</v>
      </c>
      <c r="B11" s="400" t="s">
        <v>483</v>
      </c>
      <c r="C11" s="400" t="s">
        <v>483</v>
      </c>
      <c r="D11" s="400" t="s">
        <v>483</v>
      </c>
      <c r="E11" s="401" t="s">
        <v>483</v>
      </c>
      <c r="F11" s="400" t="s">
        <v>483</v>
      </c>
      <c r="G11" s="401" t="s">
        <v>483</v>
      </c>
    </row>
    <row r="12" spans="1:7">
      <c r="A12" s="3" t="s">
        <v>484</v>
      </c>
      <c r="B12" s="3" t="s">
        <v>485</v>
      </c>
      <c r="C12" s="3" t="s">
        <v>486</v>
      </c>
      <c r="D12" s="3" t="s">
        <v>68</v>
      </c>
      <c r="E12" s="262">
        <f>ROUND(INSUMOS!$E$11,0)</f>
        <v>8925</v>
      </c>
      <c r="F12" s="6">
        <v>0.05</v>
      </c>
      <c r="G12" s="35">
        <f>ROUND(E12*F12,0)</f>
        <v>446</v>
      </c>
    </row>
    <row r="13" spans="1:7">
      <c r="A13" s="3" t="s">
        <v>484</v>
      </c>
      <c r="B13" s="3" t="s">
        <v>487</v>
      </c>
      <c r="C13" s="3" t="s">
        <v>488</v>
      </c>
      <c r="D13" s="3" t="s">
        <v>489</v>
      </c>
      <c r="E13" s="262">
        <f>ROUND(INSUMOS!$E$12,0)</f>
        <v>130781</v>
      </c>
      <c r="F13" s="6">
        <v>2E-3</v>
      </c>
      <c r="G13" s="35">
        <f>ROUND(E13*F13,0)</f>
        <v>262</v>
      </c>
    </row>
    <row r="14" spans="1:7">
      <c r="A14" s="3" t="s">
        <v>484</v>
      </c>
      <c r="B14" s="3" t="s">
        <v>490</v>
      </c>
      <c r="C14" s="3" t="s">
        <v>491</v>
      </c>
      <c r="D14" s="3" t="s">
        <v>492</v>
      </c>
      <c r="E14" s="262">
        <f>ROUND(INSUMOS!$E$13,0)</f>
        <v>6248</v>
      </c>
      <c r="F14" s="6">
        <v>7.0000000000000007E-2</v>
      </c>
      <c r="G14" s="35">
        <f>ROUND(E14*F14,0)</f>
        <v>437</v>
      </c>
    </row>
    <row r="15" spans="1:7">
      <c r="A15" s="3" t="s">
        <v>484</v>
      </c>
      <c r="B15" s="3" t="s">
        <v>493</v>
      </c>
      <c r="C15" s="3" t="s">
        <v>494</v>
      </c>
      <c r="D15" s="3" t="s">
        <v>489</v>
      </c>
      <c r="E15" s="262">
        <f>ROUND(INSUMOS!$E$14,0)</f>
        <v>66402</v>
      </c>
      <c r="F15" s="6">
        <v>2E-3</v>
      </c>
      <c r="G15" s="35">
        <f>ROUND(E15*F15,0)</f>
        <v>133</v>
      </c>
    </row>
    <row r="16" spans="1:7">
      <c r="A16" s="402" t="s">
        <v>495</v>
      </c>
      <c r="B16" s="402" t="s">
        <v>495</v>
      </c>
      <c r="C16" s="402" t="s">
        <v>495</v>
      </c>
      <c r="D16" s="402" t="s">
        <v>495</v>
      </c>
      <c r="E16" s="403" t="s">
        <v>495</v>
      </c>
      <c r="F16" s="402" t="s">
        <v>495</v>
      </c>
      <c r="G16" s="55">
        <f>ROUND(SUM(G12:G15),0)</f>
        <v>1278</v>
      </c>
    </row>
    <row r="17" spans="1:7">
      <c r="A17" s="400" t="s">
        <v>496</v>
      </c>
      <c r="B17" s="400" t="s">
        <v>496</v>
      </c>
      <c r="C17" s="400" t="s">
        <v>496</v>
      </c>
      <c r="D17" s="400" t="s">
        <v>496</v>
      </c>
      <c r="E17" s="401" t="s">
        <v>496</v>
      </c>
      <c r="F17" s="400" t="s">
        <v>496</v>
      </c>
      <c r="G17" s="401" t="s">
        <v>496</v>
      </c>
    </row>
    <row r="18" spans="1:7">
      <c r="A18" s="3" t="s">
        <v>496</v>
      </c>
      <c r="B18" s="3" t="s">
        <v>497</v>
      </c>
      <c r="C18" s="3" t="s">
        <v>498</v>
      </c>
      <c r="D18" s="3" t="s">
        <v>478</v>
      </c>
      <c r="E18" s="262">
        <f>ROUND('MANO DE OBRA'!$E$9,0)</f>
        <v>251576</v>
      </c>
      <c r="F18" s="6">
        <v>0.01</v>
      </c>
      <c r="G18" s="35">
        <f>ROUND(E18*F18,0)</f>
        <v>2516</v>
      </c>
    </row>
    <row r="19" spans="1:7">
      <c r="A19" s="3" t="s">
        <v>496</v>
      </c>
      <c r="B19" s="3" t="s">
        <v>499</v>
      </c>
      <c r="C19" s="3" t="s">
        <v>500</v>
      </c>
      <c r="D19" s="3" t="s">
        <v>478</v>
      </c>
      <c r="E19" s="262">
        <f>ROUND('MANO DE OBRA'!$E$10,0)</f>
        <v>196251</v>
      </c>
      <c r="F19" s="6">
        <v>0.01</v>
      </c>
      <c r="G19" s="35">
        <f>ROUND(E19*F19,0)</f>
        <v>1963</v>
      </c>
    </row>
    <row r="20" spans="1:7">
      <c r="A20" s="3" t="s">
        <v>496</v>
      </c>
      <c r="B20" s="3" t="s">
        <v>501</v>
      </c>
      <c r="C20" s="3" t="s">
        <v>502</v>
      </c>
      <c r="D20" s="3" t="s">
        <v>478</v>
      </c>
      <c r="E20" s="262">
        <f>ROUND('MANO DE OBRA'!$E$11,0)</f>
        <v>107973</v>
      </c>
      <c r="F20" s="6">
        <v>0.01</v>
      </c>
      <c r="G20" s="35">
        <f>ROUND(E20*F20,0)</f>
        <v>1080</v>
      </c>
    </row>
    <row r="21" spans="1:7" ht="12.75" thickBot="1">
      <c r="A21" s="402" t="s">
        <v>503</v>
      </c>
      <c r="B21" s="402" t="s">
        <v>503</v>
      </c>
      <c r="C21" s="402" t="s">
        <v>503</v>
      </c>
      <c r="D21" s="402" t="s">
        <v>503</v>
      </c>
      <c r="E21" s="403" t="s">
        <v>503</v>
      </c>
      <c r="F21" s="402" t="s">
        <v>503</v>
      </c>
      <c r="G21" s="55">
        <f>ROUND(SUM(G18:G20),0)</f>
        <v>5559</v>
      </c>
    </row>
    <row r="22" spans="1:7" ht="13.9" customHeight="1" thickBot="1">
      <c r="A22" s="404" t="s">
        <v>60</v>
      </c>
      <c r="B22" s="405" t="s">
        <v>504</v>
      </c>
      <c r="C22" s="405" t="s">
        <v>504</v>
      </c>
      <c r="D22" s="405" t="s">
        <v>504</v>
      </c>
      <c r="E22" s="406" t="s">
        <v>504</v>
      </c>
      <c r="F22" s="8"/>
      <c r="G22" s="56">
        <f>ROUND(SUM(G10,G16,G21),0)</f>
        <v>7190</v>
      </c>
    </row>
    <row r="23" spans="1:7">
      <c r="A23" s="1"/>
      <c r="B23" s="1"/>
      <c r="C23" s="1"/>
      <c r="D23" s="1"/>
      <c r="E23" s="52"/>
      <c r="F23" s="1"/>
      <c r="G23" s="52"/>
    </row>
    <row r="24" spans="1:7" ht="42" customHeight="1">
      <c r="A24" s="5" t="s">
        <v>267</v>
      </c>
      <c r="B24" s="5" t="s">
        <v>66</v>
      </c>
      <c r="C24" s="407" t="s">
        <v>67</v>
      </c>
      <c r="D24" s="407"/>
      <c r="E24" s="408"/>
      <c r="F24" s="407"/>
      <c r="G24" s="53" t="s">
        <v>68</v>
      </c>
    </row>
    <row r="25" spans="1:7">
      <c r="A25" s="2" t="s">
        <v>470</v>
      </c>
      <c r="B25" s="2" t="s">
        <v>471</v>
      </c>
      <c r="C25" s="2" t="s">
        <v>4</v>
      </c>
      <c r="D25" s="2" t="s">
        <v>58</v>
      </c>
      <c r="E25" s="54" t="s">
        <v>472</v>
      </c>
      <c r="F25" s="2" t="s">
        <v>473</v>
      </c>
      <c r="G25" s="54" t="s">
        <v>264</v>
      </c>
    </row>
    <row r="26" spans="1:7">
      <c r="A26" s="400" t="s">
        <v>474</v>
      </c>
      <c r="B26" s="400" t="s">
        <v>474</v>
      </c>
      <c r="C26" s="400" t="s">
        <v>474</v>
      </c>
      <c r="D26" s="400" t="s">
        <v>474</v>
      </c>
      <c r="E26" s="401" t="s">
        <v>474</v>
      </c>
      <c r="F26" s="400" t="s">
        <v>474</v>
      </c>
      <c r="G26" s="401" t="s">
        <v>474</v>
      </c>
    </row>
    <row r="27" spans="1:7">
      <c r="A27" s="3" t="s">
        <v>475</v>
      </c>
      <c r="B27" s="3" t="s">
        <v>479</v>
      </c>
      <c r="C27" s="3" t="s">
        <v>480</v>
      </c>
      <c r="D27" s="3" t="s">
        <v>481</v>
      </c>
      <c r="E27" s="262">
        <f>ROUND($G$37,0)</f>
        <v>19953</v>
      </c>
      <c r="F27" s="7">
        <v>0.05</v>
      </c>
      <c r="G27" s="35">
        <f>ROUND(E27*F27,0)</f>
        <v>998</v>
      </c>
    </row>
    <row r="28" spans="1:7">
      <c r="A28" s="402" t="s">
        <v>482</v>
      </c>
      <c r="B28" s="402" t="s">
        <v>482</v>
      </c>
      <c r="C28" s="402" t="s">
        <v>482</v>
      </c>
      <c r="D28" s="402" t="s">
        <v>482</v>
      </c>
      <c r="E28" s="403" t="s">
        <v>482</v>
      </c>
      <c r="F28" s="402" t="s">
        <v>482</v>
      </c>
      <c r="G28" s="55">
        <f>ROUND(SUM(G27:G27),0)</f>
        <v>998</v>
      </c>
    </row>
    <row r="29" spans="1:7">
      <c r="A29" s="400" t="s">
        <v>483</v>
      </c>
      <c r="B29" s="400" t="s">
        <v>483</v>
      </c>
      <c r="C29" s="400" t="s">
        <v>483</v>
      </c>
      <c r="D29" s="400" t="s">
        <v>483</v>
      </c>
      <c r="E29" s="401" t="s">
        <v>483</v>
      </c>
      <c r="F29" s="400" t="s">
        <v>483</v>
      </c>
      <c r="G29" s="401" t="s">
        <v>483</v>
      </c>
    </row>
    <row r="30" spans="1:7">
      <c r="A30" s="3" t="s">
        <v>484</v>
      </c>
      <c r="B30" s="3" t="s">
        <v>505</v>
      </c>
      <c r="C30" s="3" t="s">
        <v>506</v>
      </c>
      <c r="D30" s="3" t="s">
        <v>68</v>
      </c>
      <c r="E30" s="262">
        <f>ROUND(INSUMOS!$E$15,0)</f>
        <v>5500</v>
      </c>
      <c r="F30" s="6">
        <v>1.1000000000000001</v>
      </c>
      <c r="G30" s="35">
        <f>ROUND(E30*F30,0)</f>
        <v>6050</v>
      </c>
    </row>
    <row r="31" spans="1:7">
      <c r="A31" s="3" t="s">
        <v>484</v>
      </c>
      <c r="B31" s="3" t="s">
        <v>507</v>
      </c>
      <c r="C31" s="3" t="s">
        <v>508</v>
      </c>
      <c r="D31" s="3" t="s">
        <v>68</v>
      </c>
      <c r="E31" s="262">
        <f>ROUND(INSUMOS!$E$16,0)</f>
        <v>3332</v>
      </c>
      <c r="F31" s="6">
        <v>1.05</v>
      </c>
      <c r="G31" s="35">
        <f>ROUND(E31*F31,0)</f>
        <v>3499</v>
      </c>
    </row>
    <row r="32" spans="1:7">
      <c r="A32" s="3" t="s">
        <v>484</v>
      </c>
      <c r="B32" s="3" t="s">
        <v>490</v>
      </c>
      <c r="C32" s="3" t="s">
        <v>491</v>
      </c>
      <c r="D32" s="3" t="s">
        <v>492</v>
      </c>
      <c r="E32" s="262">
        <f>ROUND(INSUMOS!$E$13,0)</f>
        <v>6248</v>
      </c>
      <c r="F32" s="6">
        <v>0.1</v>
      </c>
      <c r="G32" s="35">
        <f>ROUND(E32*F32,0)</f>
        <v>625</v>
      </c>
    </row>
    <row r="33" spans="1:7">
      <c r="A33" s="402" t="s">
        <v>495</v>
      </c>
      <c r="B33" s="402" t="s">
        <v>495</v>
      </c>
      <c r="C33" s="402" t="s">
        <v>495</v>
      </c>
      <c r="D33" s="402" t="s">
        <v>495</v>
      </c>
      <c r="E33" s="403" t="s">
        <v>495</v>
      </c>
      <c r="F33" s="402" t="s">
        <v>495</v>
      </c>
      <c r="G33" s="55">
        <f>ROUND(SUM(G30:G32),0)</f>
        <v>10174</v>
      </c>
    </row>
    <row r="34" spans="1:7">
      <c r="A34" s="400" t="s">
        <v>496</v>
      </c>
      <c r="B34" s="400" t="s">
        <v>496</v>
      </c>
      <c r="C34" s="400" t="s">
        <v>496</v>
      </c>
      <c r="D34" s="400" t="s">
        <v>496</v>
      </c>
      <c r="E34" s="401" t="s">
        <v>496</v>
      </c>
      <c r="F34" s="400" t="s">
        <v>496</v>
      </c>
      <c r="G34" s="401" t="s">
        <v>496</v>
      </c>
    </row>
    <row r="35" spans="1:7">
      <c r="A35" s="3" t="s">
        <v>496</v>
      </c>
      <c r="B35" s="3" t="s">
        <v>501</v>
      </c>
      <c r="C35" s="3" t="s">
        <v>502</v>
      </c>
      <c r="D35" s="3" t="s">
        <v>478</v>
      </c>
      <c r="E35" s="262">
        <f>ROUND('MANO DE OBRA'!$E$11,0)</f>
        <v>107973</v>
      </c>
      <c r="F35" s="6">
        <v>7.0000000000000007E-2</v>
      </c>
      <c r="G35" s="35">
        <f>ROUND(E35*F35,0)</f>
        <v>7558</v>
      </c>
    </row>
    <row r="36" spans="1:7">
      <c r="A36" s="3" t="s">
        <v>496</v>
      </c>
      <c r="B36" s="3" t="s">
        <v>509</v>
      </c>
      <c r="C36" s="3" t="s">
        <v>510</v>
      </c>
      <c r="D36" s="3" t="s">
        <v>478</v>
      </c>
      <c r="E36" s="262">
        <f>ROUND('MANO DE OBRA'!$E$12,0)</f>
        <v>177075</v>
      </c>
      <c r="F36" s="6">
        <v>7.0000000000000007E-2</v>
      </c>
      <c r="G36" s="35">
        <f>ROUND(E36*F36,0)</f>
        <v>12395</v>
      </c>
    </row>
    <row r="37" spans="1:7" ht="12.75" thickBot="1">
      <c r="A37" s="402" t="s">
        <v>503</v>
      </c>
      <c r="B37" s="402" t="s">
        <v>503</v>
      </c>
      <c r="C37" s="402" t="s">
        <v>503</v>
      </c>
      <c r="D37" s="402" t="s">
        <v>503</v>
      </c>
      <c r="E37" s="403" t="s">
        <v>503</v>
      </c>
      <c r="F37" s="402" t="s">
        <v>503</v>
      </c>
      <c r="G37" s="55">
        <f>ROUND(SUM(G35:G36),0)</f>
        <v>19953</v>
      </c>
    </row>
    <row r="38" spans="1:7" ht="12.75" thickBot="1">
      <c r="A38" s="404" t="s">
        <v>60</v>
      </c>
      <c r="B38" s="405" t="s">
        <v>504</v>
      </c>
      <c r="C38" s="405" t="s">
        <v>504</v>
      </c>
      <c r="D38" s="405" t="s">
        <v>504</v>
      </c>
      <c r="E38" s="406" t="s">
        <v>504</v>
      </c>
      <c r="F38" s="8"/>
      <c r="G38" s="56">
        <f>ROUND(SUM(G28,G33,G37),0)</f>
        <v>31125</v>
      </c>
    </row>
    <row r="39" spans="1:7">
      <c r="A39" s="1"/>
      <c r="B39" s="1"/>
      <c r="C39" s="1"/>
      <c r="D39" s="1"/>
      <c r="E39" s="52"/>
      <c r="F39" s="1"/>
      <c r="G39" s="52"/>
    </row>
    <row r="40" spans="1:7" ht="42" customHeight="1">
      <c r="A40" s="5" t="s">
        <v>270</v>
      </c>
      <c r="B40" s="5" t="s">
        <v>70</v>
      </c>
      <c r="C40" s="407" t="s">
        <v>71</v>
      </c>
      <c r="D40" s="407"/>
      <c r="E40" s="408"/>
      <c r="F40" s="407"/>
      <c r="G40" s="53" t="s">
        <v>72</v>
      </c>
    </row>
    <row r="41" spans="1:7">
      <c r="A41" s="2" t="s">
        <v>470</v>
      </c>
      <c r="B41" s="2" t="s">
        <v>471</v>
      </c>
      <c r="C41" s="2" t="s">
        <v>4</v>
      </c>
      <c r="D41" s="2" t="s">
        <v>58</v>
      </c>
      <c r="E41" s="54" t="s">
        <v>472</v>
      </c>
      <c r="F41" s="2" t="s">
        <v>473</v>
      </c>
      <c r="G41" s="54" t="s">
        <v>264</v>
      </c>
    </row>
    <row r="42" spans="1:7">
      <c r="A42" s="400" t="s">
        <v>474</v>
      </c>
      <c r="B42" s="400" t="s">
        <v>474</v>
      </c>
      <c r="C42" s="400" t="s">
        <v>474</v>
      </c>
      <c r="D42" s="400" t="s">
        <v>474</v>
      </c>
      <c r="E42" s="401" t="s">
        <v>474</v>
      </c>
      <c r="F42" s="400" t="s">
        <v>474</v>
      </c>
      <c r="G42" s="401" t="s">
        <v>474</v>
      </c>
    </row>
    <row r="43" spans="1:7">
      <c r="A43" s="3" t="s">
        <v>475</v>
      </c>
      <c r="B43" s="3" t="s">
        <v>479</v>
      </c>
      <c r="C43" s="3" t="s">
        <v>480</v>
      </c>
      <c r="D43" s="3" t="s">
        <v>481</v>
      </c>
      <c r="E43" s="262">
        <f>ROUND($G$47,0)</f>
        <v>75581</v>
      </c>
      <c r="F43" s="7">
        <v>0.05</v>
      </c>
      <c r="G43" s="35">
        <f>ROUND(E43*F43,0)</f>
        <v>3779</v>
      </c>
    </row>
    <row r="44" spans="1:7">
      <c r="A44" s="402" t="s">
        <v>482</v>
      </c>
      <c r="B44" s="402" t="s">
        <v>482</v>
      </c>
      <c r="C44" s="402" t="s">
        <v>482</v>
      </c>
      <c r="D44" s="402" t="s">
        <v>482</v>
      </c>
      <c r="E44" s="403" t="s">
        <v>482</v>
      </c>
      <c r="F44" s="402" t="s">
        <v>482</v>
      </c>
      <c r="G44" s="55">
        <f>ROUND(SUM(G43:G43),0)</f>
        <v>3779</v>
      </c>
    </row>
    <row r="45" spans="1:7">
      <c r="A45" s="400" t="s">
        <v>496</v>
      </c>
      <c r="B45" s="400" t="s">
        <v>496</v>
      </c>
      <c r="C45" s="400" t="s">
        <v>496</v>
      </c>
      <c r="D45" s="400" t="s">
        <v>496</v>
      </c>
      <c r="E45" s="401" t="s">
        <v>496</v>
      </c>
      <c r="F45" s="400" t="s">
        <v>496</v>
      </c>
      <c r="G45" s="401" t="s">
        <v>496</v>
      </c>
    </row>
    <row r="46" spans="1:7">
      <c r="A46" s="3" t="s">
        <v>496</v>
      </c>
      <c r="B46" s="3" t="s">
        <v>501</v>
      </c>
      <c r="C46" s="3" t="s">
        <v>502</v>
      </c>
      <c r="D46" s="3" t="s">
        <v>478</v>
      </c>
      <c r="E46" s="262">
        <f>ROUND('MANO DE OBRA'!$E$11,0)</f>
        <v>107973</v>
      </c>
      <c r="F46" s="6">
        <v>0.7</v>
      </c>
      <c r="G46" s="35">
        <f>ROUND(E46*F46,0)</f>
        <v>75581</v>
      </c>
    </row>
    <row r="47" spans="1:7" ht="12.75" thickBot="1">
      <c r="A47" s="402" t="s">
        <v>503</v>
      </c>
      <c r="B47" s="402" t="s">
        <v>503</v>
      </c>
      <c r="C47" s="402" t="s">
        <v>503</v>
      </c>
      <c r="D47" s="402" t="s">
        <v>503</v>
      </c>
      <c r="E47" s="403" t="s">
        <v>503</v>
      </c>
      <c r="F47" s="402" t="s">
        <v>503</v>
      </c>
      <c r="G47" s="55">
        <f>ROUND(SUM(G46:G46),0)</f>
        <v>75581</v>
      </c>
    </row>
    <row r="48" spans="1:7" ht="12.75" thickBot="1">
      <c r="A48" s="404" t="s">
        <v>60</v>
      </c>
      <c r="B48" s="405" t="s">
        <v>504</v>
      </c>
      <c r="C48" s="405" t="s">
        <v>504</v>
      </c>
      <c r="D48" s="405" t="s">
        <v>504</v>
      </c>
      <c r="E48" s="406" t="s">
        <v>504</v>
      </c>
      <c r="F48" s="8"/>
      <c r="G48" s="56">
        <f>ROUND(SUM(G44,G47),0)</f>
        <v>79360</v>
      </c>
    </row>
    <row r="49" spans="1:7">
      <c r="A49" s="1"/>
      <c r="B49" s="1"/>
      <c r="C49" s="1"/>
      <c r="D49" s="1"/>
      <c r="E49" s="52"/>
      <c r="F49" s="1"/>
      <c r="G49" s="52"/>
    </row>
    <row r="50" spans="1:7" ht="42" customHeight="1">
      <c r="A50" s="5" t="s">
        <v>276</v>
      </c>
      <c r="B50" s="5" t="s">
        <v>73</v>
      </c>
      <c r="C50" s="407" t="s">
        <v>74</v>
      </c>
      <c r="D50" s="407"/>
      <c r="E50" s="408"/>
      <c r="F50" s="407"/>
      <c r="G50" s="53" t="s">
        <v>72</v>
      </c>
    </row>
    <row r="51" spans="1:7">
      <c r="A51" s="2" t="s">
        <v>470</v>
      </c>
      <c r="B51" s="2" t="s">
        <v>471</v>
      </c>
      <c r="C51" s="2" t="s">
        <v>4</v>
      </c>
      <c r="D51" s="2" t="s">
        <v>58</v>
      </c>
      <c r="E51" s="54" t="s">
        <v>472</v>
      </c>
      <c r="F51" s="2" t="s">
        <v>473</v>
      </c>
      <c r="G51" s="54" t="s">
        <v>264</v>
      </c>
    </row>
    <row r="52" spans="1:7">
      <c r="A52" s="400" t="s">
        <v>474</v>
      </c>
      <c r="B52" s="400" t="s">
        <v>474</v>
      </c>
      <c r="C52" s="400" t="s">
        <v>474</v>
      </c>
      <c r="D52" s="400" t="s">
        <v>474</v>
      </c>
      <c r="E52" s="401" t="s">
        <v>474</v>
      </c>
      <c r="F52" s="400" t="s">
        <v>474</v>
      </c>
      <c r="G52" s="401" t="s">
        <v>474</v>
      </c>
    </row>
    <row r="53" spans="1:7">
      <c r="A53" s="3" t="s">
        <v>475</v>
      </c>
      <c r="B53" s="3" t="s">
        <v>511</v>
      </c>
      <c r="C53" s="3" t="s">
        <v>512</v>
      </c>
      <c r="D53" s="3" t="s">
        <v>478</v>
      </c>
      <c r="E53" s="262">
        <f>ROUND(EQUIPOS!$E$8,0)</f>
        <v>241800</v>
      </c>
      <c r="F53" s="6">
        <v>0.08</v>
      </c>
      <c r="G53" s="35">
        <f>ROUND(E53*F53,0)</f>
        <v>19344</v>
      </c>
    </row>
    <row r="54" spans="1:7">
      <c r="A54" s="3" t="s">
        <v>475</v>
      </c>
      <c r="B54" s="3" t="s">
        <v>479</v>
      </c>
      <c r="C54" s="3" t="s">
        <v>480</v>
      </c>
      <c r="D54" s="3" t="s">
        <v>481</v>
      </c>
      <c r="E54" s="262">
        <f>ROUND($G$59,0)</f>
        <v>42757</v>
      </c>
      <c r="F54" s="7">
        <v>0.05</v>
      </c>
      <c r="G54" s="35">
        <f>ROUND(E54*F54,0)</f>
        <v>2138</v>
      </c>
    </row>
    <row r="55" spans="1:7">
      <c r="A55" s="402" t="s">
        <v>482</v>
      </c>
      <c r="B55" s="402" t="s">
        <v>482</v>
      </c>
      <c r="C55" s="402" t="s">
        <v>482</v>
      </c>
      <c r="D55" s="402" t="s">
        <v>482</v>
      </c>
      <c r="E55" s="403" t="s">
        <v>482</v>
      </c>
      <c r="F55" s="402" t="s">
        <v>482</v>
      </c>
      <c r="G55" s="55">
        <f>ROUND(SUM(G53:G54),0)</f>
        <v>21482</v>
      </c>
    </row>
    <row r="56" spans="1:7">
      <c r="A56" s="400" t="s">
        <v>496</v>
      </c>
      <c r="B56" s="400" t="s">
        <v>496</v>
      </c>
      <c r="C56" s="400" t="s">
        <v>496</v>
      </c>
      <c r="D56" s="400" t="s">
        <v>496</v>
      </c>
      <c r="E56" s="401" t="s">
        <v>496</v>
      </c>
      <c r="F56" s="400" t="s">
        <v>496</v>
      </c>
      <c r="G56" s="401" t="s">
        <v>496</v>
      </c>
    </row>
    <row r="57" spans="1:7">
      <c r="A57" s="3" t="s">
        <v>496</v>
      </c>
      <c r="B57" s="3" t="s">
        <v>509</v>
      </c>
      <c r="C57" s="3" t="s">
        <v>510</v>
      </c>
      <c r="D57" s="3" t="s">
        <v>478</v>
      </c>
      <c r="E57" s="262">
        <f>ROUND('MANO DE OBRA'!$E$12,0)</f>
        <v>177075</v>
      </c>
      <c r="F57" s="6">
        <v>0.15</v>
      </c>
      <c r="G57" s="35">
        <f>ROUND(E57*F57,0)</f>
        <v>26561</v>
      </c>
    </row>
    <row r="58" spans="1:7">
      <c r="A58" s="3" t="s">
        <v>496</v>
      </c>
      <c r="B58" s="3" t="s">
        <v>501</v>
      </c>
      <c r="C58" s="3" t="s">
        <v>502</v>
      </c>
      <c r="D58" s="3" t="s">
        <v>478</v>
      </c>
      <c r="E58" s="262">
        <f>ROUND('MANO DE OBRA'!$E$11,0)</f>
        <v>107973</v>
      </c>
      <c r="F58" s="6">
        <v>0.15</v>
      </c>
      <c r="G58" s="35">
        <f>ROUND(E58*F58,0)</f>
        <v>16196</v>
      </c>
    </row>
    <row r="59" spans="1:7" ht="12.75" thickBot="1">
      <c r="A59" s="402" t="s">
        <v>503</v>
      </c>
      <c r="B59" s="402" t="s">
        <v>503</v>
      </c>
      <c r="C59" s="402" t="s">
        <v>503</v>
      </c>
      <c r="D59" s="402" t="s">
        <v>503</v>
      </c>
      <c r="E59" s="403" t="s">
        <v>503</v>
      </c>
      <c r="F59" s="402" t="s">
        <v>503</v>
      </c>
      <c r="G59" s="55">
        <f>ROUND(SUM(G57:G58),0)</f>
        <v>42757</v>
      </c>
    </row>
    <row r="60" spans="1:7" ht="12.75" thickBot="1">
      <c r="A60" s="404" t="s">
        <v>60</v>
      </c>
      <c r="B60" s="405" t="s">
        <v>504</v>
      </c>
      <c r="C60" s="405" t="s">
        <v>504</v>
      </c>
      <c r="D60" s="405" t="s">
        <v>504</v>
      </c>
      <c r="E60" s="406" t="s">
        <v>504</v>
      </c>
      <c r="F60" s="8"/>
      <c r="G60" s="56">
        <f>ROUND(SUM(G55,G59),0)</f>
        <v>64239</v>
      </c>
    </row>
    <row r="61" spans="1:7">
      <c r="A61" s="1"/>
      <c r="B61" s="1"/>
      <c r="C61" s="1"/>
      <c r="D61" s="1"/>
      <c r="E61" s="52"/>
      <c r="F61" s="1"/>
      <c r="G61" s="52"/>
    </row>
    <row r="62" spans="1:7" ht="42" customHeight="1">
      <c r="A62" s="5" t="s">
        <v>279</v>
      </c>
      <c r="B62" s="5" t="s">
        <v>75</v>
      </c>
      <c r="C62" s="407" t="s">
        <v>76</v>
      </c>
      <c r="D62" s="407"/>
      <c r="E62" s="408"/>
      <c r="F62" s="407"/>
      <c r="G62" s="53" t="s">
        <v>65</v>
      </c>
    </row>
    <row r="63" spans="1:7">
      <c r="A63" s="2" t="s">
        <v>470</v>
      </c>
      <c r="B63" s="2" t="s">
        <v>471</v>
      </c>
      <c r="C63" s="2" t="s">
        <v>4</v>
      </c>
      <c r="D63" s="2" t="s">
        <v>58</v>
      </c>
      <c r="E63" s="54" t="s">
        <v>472</v>
      </c>
      <c r="F63" s="2" t="s">
        <v>473</v>
      </c>
      <c r="G63" s="54" t="s">
        <v>264</v>
      </c>
    </row>
    <row r="64" spans="1:7">
      <c r="A64" s="400" t="s">
        <v>474</v>
      </c>
      <c r="B64" s="400" t="s">
        <v>474</v>
      </c>
      <c r="C64" s="400" t="s">
        <v>474</v>
      </c>
      <c r="D64" s="400" t="s">
        <v>474</v>
      </c>
      <c r="E64" s="401" t="s">
        <v>474</v>
      </c>
      <c r="F64" s="400" t="s">
        <v>474</v>
      </c>
      <c r="G64" s="401" t="s">
        <v>474</v>
      </c>
    </row>
    <row r="65" spans="1:7">
      <c r="A65" s="3" t="s">
        <v>475</v>
      </c>
      <c r="B65" s="3" t="s">
        <v>513</v>
      </c>
      <c r="C65" s="3" t="s">
        <v>514</v>
      </c>
      <c r="D65" s="3" t="s">
        <v>478</v>
      </c>
      <c r="E65" s="262">
        <f>ROUND(EQUIPOS!$E$9,0)</f>
        <v>87000</v>
      </c>
      <c r="F65" s="6">
        <v>0</v>
      </c>
      <c r="G65" s="35">
        <f>ROUND(E65*F65,0)</f>
        <v>0</v>
      </c>
    </row>
    <row r="66" spans="1:7">
      <c r="A66" s="3" t="s">
        <v>475</v>
      </c>
      <c r="B66" s="3" t="s">
        <v>479</v>
      </c>
      <c r="C66" s="3" t="s">
        <v>480</v>
      </c>
      <c r="D66" s="3" t="s">
        <v>481</v>
      </c>
      <c r="E66" s="262">
        <f>ROUND($G$74,0)</f>
        <v>14253</v>
      </c>
      <c r="F66" s="7">
        <v>0.05</v>
      </c>
      <c r="G66" s="35">
        <f>ROUND(E66*F66,0)</f>
        <v>713</v>
      </c>
    </row>
    <row r="67" spans="1:7">
      <c r="A67" s="402" t="s">
        <v>482</v>
      </c>
      <c r="B67" s="402" t="s">
        <v>482</v>
      </c>
      <c r="C67" s="402" t="s">
        <v>482</v>
      </c>
      <c r="D67" s="402" t="s">
        <v>482</v>
      </c>
      <c r="E67" s="403" t="s">
        <v>482</v>
      </c>
      <c r="F67" s="402" t="s">
        <v>482</v>
      </c>
      <c r="G67" s="55">
        <f>ROUND(SUM(G65:G66),0)</f>
        <v>713</v>
      </c>
    </row>
    <row r="68" spans="1:7">
      <c r="A68" s="400" t="s">
        <v>483</v>
      </c>
      <c r="B68" s="400" t="s">
        <v>483</v>
      </c>
      <c r="C68" s="400" t="s">
        <v>483</v>
      </c>
      <c r="D68" s="400" t="s">
        <v>483</v>
      </c>
      <c r="E68" s="401" t="s">
        <v>483</v>
      </c>
      <c r="F68" s="400" t="s">
        <v>483</v>
      </c>
      <c r="G68" s="401" t="s">
        <v>483</v>
      </c>
    </row>
    <row r="69" spans="1:7">
      <c r="A69" s="3" t="s">
        <v>484</v>
      </c>
      <c r="B69" s="3" t="s">
        <v>515</v>
      </c>
      <c r="C69" s="3" t="s">
        <v>516</v>
      </c>
      <c r="D69" s="3" t="s">
        <v>72</v>
      </c>
      <c r="E69" s="262">
        <f>ROUND(APA!$G$91,0)</f>
        <v>802264</v>
      </c>
      <c r="F69" s="6">
        <v>0.05</v>
      </c>
      <c r="G69" s="35">
        <f>ROUND(E69*F69,0)</f>
        <v>40113</v>
      </c>
    </row>
    <row r="70" spans="1:7">
      <c r="A70" s="402" t="s">
        <v>495</v>
      </c>
      <c r="B70" s="402" t="s">
        <v>495</v>
      </c>
      <c r="C70" s="402" t="s">
        <v>495</v>
      </c>
      <c r="D70" s="402" t="s">
        <v>495</v>
      </c>
      <c r="E70" s="403" t="s">
        <v>495</v>
      </c>
      <c r="F70" s="402" t="s">
        <v>495</v>
      </c>
      <c r="G70" s="55">
        <f>ROUND(SUM(G69:G69),0)</f>
        <v>40113</v>
      </c>
    </row>
    <row r="71" spans="1:7">
      <c r="A71" s="400" t="s">
        <v>496</v>
      </c>
      <c r="B71" s="400" t="s">
        <v>496</v>
      </c>
      <c r="C71" s="400" t="s">
        <v>496</v>
      </c>
      <c r="D71" s="400" t="s">
        <v>496</v>
      </c>
      <c r="E71" s="401" t="s">
        <v>496</v>
      </c>
      <c r="F71" s="400" t="s">
        <v>496</v>
      </c>
      <c r="G71" s="401" t="s">
        <v>496</v>
      </c>
    </row>
    <row r="72" spans="1:7">
      <c r="A72" s="3" t="s">
        <v>496</v>
      </c>
      <c r="B72" s="3" t="s">
        <v>509</v>
      </c>
      <c r="C72" s="3" t="s">
        <v>510</v>
      </c>
      <c r="D72" s="3" t="s">
        <v>478</v>
      </c>
      <c r="E72" s="262">
        <f>ROUND('MANO DE OBRA'!$E$12,0)</f>
        <v>177075</v>
      </c>
      <c r="F72" s="6">
        <v>0.05</v>
      </c>
      <c r="G72" s="35">
        <f>ROUND(E72*F72,0)</f>
        <v>8854</v>
      </c>
    </row>
    <row r="73" spans="1:7">
      <c r="A73" s="3" t="s">
        <v>496</v>
      </c>
      <c r="B73" s="3" t="s">
        <v>501</v>
      </c>
      <c r="C73" s="3" t="s">
        <v>502</v>
      </c>
      <c r="D73" s="3" t="s">
        <v>478</v>
      </c>
      <c r="E73" s="262">
        <f>ROUND('MANO DE OBRA'!$E$11,0)</f>
        <v>107973</v>
      </c>
      <c r="F73" s="6">
        <v>0.05</v>
      </c>
      <c r="G73" s="35">
        <f>ROUND(E73*F73,0)</f>
        <v>5399</v>
      </c>
    </row>
    <row r="74" spans="1:7" ht="12.75" thickBot="1">
      <c r="A74" s="402" t="s">
        <v>503</v>
      </c>
      <c r="B74" s="402" t="s">
        <v>503</v>
      </c>
      <c r="C74" s="402" t="s">
        <v>503</v>
      </c>
      <c r="D74" s="402" t="s">
        <v>503</v>
      </c>
      <c r="E74" s="403" t="s">
        <v>503</v>
      </c>
      <c r="F74" s="402" t="s">
        <v>503</v>
      </c>
      <c r="G74" s="55">
        <f>ROUND(SUM(G72:G73),0)</f>
        <v>14253</v>
      </c>
    </row>
    <row r="75" spans="1:7" ht="12.75" thickBot="1">
      <c r="A75" s="404" t="s">
        <v>60</v>
      </c>
      <c r="B75" s="405" t="s">
        <v>504</v>
      </c>
      <c r="C75" s="405" t="s">
        <v>504</v>
      </c>
      <c r="D75" s="405" t="s">
        <v>504</v>
      </c>
      <c r="E75" s="406" t="s">
        <v>504</v>
      </c>
      <c r="F75" s="8"/>
      <c r="G75" s="56">
        <f>ROUND(SUM(G67,G70,G74),0)</f>
        <v>55079</v>
      </c>
    </row>
    <row r="76" spans="1:7">
      <c r="A76" s="1"/>
      <c r="B76" s="1"/>
      <c r="C76" s="1"/>
      <c r="D76" s="1"/>
      <c r="E76" s="52"/>
      <c r="F76" s="1"/>
      <c r="G76" s="52"/>
    </row>
    <row r="77" spans="1:7" ht="42" customHeight="1">
      <c r="A77" s="5" t="s">
        <v>285</v>
      </c>
      <c r="B77" s="5" t="s">
        <v>77</v>
      </c>
      <c r="C77" s="407" t="s">
        <v>78</v>
      </c>
      <c r="D77" s="407"/>
      <c r="E77" s="408"/>
      <c r="F77" s="407"/>
      <c r="G77" s="53" t="s">
        <v>72</v>
      </c>
    </row>
    <row r="78" spans="1:7">
      <c r="A78" s="2" t="s">
        <v>470</v>
      </c>
      <c r="B78" s="2" t="s">
        <v>471</v>
      </c>
      <c r="C78" s="2" t="s">
        <v>4</v>
      </c>
      <c r="D78" s="2" t="s">
        <v>58</v>
      </c>
      <c r="E78" s="54" t="s">
        <v>472</v>
      </c>
      <c r="F78" s="2" t="s">
        <v>517</v>
      </c>
      <c r="G78" s="54" t="s">
        <v>264</v>
      </c>
    </row>
    <row r="79" spans="1:7">
      <c r="A79" s="400" t="s">
        <v>474</v>
      </c>
      <c r="B79" s="400" t="s">
        <v>474</v>
      </c>
      <c r="C79" s="400" t="s">
        <v>474</v>
      </c>
      <c r="D79" s="400" t="s">
        <v>474</v>
      </c>
      <c r="E79" s="401" t="s">
        <v>474</v>
      </c>
      <c r="F79" s="400" t="s">
        <v>474</v>
      </c>
      <c r="G79" s="401" t="s">
        <v>474</v>
      </c>
    </row>
    <row r="80" spans="1:7">
      <c r="A80" s="3" t="s">
        <v>475</v>
      </c>
      <c r="B80" s="3" t="s">
        <v>513</v>
      </c>
      <c r="C80" s="3" t="s">
        <v>514</v>
      </c>
      <c r="D80" s="3" t="s">
        <v>478</v>
      </c>
      <c r="E80" s="262">
        <f>ROUND(EQUIPOS!$E$9,0)</f>
        <v>87000</v>
      </c>
      <c r="F80" s="6">
        <v>0</v>
      </c>
      <c r="G80" s="35">
        <f>ROUND(E80*F80,0)</f>
        <v>0</v>
      </c>
    </row>
    <row r="81" spans="1:7">
      <c r="A81" s="3" t="s">
        <v>475</v>
      </c>
      <c r="B81" s="3" t="s">
        <v>479</v>
      </c>
      <c r="C81" s="3" t="s">
        <v>480</v>
      </c>
      <c r="D81" s="3" t="s">
        <v>481</v>
      </c>
      <c r="E81" s="262">
        <f>ROUND($G$94,0)</f>
        <v>167676</v>
      </c>
      <c r="F81" s="7">
        <v>0.05</v>
      </c>
      <c r="G81" s="35">
        <f>ROUND(E81*F81,0)</f>
        <v>8384</v>
      </c>
    </row>
    <row r="82" spans="1:7">
      <c r="A82" s="402" t="s">
        <v>482</v>
      </c>
      <c r="B82" s="402" t="s">
        <v>482</v>
      </c>
      <c r="C82" s="402" t="s">
        <v>482</v>
      </c>
      <c r="D82" s="402" t="s">
        <v>482</v>
      </c>
      <c r="E82" s="403" t="s">
        <v>482</v>
      </c>
      <c r="F82" s="402" t="s">
        <v>482</v>
      </c>
      <c r="G82" s="55">
        <f>ROUND(SUM(G80:G81),0)</f>
        <v>8384</v>
      </c>
    </row>
    <row r="83" spans="1:7">
      <c r="A83" s="400" t="s">
        <v>483</v>
      </c>
      <c r="B83" s="400" t="s">
        <v>483</v>
      </c>
      <c r="C83" s="400" t="s">
        <v>483</v>
      </c>
      <c r="D83" s="400" t="s">
        <v>483</v>
      </c>
      <c r="E83" s="401" t="s">
        <v>483</v>
      </c>
      <c r="F83" s="400" t="s">
        <v>483</v>
      </c>
      <c r="G83" s="401" t="s">
        <v>483</v>
      </c>
    </row>
    <row r="84" spans="1:7">
      <c r="A84" s="3" t="s">
        <v>484</v>
      </c>
      <c r="B84" s="3" t="s">
        <v>518</v>
      </c>
      <c r="C84" s="3" t="s">
        <v>519</v>
      </c>
      <c r="D84" s="3" t="s">
        <v>72</v>
      </c>
      <c r="E84" s="262">
        <f>ROUND(APA!$G$137,0)</f>
        <v>860966</v>
      </c>
      <c r="F84" s="6">
        <v>1</v>
      </c>
      <c r="G84" s="35">
        <f t="shared" ref="G84:G89" si="0">ROUND(E84*F84,0)</f>
        <v>860966</v>
      </c>
    </row>
    <row r="85" spans="1:7" ht="24">
      <c r="A85" s="3" t="s">
        <v>484</v>
      </c>
      <c r="B85" s="3" t="s">
        <v>520</v>
      </c>
      <c r="C85" s="3" t="s">
        <v>521</v>
      </c>
      <c r="D85" s="3" t="s">
        <v>522</v>
      </c>
      <c r="E85" s="262">
        <f>ROUND(INSUMOS!$E$17,0)</f>
        <v>25783</v>
      </c>
      <c r="F85" s="6">
        <f>(4*1.4*0.3)/(0.3*2*1.4*1.4*0.3)</f>
        <v>4.7619047619047628</v>
      </c>
      <c r="G85" s="35">
        <f t="shared" si="0"/>
        <v>122776</v>
      </c>
    </row>
    <row r="86" spans="1:7">
      <c r="A86" s="3" t="s">
        <v>484</v>
      </c>
      <c r="B86" s="3" t="s">
        <v>523</v>
      </c>
      <c r="C86" s="3" t="s">
        <v>524</v>
      </c>
      <c r="D86" s="3" t="s">
        <v>492</v>
      </c>
      <c r="E86" s="262">
        <f>ROUND(INSUMOS!$E$18,0)</f>
        <v>6248</v>
      </c>
      <c r="F86" s="6">
        <v>0.2</v>
      </c>
      <c r="G86" s="35">
        <f t="shared" si="0"/>
        <v>1250</v>
      </c>
    </row>
    <row r="87" spans="1:7">
      <c r="A87" s="3" t="s">
        <v>484</v>
      </c>
      <c r="B87" s="3" t="s">
        <v>525</v>
      </c>
      <c r="C87" s="3" t="s">
        <v>526</v>
      </c>
      <c r="D87" s="3" t="s">
        <v>68</v>
      </c>
      <c r="E87" s="262">
        <f>ROUND(INSUMOS!$E$19,0)</f>
        <v>5000</v>
      </c>
      <c r="F87" s="6">
        <v>0.5</v>
      </c>
      <c r="G87" s="35">
        <f t="shared" si="0"/>
        <v>2500</v>
      </c>
    </row>
    <row r="88" spans="1:7">
      <c r="A88" s="3" t="s">
        <v>484</v>
      </c>
      <c r="B88" s="3" t="s">
        <v>527</v>
      </c>
      <c r="C88" s="3" t="s">
        <v>528</v>
      </c>
      <c r="D88" s="3" t="s">
        <v>120</v>
      </c>
      <c r="E88" s="262">
        <f>ROUND(INSUMOS!$E$20,0)</f>
        <v>9226</v>
      </c>
      <c r="F88" s="6">
        <v>1.2</v>
      </c>
      <c r="G88" s="35">
        <f t="shared" si="0"/>
        <v>11071</v>
      </c>
    </row>
    <row r="89" spans="1:7">
      <c r="A89" s="3" t="s">
        <v>484</v>
      </c>
      <c r="B89" s="3" t="s">
        <v>505</v>
      </c>
      <c r="C89" s="3" t="s">
        <v>529</v>
      </c>
      <c r="D89" s="3" t="s">
        <v>68</v>
      </c>
      <c r="E89" s="262">
        <f>ROUND(INSUMOS!$E$15,0)</f>
        <v>5500</v>
      </c>
      <c r="F89" s="6">
        <v>3</v>
      </c>
      <c r="G89" s="35">
        <f t="shared" si="0"/>
        <v>16500</v>
      </c>
    </row>
    <row r="90" spans="1:7">
      <c r="A90" s="402" t="s">
        <v>495</v>
      </c>
      <c r="B90" s="402" t="s">
        <v>495</v>
      </c>
      <c r="C90" s="402" t="s">
        <v>495</v>
      </c>
      <c r="D90" s="402" t="s">
        <v>495</v>
      </c>
      <c r="E90" s="403" t="s">
        <v>495</v>
      </c>
      <c r="F90" s="402" t="s">
        <v>495</v>
      </c>
      <c r="G90" s="55">
        <f>ROUND(SUM(G84:G89),0)</f>
        <v>1015063</v>
      </c>
    </row>
    <row r="91" spans="1:7">
      <c r="A91" s="400" t="s">
        <v>496</v>
      </c>
      <c r="B91" s="400" t="s">
        <v>496</v>
      </c>
      <c r="C91" s="400" t="s">
        <v>496</v>
      </c>
      <c r="D91" s="400" t="s">
        <v>496</v>
      </c>
      <c r="E91" s="401" t="s">
        <v>496</v>
      </c>
      <c r="F91" s="400" t="s">
        <v>496</v>
      </c>
      <c r="G91" s="401" t="s">
        <v>496</v>
      </c>
    </row>
    <row r="92" spans="1:7">
      <c r="A92" s="3" t="s">
        <v>496</v>
      </c>
      <c r="B92" s="3" t="s">
        <v>509</v>
      </c>
      <c r="C92" s="3" t="s">
        <v>510</v>
      </c>
      <c r="D92" s="3" t="s">
        <v>478</v>
      </c>
      <c r="E92" s="262">
        <f>ROUND('MANO DE OBRA'!$E$12,0)</f>
        <v>177075</v>
      </c>
      <c r="F92" s="6">
        <v>1.7</v>
      </c>
      <c r="G92" s="35">
        <f>ROUND(E92/F92,0)</f>
        <v>104162</v>
      </c>
    </row>
    <row r="93" spans="1:7">
      <c r="A93" s="3" t="s">
        <v>496</v>
      </c>
      <c r="B93" s="3" t="s">
        <v>501</v>
      </c>
      <c r="C93" s="3" t="s">
        <v>502</v>
      </c>
      <c r="D93" s="3" t="s">
        <v>478</v>
      </c>
      <c r="E93" s="262">
        <f>ROUND('MANO DE OBRA'!$E$11,0)</f>
        <v>107973</v>
      </c>
      <c r="F93" s="6">
        <v>1.7</v>
      </c>
      <c r="G93" s="35">
        <f>ROUND(E93/F93,0)</f>
        <v>63514</v>
      </c>
    </row>
    <row r="94" spans="1:7" ht="12.75" thickBot="1">
      <c r="A94" s="402" t="s">
        <v>503</v>
      </c>
      <c r="B94" s="402" t="s">
        <v>503</v>
      </c>
      <c r="C94" s="402" t="s">
        <v>503</v>
      </c>
      <c r="D94" s="402" t="s">
        <v>503</v>
      </c>
      <c r="E94" s="403" t="s">
        <v>503</v>
      </c>
      <c r="F94" s="402" t="s">
        <v>503</v>
      </c>
      <c r="G94" s="55">
        <f>ROUND(SUM(G92:G93),0)</f>
        <v>167676</v>
      </c>
    </row>
    <row r="95" spans="1:7" ht="12.75" thickBot="1">
      <c r="A95" s="404" t="s">
        <v>60</v>
      </c>
      <c r="B95" s="405" t="s">
        <v>504</v>
      </c>
      <c r="C95" s="405" t="s">
        <v>504</v>
      </c>
      <c r="D95" s="405" t="s">
        <v>504</v>
      </c>
      <c r="E95" s="406" t="s">
        <v>504</v>
      </c>
      <c r="F95" s="8"/>
      <c r="G95" s="56">
        <f>ROUND(SUM(G82,G90,G94),0)</f>
        <v>1191123</v>
      </c>
    </row>
    <row r="96" spans="1:7">
      <c r="A96" s="1"/>
      <c r="B96" s="1"/>
      <c r="C96" s="1"/>
      <c r="D96" s="1"/>
      <c r="E96" s="52"/>
      <c r="F96" s="1"/>
      <c r="G96" s="52"/>
    </row>
    <row r="97" spans="1:7" ht="42" customHeight="1">
      <c r="A97" s="5" t="s">
        <v>287</v>
      </c>
      <c r="B97" s="5" t="s">
        <v>79</v>
      </c>
      <c r="C97" s="407" t="s">
        <v>80</v>
      </c>
      <c r="D97" s="407"/>
      <c r="E97" s="408"/>
      <c r="F97" s="407"/>
      <c r="G97" s="53" t="s">
        <v>72</v>
      </c>
    </row>
    <row r="98" spans="1:7">
      <c r="A98" s="2" t="s">
        <v>470</v>
      </c>
      <c r="B98" s="2" t="s">
        <v>471</v>
      </c>
      <c r="C98" s="2" t="s">
        <v>4</v>
      </c>
      <c r="D98" s="2" t="s">
        <v>58</v>
      </c>
      <c r="E98" s="54" t="s">
        <v>472</v>
      </c>
      <c r="F98" s="2" t="s">
        <v>517</v>
      </c>
      <c r="G98" s="54" t="s">
        <v>264</v>
      </c>
    </row>
    <row r="99" spans="1:7">
      <c r="A99" s="400" t="s">
        <v>474</v>
      </c>
      <c r="B99" s="400" t="s">
        <v>474</v>
      </c>
      <c r="C99" s="400" t="s">
        <v>474</v>
      </c>
      <c r="D99" s="400" t="s">
        <v>474</v>
      </c>
      <c r="E99" s="401" t="s">
        <v>474</v>
      </c>
      <c r="F99" s="400" t="s">
        <v>474</v>
      </c>
      <c r="G99" s="401" t="s">
        <v>474</v>
      </c>
    </row>
    <row r="100" spans="1:7">
      <c r="A100" s="3" t="s">
        <v>475</v>
      </c>
      <c r="B100" s="3" t="s">
        <v>513</v>
      </c>
      <c r="C100" s="3" t="s">
        <v>514</v>
      </c>
      <c r="D100" s="3" t="s">
        <v>478</v>
      </c>
      <c r="E100" s="262">
        <f>ROUND(EQUIPOS!$E$9,0)</f>
        <v>87000</v>
      </c>
      <c r="F100" s="6">
        <v>0</v>
      </c>
      <c r="G100" s="35">
        <f>ROUND(E100*F100,0)</f>
        <v>0</v>
      </c>
    </row>
    <row r="101" spans="1:7">
      <c r="A101" s="3" t="s">
        <v>475</v>
      </c>
      <c r="B101" s="3" t="s">
        <v>479</v>
      </c>
      <c r="C101" s="3" t="s">
        <v>480</v>
      </c>
      <c r="D101" s="3" t="s">
        <v>481</v>
      </c>
      <c r="E101" s="262">
        <f>ROUND($G$114,0)</f>
        <v>167676</v>
      </c>
      <c r="F101" s="7">
        <v>0.05</v>
      </c>
      <c r="G101" s="35">
        <f>ROUND(E101*F101,0)</f>
        <v>8384</v>
      </c>
    </row>
    <row r="102" spans="1:7">
      <c r="A102" s="402" t="s">
        <v>482</v>
      </c>
      <c r="B102" s="402" t="s">
        <v>482</v>
      </c>
      <c r="C102" s="402" t="s">
        <v>482</v>
      </c>
      <c r="D102" s="402" t="s">
        <v>482</v>
      </c>
      <c r="E102" s="403" t="s">
        <v>482</v>
      </c>
      <c r="F102" s="402" t="s">
        <v>482</v>
      </c>
      <c r="G102" s="55">
        <f>ROUND(SUM(G100:G101),0)</f>
        <v>8384</v>
      </c>
    </row>
    <row r="103" spans="1:7">
      <c r="A103" s="400" t="s">
        <v>483</v>
      </c>
      <c r="B103" s="400" t="s">
        <v>483</v>
      </c>
      <c r="C103" s="400" t="s">
        <v>483</v>
      </c>
      <c r="D103" s="400" t="s">
        <v>483</v>
      </c>
      <c r="E103" s="401" t="s">
        <v>483</v>
      </c>
      <c r="F103" s="400" t="s">
        <v>483</v>
      </c>
      <c r="G103" s="401" t="s">
        <v>483</v>
      </c>
    </row>
    <row r="104" spans="1:7">
      <c r="A104" s="3" t="s">
        <v>484</v>
      </c>
      <c r="B104" s="3" t="s">
        <v>518</v>
      </c>
      <c r="C104" s="3" t="s">
        <v>519</v>
      </c>
      <c r="D104" s="3" t="s">
        <v>72</v>
      </c>
      <c r="E104" s="262">
        <f>ROUND(APA!$G$137,0)</f>
        <v>860966</v>
      </c>
      <c r="F104" s="6">
        <v>1</v>
      </c>
      <c r="G104" s="35">
        <f t="shared" ref="G104:G109" si="1">ROUND(E104*F104,0)</f>
        <v>860966</v>
      </c>
    </row>
    <row r="105" spans="1:7" ht="24">
      <c r="A105" s="3" t="s">
        <v>484</v>
      </c>
      <c r="B105" s="3" t="s">
        <v>520</v>
      </c>
      <c r="C105" s="3" t="s">
        <v>521</v>
      </c>
      <c r="D105" s="3" t="s">
        <v>522</v>
      </c>
      <c r="E105" s="262">
        <f>ROUND(INSUMOS!$E$17,0)</f>
        <v>25783</v>
      </c>
      <c r="F105" s="6">
        <f>(4*0.4)/(0.3*2*0.4*0.4)</f>
        <v>16.666666666666668</v>
      </c>
      <c r="G105" s="35">
        <f t="shared" si="1"/>
        <v>429717</v>
      </c>
    </row>
    <row r="106" spans="1:7">
      <c r="A106" s="3" t="s">
        <v>484</v>
      </c>
      <c r="B106" s="3" t="s">
        <v>523</v>
      </c>
      <c r="C106" s="3" t="s">
        <v>524</v>
      </c>
      <c r="D106" s="3" t="s">
        <v>492</v>
      </c>
      <c r="E106" s="262">
        <f>ROUND(INSUMOS!$E$18,0)</f>
        <v>6248</v>
      </c>
      <c r="F106" s="6">
        <v>0.2</v>
      </c>
      <c r="G106" s="35">
        <f t="shared" si="1"/>
        <v>1250</v>
      </c>
    </row>
    <row r="107" spans="1:7">
      <c r="A107" s="3" t="s">
        <v>484</v>
      </c>
      <c r="B107" s="3" t="s">
        <v>525</v>
      </c>
      <c r="C107" s="3" t="s">
        <v>526</v>
      </c>
      <c r="D107" s="3" t="s">
        <v>68</v>
      </c>
      <c r="E107" s="262">
        <f>ROUND(INSUMOS!$E$19,0)</f>
        <v>5000</v>
      </c>
      <c r="F107" s="6">
        <v>0.5</v>
      </c>
      <c r="G107" s="35">
        <f t="shared" si="1"/>
        <v>2500</v>
      </c>
    </row>
    <row r="108" spans="1:7">
      <c r="A108" s="3" t="s">
        <v>484</v>
      </c>
      <c r="B108" s="3" t="s">
        <v>527</v>
      </c>
      <c r="C108" s="3" t="s">
        <v>528</v>
      </c>
      <c r="D108" s="3" t="s">
        <v>120</v>
      </c>
      <c r="E108" s="262">
        <f>ROUND(INSUMOS!$E$20,0)</f>
        <v>9226</v>
      </c>
      <c r="F108" s="6">
        <v>1.2</v>
      </c>
      <c r="G108" s="35">
        <f t="shared" si="1"/>
        <v>11071</v>
      </c>
    </row>
    <row r="109" spans="1:7">
      <c r="A109" s="3" t="s">
        <v>484</v>
      </c>
      <c r="B109" s="3" t="s">
        <v>505</v>
      </c>
      <c r="C109" s="3" t="s">
        <v>529</v>
      </c>
      <c r="D109" s="3" t="s">
        <v>68</v>
      </c>
      <c r="E109" s="262">
        <f>ROUND(INSUMOS!$E$15,0)</f>
        <v>5500</v>
      </c>
      <c r="F109" s="6">
        <v>3</v>
      </c>
      <c r="G109" s="35">
        <f t="shared" si="1"/>
        <v>16500</v>
      </c>
    </row>
    <row r="110" spans="1:7">
      <c r="A110" s="402" t="s">
        <v>495</v>
      </c>
      <c r="B110" s="402" t="s">
        <v>495</v>
      </c>
      <c r="C110" s="402" t="s">
        <v>495</v>
      </c>
      <c r="D110" s="402" t="s">
        <v>495</v>
      </c>
      <c r="E110" s="403" t="s">
        <v>495</v>
      </c>
      <c r="F110" s="402" t="s">
        <v>495</v>
      </c>
      <c r="G110" s="55">
        <f>ROUND(SUM(G104:G109),0)</f>
        <v>1322004</v>
      </c>
    </row>
    <row r="111" spans="1:7">
      <c r="A111" s="400" t="s">
        <v>496</v>
      </c>
      <c r="B111" s="400" t="s">
        <v>496</v>
      </c>
      <c r="C111" s="400" t="s">
        <v>496</v>
      </c>
      <c r="D111" s="400" t="s">
        <v>496</v>
      </c>
      <c r="E111" s="401" t="s">
        <v>496</v>
      </c>
      <c r="F111" s="400" t="s">
        <v>496</v>
      </c>
      <c r="G111" s="401" t="s">
        <v>496</v>
      </c>
    </row>
    <row r="112" spans="1:7">
      <c r="A112" s="3" t="s">
        <v>496</v>
      </c>
      <c r="B112" s="3" t="s">
        <v>509</v>
      </c>
      <c r="C112" s="3" t="s">
        <v>510</v>
      </c>
      <c r="D112" s="3" t="s">
        <v>478</v>
      </c>
      <c r="E112" s="262">
        <f>ROUND('MANO DE OBRA'!$E$12,0)</f>
        <v>177075</v>
      </c>
      <c r="F112" s="6">
        <v>1.7</v>
      </c>
      <c r="G112" s="35">
        <f>ROUND(E112/F112,0)</f>
        <v>104162</v>
      </c>
    </row>
    <row r="113" spans="1:7">
      <c r="A113" s="3" t="s">
        <v>496</v>
      </c>
      <c r="B113" s="3" t="s">
        <v>501</v>
      </c>
      <c r="C113" s="3" t="s">
        <v>502</v>
      </c>
      <c r="D113" s="3" t="s">
        <v>478</v>
      </c>
      <c r="E113" s="262">
        <f>ROUND('MANO DE OBRA'!$E$11,0)</f>
        <v>107973</v>
      </c>
      <c r="F113" s="6">
        <v>1.7</v>
      </c>
      <c r="G113" s="35">
        <f>ROUND(E113/F113,0)</f>
        <v>63514</v>
      </c>
    </row>
    <row r="114" spans="1:7" ht="12.75" thickBot="1">
      <c r="A114" s="402" t="s">
        <v>503</v>
      </c>
      <c r="B114" s="402" t="s">
        <v>503</v>
      </c>
      <c r="C114" s="402" t="s">
        <v>503</v>
      </c>
      <c r="D114" s="402" t="s">
        <v>503</v>
      </c>
      <c r="E114" s="403" t="s">
        <v>503</v>
      </c>
      <c r="F114" s="402" t="s">
        <v>503</v>
      </c>
      <c r="G114" s="55">
        <f>ROUND(SUM(G112:G113),0)</f>
        <v>167676</v>
      </c>
    </row>
    <row r="115" spans="1:7" ht="12.75" thickBot="1">
      <c r="A115" s="404" t="s">
        <v>60</v>
      </c>
      <c r="B115" s="405" t="s">
        <v>504</v>
      </c>
      <c r="C115" s="405" t="s">
        <v>504</v>
      </c>
      <c r="D115" s="405" t="s">
        <v>504</v>
      </c>
      <c r="E115" s="406" t="s">
        <v>504</v>
      </c>
      <c r="F115" s="8"/>
      <c r="G115" s="56">
        <f>ROUND(SUM(G102,G110,G114),0)</f>
        <v>1498064</v>
      </c>
    </row>
    <row r="116" spans="1:7">
      <c r="A116" s="1"/>
      <c r="B116" s="1"/>
      <c r="C116" s="1"/>
      <c r="D116" s="1"/>
      <c r="E116" s="52"/>
      <c r="F116" s="1"/>
      <c r="G116" s="52"/>
    </row>
    <row r="117" spans="1:7" ht="42" customHeight="1">
      <c r="A117" s="5" t="s">
        <v>290</v>
      </c>
      <c r="B117" s="5" t="s">
        <v>81</v>
      </c>
      <c r="C117" s="407" t="s">
        <v>82</v>
      </c>
      <c r="D117" s="407"/>
      <c r="E117" s="408"/>
      <c r="F117" s="407"/>
      <c r="G117" s="53" t="s">
        <v>72</v>
      </c>
    </row>
    <row r="118" spans="1:7">
      <c r="A118" s="2" t="s">
        <v>470</v>
      </c>
      <c r="B118" s="2" t="s">
        <v>471</v>
      </c>
      <c r="C118" s="2" t="s">
        <v>4</v>
      </c>
      <c r="D118" s="2" t="s">
        <v>58</v>
      </c>
      <c r="E118" s="54" t="s">
        <v>472</v>
      </c>
      <c r="F118" s="2" t="s">
        <v>517</v>
      </c>
      <c r="G118" s="54" t="s">
        <v>264</v>
      </c>
    </row>
    <row r="119" spans="1:7">
      <c r="A119" s="400" t="s">
        <v>474</v>
      </c>
      <c r="B119" s="400" t="s">
        <v>474</v>
      </c>
      <c r="C119" s="400" t="s">
        <v>474</v>
      </c>
      <c r="D119" s="400" t="s">
        <v>474</v>
      </c>
      <c r="E119" s="401" t="s">
        <v>474</v>
      </c>
      <c r="F119" s="400" t="s">
        <v>474</v>
      </c>
      <c r="G119" s="401" t="s">
        <v>474</v>
      </c>
    </row>
    <row r="120" spans="1:7">
      <c r="A120" s="3" t="s">
        <v>475</v>
      </c>
      <c r="B120" s="3" t="s">
        <v>513</v>
      </c>
      <c r="C120" s="3" t="s">
        <v>514</v>
      </c>
      <c r="D120" s="3" t="s">
        <v>478</v>
      </c>
      <c r="E120" s="262">
        <f>ROUND(EQUIPOS!$E$9,0)</f>
        <v>87000</v>
      </c>
      <c r="F120" s="6">
        <v>0</v>
      </c>
      <c r="G120" s="35">
        <f>ROUND(E120*F120,0)</f>
        <v>0</v>
      </c>
    </row>
    <row r="121" spans="1:7">
      <c r="A121" s="3" t="s">
        <v>475</v>
      </c>
      <c r="B121" s="3" t="s">
        <v>479</v>
      </c>
      <c r="C121" s="3" t="s">
        <v>480</v>
      </c>
      <c r="D121" s="3" t="s">
        <v>481</v>
      </c>
      <c r="E121" s="262">
        <f>ROUND($G$134,0)</f>
        <v>167676</v>
      </c>
      <c r="F121" s="7">
        <v>0.05</v>
      </c>
      <c r="G121" s="35">
        <f>ROUND(E121*F121,0)</f>
        <v>8384</v>
      </c>
    </row>
    <row r="122" spans="1:7">
      <c r="A122" s="402" t="s">
        <v>482</v>
      </c>
      <c r="B122" s="402" t="s">
        <v>482</v>
      </c>
      <c r="C122" s="402" t="s">
        <v>482</v>
      </c>
      <c r="D122" s="402" t="s">
        <v>482</v>
      </c>
      <c r="E122" s="403" t="s">
        <v>482</v>
      </c>
      <c r="F122" s="402" t="s">
        <v>482</v>
      </c>
      <c r="G122" s="55">
        <f>ROUND(SUM(G120:G121),0)</f>
        <v>8384</v>
      </c>
    </row>
    <row r="123" spans="1:7">
      <c r="A123" s="400" t="s">
        <v>483</v>
      </c>
      <c r="B123" s="400" t="s">
        <v>483</v>
      </c>
      <c r="C123" s="400" t="s">
        <v>483</v>
      </c>
      <c r="D123" s="400" t="s">
        <v>483</v>
      </c>
      <c r="E123" s="401" t="s">
        <v>483</v>
      </c>
      <c r="F123" s="400" t="s">
        <v>483</v>
      </c>
      <c r="G123" s="401" t="s">
        <v>483</v>
      </c>
    </row>
    <row r="124" spans="1:7">
      <c r="A124" s="3" t="s">
        <v>484</v>
      </c>
      <c r="B124" s="3" t="s">
        <v>518</v>
      </c>
      <c r="C124" s="3" t="s">
        <v>519</v>
      </c>
      <c r="D124" s="3" t="s">
        <v>72</v>
      </c>
      <c r="E124" s="262">
        <f>ROUND(APA!$G$137,0)</f>
        <v>860966</v>
      </c>
      <c r="F124" s="6">
        <v>1</v>
      </c>
      <c r="G124" s="35">
        <f t="shared" ref="G124:G129" si="2">ROUND(E124*F124,0)</f>
        <v>860966</v>
      </c>
    </row>
    <row r="125" spans="1:7" ht="24">
      <c r="A125" s="3" t="s">
        <v>484</v>
      </c>
      <c r="B125" s="3" t="s">
        <v>520</v>
      </c>
      <c r="C125" s="3" t="s">
        <v>521</v>
      </c>
      <c r="D125" s="3" t="s">
        <v>522</v>
      </c>
      <c r="E125" s="262">
        <f>ROUND(INSUMOS!$E$17,0)</f>
        <v>25783</v>
      </c>
      <c r="F125" s="6">
        <f>(2*0.45)/(0.3*2*0.4*0.45)</f>
        <v>8.3333333333333339</v>
      </c>
      <c r="G125" s="35">
        <f t="shared" si="2"/>
        <v>214858</v>
      </c>
    </row>
    <row r="126" spans="1:7">
      <c r="A126" s="3" t="s">
        <v>484</v>
      </c>
      <c r="B126" s="3" t="s">
        <v>523</v>
      </c>
      <c r="C126" s="3" t="s">
        <v>524</v>
      </c>
      <c r="D126" s="3" t="s">
        <v>492</v>
      </c>
      <c r="E126" s="262">
        <f>ROUND(INSUMOS!$E$18,0)</f>
        <v>6248</v>
      </c>
      <c r="F126" s="6">
        <v>0.2</v>
      </c>
      <c r="G126" s="35">
        <f t="shared" si="2"/>
        <v>1250</v>
      </c>
    </row>
    <row r="127" spans="1:7">
      <c r="A127" s="3" t="s">
        <v>484</v>
      </c>
      <c r="B127" s="3" t="s">
        <v>525</v>
      </c>
      <c r="C127" s="3" t="s">
        <v>526</v>
      </c>
      <c r="D127" s="3" t="s">
        <v>68</v>
      </c>
      <c r="E127" s="262">
        <f>ROUND(INSUMOS!$E$19,0)</f>
        <v>5000</v>
      </c>
      <c r="F127" s="6">
        <v>0.5</v>
      </c>
      <c r="G127" s="35">
        <f t="shared" si="2"/>
        <v>2500</v>
      </c>
    </row>
    <row r="128" spans="1:7">
      <c r="A128" s="3" t="s">
        <v>484</v>
      </c>
      <c r="B128" s="3" t="s">
        <v>527</v>
      </c>
      <c r="C128" s="3" t="s">
        <v>528</v>
      </c>
      <c r="D128" s="3" t="s">
        <v>120</v>
      </c>
      <c r="E128" s="262">
        <f>ROUND(INSUMOS!$E$20,0)</f>
        <v>9226</v>
      </c>
      <c r="F128" s="6">
        <v>1.2</v>
      </c>
      <c r="G128" s="35">
        <f t="shared" si="2"/>
        <v>11071</v>
      </c>
    </row>
    <row r="129" spans="1:7">
      <c r="A129" s="3" t="s">
        <v>484</v>
      </c>
      <c r="B129" s="3" t="s">
        <v>505</v>
      </c>
      <c r="C129" s="3" t="s">
        <v>529</v>
      </c>
      <c r="D129" s="3" t="s">
        <v>68</v>
      </c>
      <c r="E129" s="262">
        <f>ROUND(INSUMOS!$E$15,0)</f>
        <v>5500</v>
      </c>
      <c r="F129" s="6">
        <v>3</v>
      </c>
      <c r="G129" s="35">
        <f t="shared" si="2"/>
        <v>16500</v>
      </c>
    </row>
    <row r="130" spans="1:7">
      <c r="A130" s="402" t="s">
        <v>495</v>
      </c>
      <c r="B130" s="402" t="s">
        <v>495</v>
      </c>
      <c r="C130" s="402" t="s">
        <v>495</v>
      </c>
      <c r="D130" s="402" t="s">
        <v>495</v>
      </c>
      <c r="E130" s="403" t="s">
        <v>495</v>
      </c>
      <c r="F130" s="402" t="s">
        <v>495</v>
      </c>
      <c r="G130" s="55">
        <f>ROUND(SUM(G124:G129),0)</f>
        <v>1107145</v>
      </c>
    </row>
    <row r="131" spans="1:7">
      <c r="A131" s="400" t="s">
        <v>496</v>
      </c>
      <c r="B131" s="400" t="s">
        <v>496</v>
      </c>
      <c r="C131" s="400" t="s">
        <v>496</v>
      </c>
      <c r="D131" s="400" t="s">
        <v>496</v>
      </c>
      <c r="E131" s="401" t="s">
        <v>496</v>
      </c>
      <c r="F131" s="400" t="s">
        <v>496</v>
      </c>
      <c r="G131" s="401" t="s">
        <v>496</v>
      </c>
    </row>
    <row r="132" spans="1:7">
      <c r="A132" s="3" t="s">
        <v>496</v>
      </c>
      <c r="B132" s="3" t="s">
        <v>509</v>
      </c>
      <c r="C132" s="3" t="s">
        <v>510</v>
      </c>
      <c r="D132" s="3" t="s">
        <v>478</v>
      </c>
      <c r="E132" s="262">
        <f>ROUND('MANO DE OBRA'!$E$12,0)</f>
        <v>177075</v>
      </c>
      <c r="F132" s="6">
        <v>1.7</v>
      </c>
      <c r="G132" s="35">
        <f>ROUND(E132/F132,0)</f>
        <v>104162</v>
      </c>
    </row>
    <row r="133" spans="1:7">
      <c r="A133" s="3" t="s">
        <v>496</v>
      </c>
      <c r="B133" s="3" t="s">
        <v>501</v>
      </c>
      <c r="C133" s="3" t="s">
        <v>502</v>
      </c>
      <c r="D133" s="3" t="s">
        <v>478</v>
      </c>
      <c r="E133" s="262">
        <f>ROUND('MANO DE OBRA'!$E$11,0)</f>
        <v>107973</v>
      </c>
      <c r="F133" s="6">
        <v>1.7</v>
      </c>
      <c r="G133" s="35">
        <f>ROUND(E133/F133,0)</f>
        <v>63514</v>
      </c>
    </row>
    <row r="134" spans="1:7" ht="12.75" thickBot="1">
      <c r="A134" s="402" t="s">
        <v>503</v>
      </c>
      <c r="B134" s="402" t="s">
        <v>503</v>
      </c>
      <c r="C134" s="402" t="s">
        <v>503</v>
      </c>
      <c r="D134" s="402" t="s">
        <v>503</v>
      </c>
      <c r="E134" s="403" t="s">
        <v>503</v>
      </c>
      <c r="F134" s="402" t="s">
        <v>503</v>
      </c>
      <c r="G134" s="55">
        <f>ROUND(SUM(G132:G133),0)</f>
        <v>167676</v>
      </c>
    </row>
    <row r="135" spans="1:7" ht="12.75" thickBot="1">
      <c r="A135" s="404" t="s">
        <v>60</v>
      </c>
      <c r="B135" s="405" t="s">
        <v>504</v>
      </c>
      <c r="C135" s="405" t="s">
        <v>504</v>
      </c>
      <c r="D135" s="405" t="s">
        <v>504</v>
      </c>
      <c r="E135" s="406" t="s">
        <v>504</v>
      </c>
      <c r="F135" s="8"/>
      <c r="G135" s="56">
        <f>ROUND(SUM(G122,G130,G134),0)</f>
        <v>1283205</v>
      </c>
    </row>
    <row r="136" spans="1:7">
      <c r="A136" s="1"/>
      <c r="B136" s="1"/>
      <c r="C136" s="1"/>
      <c r="D136" s="1"/>
      <c r="E136" s="52"/>
      <c r="F136" s="1"/>
      <c r="G136" s="52"/>
    </row>
    <row r="137" spans="1:7" ht="42" customHeight="1">
      <c r="A137" s="5" t="s">
        <v>293</v>
      </c>
      <c r="B137" s="5" t="s">
        <v>83</v>
      </c>
      <c r="C137" s="407" t="s">
        <v>84</v>
      </c>
      <c r="D137" s="407"/>
      <c r="E137" s="408"/>
      <c r="F137" s="407"/>
      <c r="G137" s="53" t="s">
        <v>72</v>
      </c>
    </row>
    <row r="138" spans="1:7">
      <c r="A138" s="2" t="s">
        <v>470</v>
      </c>
      <c r="B138" s="2" t="s">
        <v>471</v>
      </c>
      <c r="C138" s="2" t="s">
        <v>4</v>
      </c>
      <c r="D138" s="2" t="s">
        <v>58</v>
      </c>
      <c r="E138" s="54" t="s">
        <v>472</v>
      </c>
      <c r="F138" s="2" t="s">
        <v>517</v>
      </c>
      <c r="G138" s="54" t="s">
        <v>264</v>
      </c>
    </row>
    <row r="139" spans="1:7">
      <c r="A139" s="400" t="s">
        <v>474</v>
      </c>
      <c r="B139" s="400" t="s">
        <v>474</v>
      </c>
      <c r="C139" s="400" t="s">
        <v>474</v>
      </c>
      <c r="D139" s="400" t="s">
        <v>474</v>
      </c>
      <c r="E139" s="401" t="s">
        <v>474</v>
      </c>
      <c r="F139" s="400" t="s">
        <v>474</v>
      </c>
      <c r="G139" s="401" t="s">
        <v>474</v>
      </c>
    </row>
    <row r="140" spans="1:7">
      <c r="A140" s="3" t="s">
        <v>475</v>
      </c>
      <c r="B140" s="3" t="s">
        <v>513</v>
      </c>
      <c r="C140" s="3" t="s">
        <v>514</v>
      </c>
      <c r="D140" s="3" t="s">
        <v>478</v>
      </c>
      <c r="E140" s="262">
        <f>ROUND(EQUIPOS!$E$9,0)</f>
        <v>87000</v>
      </c>
      <c r="F140" s="6">
        <v>0</v>
      </c>
      <c r="G140" s="35">
        <f>ROUND(E140*F140,0)</f>
        <v>0</v>
      </c>
    </row>
    <row r="141" spans="1:7">
      <c r="A141" s="3" t="s">
        <v>475</v>
      </c>
      <c r="B141" s="3" t="s">
        <v>479</v>
      </c>
      <c r="C141" s="3" t="s">
        <v>480</v>
      </c>
      <c r="D141" s="3" t="s">
        <v>481</v>
      </c>
      <c r="E141" s="262">
        <f>ROUND($G$154,0)</f>
        <v>167676</v>
      </c>
      <c r="F141" s="7">
        <v>0.05</v>
      </c>
      <c r="G141" s="35">
        <f>ROUND(E141*F141,0)</f>
        <v>8384</v>
      </c>
    </row>
    <row r="142" spans="1:7">
      <c r="A142" s="402" t="s">
        <v>482</v>
      </c>
      <c r="B142" s="402" t="s">
        <v>482</v>
      </c>
      <c r="C142" s="402" t="s">
        <v>482</v>
      </c>
      <c r="D142" s="402" t="s">
        <v>482</v>
      </c>
      <c r="E142" s="403" t="s">
        <v>482</v>
      </c>
      <c r="F142" s="402" t="s">
        <v>482</v>
      </c>
      <c r="G142" s="55">
        <f>ROUND(SUM(G140:G141),0)</f>
        <v>8384</v>
      </c>
    </row>
    <row r="143" spans="1:7">
      <c r="A143" s="400" t="s">
        <v>483</v>
      </c>
      <c r="B143" s="400" t="s">
        <v>483</v>
      </c>
      <c r="C143" s="400" t="s">
        <v>483</v>
      </c>
      <c r="D143" s="400" t="s">
        <v>483</v>
      </c>
      <c r="E143" s="401" t="s">
        <v>483</v>
      </c>
      <c r="F143" s="400" t="s">
        <v>483</v>
      </c>
      <c r="G143" s="401" t="s">
        <v>483</v>
      </c>
    </row>
    <row r="144" spans="1:7">
      <c r="A144" s="3" t="s">
        <v>484</v>
      </c>
      <c r="B144" s="3" t="s">
        <v>518</v>
      </c>
      <c r="C144" s="3" t="s">
        <v>519</v>
      </c>
      <c r="D144" s="3" t="s">
        <v>72</v>
      </c>
      <c r="E144" s="262">
        <f>ROUND(APA!$G$137,0)</f>
        <v>860966</v>
      </c>
      <c r="F144" s="6">
        <v>1</v>
      </c>
      <c r="G144" s="35">
        <f t="shared" ref="G144:G149" si="3">ROUND(E144*F144,0)</f>
        <v>860966</v>
      </c>
    </row>
    <row r="145" spans="1:7" ht="24">
      <c r="A145" s="3" t="s">
        <v>484</v>
      </c>
      <c r="B145" s="3" t="s">
        <v>520</v>
      </c>
      <c r="C145" s="3" t="s">
        <v>521</v>
      </c>
      <c r="D145" s="3" t="s">
        <v>522</v>
      </c>
      <c r="E145" s="262">
        <f>ROUND(INSUMOS!$E$17,0)</f>
        <v>25783</v>
      </c>
      <c r="F145" s="6">
        <f>(2*0.2)/(0.3*2*0.2*0.2)</f>
        <v>16.666666666666668</v>
      </c>
      <c r="G145" s="35">
        <f t="shared" si="3"/>
        <v>429717</v>
      </c>
    </row>
    <row r="146" spans="1:7">
      <c r="A146" s="3" t="s">
        <v>484</v>
      </c>
      <c r="B146" s="3" t="s">
        <v>523</v>
      </c>
      <c r="C146" s="3" t="s">
        <v>524</v>
      </c>
      <c r="D146" s="3" t="s">
        <v>492</v>
      </c>
      <c r="E146" s="262">
        <f>ROUND(INSUMOS!$E$18,0)</f>
        <v>6248</v>
      </c>
      <c r="F146" s="6">
        <v>0.2</v>
      </c>
      <c r="G146" s="35">
        <f t="shared" si="3"/>
        <v>1250</v>
      </c>
    </row>
    <row r="147" spans="1:7">
      <c r="A147" s="3" t="s">
        <v>484</v>
      </c>
      <c r="B147" s="3" t="s">
        <v>525</v>
      </c>
      <c r="C147" s="3" t="s">
        <v>526</v>
      </c>
      <c r="D147" s="3" t="s">
        <v>68</v>
      </c>
      <c r="E147" s="262">
        <f>ROUND(INSUMOS!$E$19,0)</f>
        <v>5000</v>
      </c>
      <c r="F147" s="6">
        <v>0.5</v>
      </c>
      <c r="G147" s="35">
        <f t="shared" si="3"/>
        <v>2500</v>
      </c>
    </row>
    <row r="148" spans="1:7">
      <c r="A148" s="3" t="s">
        <v>484</v>
      </c>
      <c r="B148" s="3" t="s">
        <v>527</v>
      </c>
      <c r="C148" s="3" t="s">
        <v>528</v>
      </c>
      <c r="D148" s="3" t="s">
        <v>120</v>
      </c>
      <c r="E148" s="262">
        <f>ROUND(INSUMOS!$E$20,0)</f>
        <v>9226</v>
      </c>
      <c r="F148" s="6">
        <v>1.2</v>
      </c>
      <c r="G148" s="35">
        <f t="shared" si="3"/>
        <v>11071</v>
      </c>
    </row>
    <row r="149" spans="1:7">
      <c r="A149" s="3" t="s">
        <v>484</v>
      </c>
      <c r="B149" s="3" t="s">
        <v>505</v>
      </c>
      <c r="C149" s="3" t="s">
        <v>529</v>
      </c>
      <c r="D149" s="3" t="s">
        <v>68</v>
      </c>
      <c r="E149" s="262">
        <f>ROUND(INSUMOS!$E$15,0)</f>
        <v>5500</v>
      </c>
      <c r="F149" s="6">
        <v>3</v>
      </c>
      <c r="G149" s="35">
        <f t="shared" si="3"/>
        <v>16500</v>
      </c>
    </row>
    <row r="150" spans="1:7">
      <c r="A150" s="402" t="s">
        <v>495</v>
      </c>
      <c r="B150" s="402" t="s">
        <v>495</v>
      </c>
      <c r="C150" s="402" t="s">
        <v>495</v>
      </c>
      <c r="D150" s="402" t="s">
        <v>495</v>
      </c>
      <c r="E150" s="403" t="s">
        <v>495</v>
      </c>
      <c r="F150" s="402" t="s">
        <v>495</v>
      </c>
      <c r="G150" s="55">
        <f>ROUND(SUM(G144:G149),0)</f>
        <v>1322004</v>
      </c>
    </row>
    <row r="151" spans="1:7">
      <c r="A151" s="400" t="s">
        <v>496</v>
      </c>
      <c r="B151" s="400" t="s">
        <v>496</v>
      </c>
      <c r="C151" s="400" t="s">
        <v>496</v>
      </c>
      <c r="D151" s="400" t="s">
        <v>496</v>
      </c>
      <c r="E151" s="401" t="s">
        <v>496</v>
      </c>
      <c r="F151" s="400" t="s">
        <v>496</v>
      </c>
      <c r="G151" s="401" t="s">
        <v>496</v>
      </c>
    </row>
    <row r="152" spans="1:7">
      <c r="A152" s="3" t="s">
        <v>496</v>
      </c>
      <c r="B152" s="3" t="s">
        <v>509</v>
      </c>
      <c r="C152" s="3" t="s">
        <v>510</v>
      </c>
      <c r="D152" s="3" t="s">
        <v>478</v>
      </c>
      <c r="E152" s="262">
        <f>ROUND('MANO DE OBRA'!$E$12,0)</f>
        <v>177075</v>
      </c>
      <c r="F152" s="6">
        <v>1.7</v>
      </c>
      <c r="G152" s="35">
        <f>ROUND(E152/F152,0)</f>
        <v>104162</v>
      </c>
    </row>
    <row r="153" spans="1:7">
      <c r="A153" s="3" t="s">
        <v>496</v>
      </c>
      <c r="B153" s="3" t="s">
        <v>501</v>
      </c>
      <c r="C153" s="3" t="s">
        <v>502</v>
      </c>
      <c r="D153" s="3" t="s">
        <v>478</v>
      </c>
      <c r="E153" s="262">
        <f>ROUND('MANO DE OBRA'!$E$11,0)</f>
        <v>107973</v>
      </c>
      <c r="F153" s="6">
        <v>1.7</v>
      </c>
      <c r="G153" s="35">
        <f>ROUND(E153/F153,0)</f>
        <v>63514</v>
      </c>
    </row>
    <row r="154" spans="1:7" ht="12.75" thickBot="1">
      <c r="A154" s="402" t="s">
        <v>503</v>
      </c>
      <c r="B154" s="402" t="s">
        <v>503</v>
      </c>
      <c r="C154" s="402" t="s">
        <v>503</v>
      </c>
      <c r="D154" s="402" t="s">
        <v>503</v>
      </c>
      <c r="E154" s="403" t="s">
        <v>503</v>
      </c>
      <c r="F154" s="402" t="s">
        <v>503</v>
      </c>
      <c r="G154" s="55">
        <f>ROUND(SUM(G152:G153),0)</f>
        <v>167676</v>
      </c>
    </row>
    <row r="155" spans="1:7" ht="12.75" thickBot="1">
      <c r="A155" s="404" t="s">
        <v>60</v>
      </c>
      <c r="B155" s="405" t="s">
        <v>504</v>
      </c>
      <c r="C155" s="405" t="s">
        <v>504</v>
      </c>
      <c r="D155" s="405" t="s">
        <v>504</v>
      </c>
      <c r="E155" s="406" t="s">
        <v>504</v>
      </c>
      <c r="F155" s="8"/>
      <c r="G155" s="56">
        <f>ROUND(SUM(G142,G150,G154),0)</f>
        <v>1498064</v>
      </c>
    </row>
    <row r="156" spans="1:7">
      <c r="A156" s="1"/>
      <c r="B156" s="1"/>
      <c r="C156" s="1"/>
      <c r="D156" s="1"/>
      <c r="E156" s="52"/>
      <c r="F156" s="1"/>
      <c r="G156" s="52"/>
    </row>
    <row r="157" spans="1:7" ht="42" customHeight="1">
      <c r="A157" s="5" t="s">
        <v>295</v>
      </c>
      <c r="B157" s="5" t="s">
        <v>85</v>
      </c>
      <c r="C157" s="407" t="s">
        <v>86</v>
      </c>
      <c r="D157" s="407"/>
      <c r="E157" s="408"/>
      <c r="F157" s="407"/>
      <c r="G157" s="53" t="s">
        <v>72</v>
      </c>
    </row>
    <row r="158" spans="1:7">
      <c r="A158" s="2" t="s">
        <v>470</v>
      </c>
      <c r="B158" s="2" t="s">
        <v>471</v>
      </c>
      <c r="C158" s="2" t="s">
        <v>4</v>
      </c>
      <c r="D158" s="2" t="s">
        <v>58</v>
      </c>
      <c r="E158" s="54" t="s">
        <v>472</v>
      </c>
      <c r="F158" s="2" t="s">
        <v>517</v>
      </c>
      <c r="G158" s="54" t="s">
        <v>264</v>
      </c>
    </row>
    <row r="159" spans="1:7">
      <c r="A159" s="400" t="s">
        <v>474</v>
      </c>
      <c r="B159" s="400" t="s">
        <v>474</v>
      </c>
      <c r="C159" s="400" t="s">
        <v>474</v>
      </c>
      <c r="D159" s="400" t="s">
        <v>474</v>
      </c>
      <c r="E159" s="401" t="s">
        <v>474</v>
      </c>
      <c r="F159" s="400" t="s">
        <v>474</v>
      </c>
      <c r="G159" s="401" t="s">
        <v>474</v>
      </c>
    </row>
    <row r="160" spans="1:7">
      <c r="A160" s="3" t="s">
        <v>475</v>
      </c>
      <c r="B160" s="3" t="s">
        <v>513</v>
      </c>
      <c r="C160" s="3" t="s">
        <v>514</v>
      </c>
      <c r="D160" s="3" t="s">
        <v>478</v>
      </c>
      <c r="E160" s="262">
        <f>ROUND(EQUIPOS!$E$9,0)</f>
        <v>87000</v>
      </c>
      <c r="F160" s="6">
        <v>0</v>
      </c>
      <c r="G160" s="35">
        <f>ROUND(E160*F160,0)</f>
        <v>0</v>
      </c>
    </row>
    <row r="161" spans="1:7">
      <c r="A161" s="3" t="s">
        <v>475</v>
      </c>
      <c r="B161" s="3" t="s">
        <v>479</v>
      </c>
      <c r="C161" s="3" t="s">
        <v>480</v>
      </c>
      <c r="D161" s="3" t="s">
        <v>481</v>
      </c>
      <c r="E161" s="262">
        <f>ROUND($G$174,0)</f>
        <v>167676</v>
      </c>
      <c r="F161" s="7">
        <v>0.05</v>
      </c>
      <c r="G161" s="35">
        <f>ROUND(E161*F161,0)</f>
        <v>8384</v>
      </c>
    </row>
    <row r="162" spans="1:7">
      <c r="A162" s="402" t="s">
        <v>482</v>
      </c>
      <c r="B162" s="402" t="s">
        <v>482</v>
      </c>
      <c r="C162" s="402" t="s">
        <v>482</v>
      </c>
      <c r="D162" s="402" t="s">
        <v>482</v>
      </c>
      <c r="E162" s="403" t="s">
        <v>482</v>
      </c>
      <c r="F162" s="402" t="s">
        <v>482</v>
      </c>
      <c r="G162" s="55">
        <f>ROUND(SUM(G160:G161),0)</f>
        <v>8384</v>
      </c>
    </row>
    <row r="163" spans="1:7">
      <c r="A163" s="400" t="s">
        <v>483</v>
      </c>
      <c r="B163" s="400" t="s">
        <v>483</v>
      </c>
      <c r="C163" s="400" t="s">
        <v>483</v>
      </c>
      <c r="D163" s="400" t="s">
        <v>483</v>
      </c>
      <c r="E163" s="401" t="s">
        <v>483</v>
      </c>
      <c r="F163" s="400" t="s">
        <v>483</v>
      </c>
      <c r="G163" s="401" t="s">
        <v>483</v>
      </c>
    </row>
    <row r="164" spans="1:7">
      <c r="A164" s="3" t="s">
        <v>484</v>
      </c>
      <c r="B164" s="3" t="s">
        <v>518</v>
      </c>
      <c r="C164" s="3" t="s">
        <v>519</v>
      </c>
      <c r="D164" s="3" t="s">
        <v>72</v>
      </c>
      <c r="E164" s="262">
        <f>ROUND(APA!$G$137,0)</f>
        <v>860966</v>
      </c>
      <c r="F164" s="6">
        <v>1</v>
      </c>
      <c r="G164" s="35">
        <f t="shared" ref="G164:G169" si="4">ROUND(E164*F164,0)</f>
        <v>860966</v>
      </c>
    </row>
    <row r="165" spans="1:7" ht="24">
      <c r="A165" s="3" t="s">
        <v>484</v>
      </c>
      <c r="B165" s="3" t="s">
        <v>520</v>
      </c>
      <c r="C165" s="3" t="s">
        <v>521</v>
      </c>
      <c r="D165" s="3" t="s">
        <v>522</v>
      </c>
      <c r="E165" s="262">
        <f>ROUND(INSUMOS!$E$17,0)</f>
        <v>25783</v>
      </c>
      <c r="F165" s="6">
        <f>(2*0.4+0.4)/(0.3*2*0.4*0.4)</f>
        <v>12.500000000000002</v>
      </c>
      <c r="G165" s="35">
        <f t="shared" si="4"/>
        <v>322288</v>
      </c>
    </row>
    <row r="166" spans="1:7">
      <c r="A166" s="3" t="s">
        <v>484</v>
      </c>
      <c r="B166" s="3" t="s">
        <v>523</v>
      </c>
      <c r="C166" s="3" t="s">
        <v>524</v>
      </c>
      <c r="D166" s="3" t="s">
        <v>492</v>
      </c>
      <c r="E166" s="262">
        <f>ROUND(INSUMOS!$E$18,0)</f>
        <v>6248</v>
      </c>
      <c r="F166" s="6">
        <v>0.2</v>
      </c>
      <c r="G166" s="35">
        <f t="shared" si="4"/>
        <v>1250</v>
      </c>
    </row>
    <row r="167" spans="1:7">
      <c r="A167" s="3" t="s">
        <v>484</v>
      </c>
      <c r="B167" s="3" t="s">
        <v>525</v>
      </c>
      <c r="C167" s="3" t="s">
        <v>526</v>
      </c>
      <c r="D167" s="3" t="s">
        <v>68</v>
      </c>
      <c r="E167" s="262">
        <f>ROUND(INSUMOS!$E$19,0)</f>
        <v>5000</v>
      </c>
      <c r="F167" s="6">
        <v>0.5</v>
      </c>
      <c r="G167" s="35">
        <f t="shared" si="4"/>
        <v>2500</v>
      </c>
    </row>
    <row r="168" spans="1:7">
      <c r="A168" s="3" t="s">
        <v>484</v>
      </c>
      <c r="B168" s="3" t="s">
        <v>527</v>
      </c>
      <c r="C168" s="3" t="s">
        <v>528</v>
      </c>
      <c r="D168" s="3" t="s">
        <v>120</v>
      </c>
      <c r="E168" s="262">
        <f>ROUND(INSUMOS!$E$20,0)</f>
        <v>9226</v>
      </c>
      <c r="F168" s="6">
        <v>1.2</v>
      </c>
      <c r="G168" s="35">
        <f t="shared" si="4"/>
        <v>11071</v>
      </c>
    </row>
    <row r="169" spans="1:7">
      <c r="A169" s="3" t="s">
        <v>484</v>
      </c>
      <c r="B169" s="3" t="s">
        <v>505</v>
      </c>
      <c r="C169" s="3" t="s">
        <v>529</v>
      </c>
      <c r="D169" s="3" t="s">
        <v>68</v>
      </c>
      <c r="E169" s="262">
        <f>ROUND(INSUMOS!$E$15,0)</f>
        <v>5500</v>
      </c>
      <c r="F169" s="6">
        <v>3</v>
      </c>
      <c r="G169" s="35">
        <f t="shared" si="4"/>
        <v>16500</v>
      </c>
    </row>
    <row r="170" spans="1:7">
      <c r="A170" s="402" t="s">
        <v>495</v>
      </c>
      <c r="B170" s="402" t="s">
        <v>495</v>
      </c>
      <c r="C170" s="402" t="s">
        <v>495</v>
      </c>
      <c r="D170" s="402" t="s">
        <v>495</v>
      </c>
      <c r="E170" s="403" t="s">
        <v>495</v>
      </c>
      <c r="F170" s="402" t="s">
        <v>495</v>
      </c>
      <c r="G170" s="55">
        <f>ROUND(SUM(G164:G169),0)</f>
        <v>1214575</v>
      </c>
    </row>
    <row r="171" spans="1:7">
      <c r="A171" s="400" t="s">
        <v>496</v>
      </c>
      <c r="B171" s="400" t="s">
        <v>496</v>
      </c>
      <c r="C171" s="400" t="s">
        <v>496</v>
      </c>
      <c r="D171" s="400" t="s">
        <v>496</v>
      </c>
      <c r="E171" s="401" t="s">
        <v>496</v>
      </c>
      <c r="F171" s="400" t="s">
        <v>496</v>
      </c>
      <c r="G171" s="401" t="s">
        <v>496</v>
      </c>
    </row>
    <row r="172" spans="1:7">
      <c r="A172" s="3" t="s">
        <v>496</v>
      </c>
      <c r="B172" s="3" t="s">
        <v>509</v>
      </c>
      <c r="C172" s="3" t="s">
        <v>510</v>
      </c>
      <c r="D172" s="3" t="s">
        <v>478</v>
      </c>
      <c r="E172" s="262">
        <f>ROUND('MANO DE OBRA'!$E$12,0)</f>
        <v>177075</v>
      </c>
      <c r="F172" s="6">
        <v>1.7</v>
      </c>
      <c r="G172" s="35">
        <f>ROUND(E172/F172,0)</f>
        <v>104162</v>
      </c>
    </row>
    <row r="173" spans="1:7">
      <c r="A173" s="3" t="s">
        <v>496</v>
      </c>
      <c r="B173" s="3" t="s">
        <v>501</v>
      </c>
      <c r="C173" s="3" t="s">
        <v>502</v>
      </c>
      <c r="D173" s="3" t="s">
        <v>478</v>
      </c>
      <c r="E173" s="262">
        <f>ROUND('MANO DE OBRA'!$E$11,0)</f>
        <v>107973</v>
      </c>
      <c r="F173" s="6">
        <v>1.7</v>
      </c>
      <c r="G173" s="35">
        <f>ROUND(E173/F173,0)</f>
        <v>63514</v>
      </c>
    </row>
    <row r="174" spans="1:7" ht="12.75" thickBot="1">
      <c r="A174" s="402" t="s">
        <v>503</v>
      </c>
      <c r="B174" s="402" t="s">
        <v>503</v>
      </c>
      <c r="C174" s="402" t="s">
        <v>503</v>
      </c>
      <c r="D174" s="402" t="s">
        <v>503</v>
      </c>
      <c r="E174" s="403" t="s">
        <v>503</v>
      </c>
      <c r="F174" s="402" t="s">
        <v>503</v>
      </c>
      <c r="G174" s="55">
        <f>ROUND(SUM(G172:G173),0)</f>
        <v>167676</v>
      </c>
    </row>
    <row r="175" spans="1:7" ht="12.75" thickBot="1">
      <c r="A175" s="404" t="s">
        <v>60</v>
      </c>
      <c r="B175" s="405" t="s">
        <v>504</v>
      </c>
      <c r="C175" s="405" t="s">
        <v>504</v>
      </c>
      <c r="D175" s="405" t="s">
        <v>504</v>
      </c>
      <c r="E175" s="406" t="s">
        <v>504</v>
      </c>
      <c r="F175" s="8"/>
      <c r="G175" s="56">
        <f>ROUND(SUM(G162,G170,G174),0)</f>
        <v>1390635</v>
      </c>
    </row>
    <row r="176" spans="1:7">
      <c r="A176" s="1"/>
      <c r="B176" s="1"/>
      <c r="C176" s="1"/>
      <c r="D176" s="1"/>
      <c r="E176" s="52"/>
      <c r="F176" s="1"/>
      <c r="G176" s="52"/>
    </row>
    <row r="177" spans="1:7" ht="42" customHeight="1">
      <c r="A177" s="5" t="s">
        <v>298</v>
      </c>
      <c r="B177" s="5" t="s">
        <v>87</v>
      </c>
      <c r="C177" s="407" t="s">
        <v>88</v>
      </c>
      <c r="D177" s="407"/>
      <c r="E177" s="408"/>
      <c r="F177" s="407"/>
      <c r="G177" s="53" t="s">
        <v>72</v>
      </c>
    </row>
    <row r="178" spans="1:7">
      <c r="A178" s="2" t="s">
        <v>470</v>
      </c>
      <c r="B178" s="2" t="s">
        <v>471</v>
      </c>
      <c r="C178" s="2" t="s">
        <v>4</v>
      </c>
      <c r="D178" s="2" t="s">
        <v>58</v>
      </c>
      <c r="E178" s="54" t="s">
        <v>472</v>
      </c>
      <c r="F178" s="2" t="s">
        <v>517</v>
      </c>
      <c r="G178" s="54" t="s">
        <v>264</v>
      </c>
    </row>
    <row r="179" spans="1:7">
      <c r="A179" s="400" t="s">
        <v>474</v>
      </c>
      <c r="B179" s="400" t="s">
        <v>474</v>
      </c>
      <c r="C179" s="400" t="s">
        <v>474</v>
      </c>
      <c r="D179" s="400" t="s">
        <v>474</v>
      </c>
      <c r="E179" s="401" t="s">
        <v>474</v>
      </c>
      <c r="F179" s="400" t="s">
        <v>474</v>
      </c>
      <c r="G179" s="401" t="s">
        <v>474</v>
      </c>
    </row>
    <row r="180" spans="1:7">
      <c r="A180" s="3" t="s">
        <v>475</v>
      </c>
      <c r="B180" s="3" t="s">
        <v>513</v>
      </c>
      <c r="C180" s="3" t="s">
        <v>514</v>
      </c>
      <c r="D180" s="3" t="s">
        <v>478</v>
      </c>
      <c r="E180" s="262">
        <f>ROUND(EQUIPOS!$E$9,0)</f>
        <v>87000</v>
      </c>
      <c r="F180" s="6">
        <v>0</v>
      </c>
      <c r="G180" s="35">
        <f>ROUND(E180*F180,0)</f>
        <v>0</v>
      </c>
    </row>
    <row r="181" spans="1:7">
      <c r="A181" s="3" t="s">
        <v>475</v>
      </c>
      <c r="B181" s="3" t="s">
        <v>479</v>
      </c>
      <c r="C181" s="3" t="s">
        <v>480</v>
      </c>
      <c r="D181" s="3" t="s">
        <v>481</v>
      </c>
      <c r="E181" s="262">
        <f>ROUND($G$194,0)</f>
        <v>167676</v>
      </c>
      <c r="F181" s="7">
        <v>0.05</v>
      </c>
      <c r="G181" s="35">
        <f>ROUND(E181*F181,0)</f>
        <v>8384</v>
      </c>
    </row>
    <row r="182" spans="1:7">
      <c r="A182" s="402" t="s">
        <v>482</v>
      </c>
      <c r="B182" s="402" t="s">
        <v>482</v>
      </c>
      <c r="C182" s="402" t="s">
        <v>482</v>
      </c>
      <c r="D182" s="402" t="s">
        <v>482</v>
      </c>
      <c r="E182" s="403" t="s">
        <v>482</v>
      </c>
      <c r="F182" s="402" t="s">
        <v>482</v>
      </c>
      <c r="G182" s="55">
        <f>ROUND(SUM(G180:G181),0)</f>
        <v>8384</v>
      </c>
    </row>
    <row r="183" spans="1:7">
      <c r="A183" s="400" t="s">
        <v>483</v>
      </c>
      <c r="B183" s="400" t="s">
        <v>483</v>
      </c>
      <c r="C183" s="400" t="s">
        <v>483</v>
      </c>
      <c r="D183" s="400" t="s">
        <v>483</v>
      </c>
      <c r="E183" s="401" t="s">
        <v>483</v>
      </c>
      <c r="F183" s="400" t="s">
        <v>483</v>
      </c>
      <c r="G183" s="401" t="s">
        <v>483</v>
      </c>
    </row>
    <row r="184" spans="1:7">
      <c r="A184" s="3" t="s">
        <v>484</v>
      </c>
      <c r="B184" s="3" t="s">
        <v>518</v>
      </c>
      <c r="C184" s="3" t="s">
        <v>519</v>
      </c>
      <c r="D184" s="3" t="s">
        <v>72</v>
      </c>
      <c r="E184" s="262">
        <f>ROUND(APA!$G$137,0)</f>
        <v>860966</v>
      </c>
      <c r="F184" s="6">
        <v>1</v>
      </c>
      <c r="G184" s="35">
        <f t="shared" ref="G184:G189" si="5">ROUND(E184*F184,0)</f>
        <v>860966</v>
      </c>
    </row>
    <row r="185" spans="1:7" ht="24">
      <c r="A185" s="3" t="s">
        <v>484</v>
      </c>
      <c r="B185" s="3" t="s">
        <v>520</v>
      </c>
      <c r="C185" s="3" t="s">
        <v>521</v>
      </c>
      <c r="D185" s="3" t="s">
        <v>522</v>
      </c>
      <c r="E185" s="262">
        <f>ROUND(INSUMOS!$E$17,0)</f>
        <v>25783</v>
      </c>
      <c r="F185" s="6">
        <f>(2*0.12)/(0.3*2*0.2*0.12)</f>
        <v>16.666666666666668</v>
      </c>
      <c r="G185" s="35">
        <f t="shared" si="5"/>
        <v>429717</v>
      </c>
    </row>
    <row r="186" spans="1:7">
      <c r="A186" s="3" t="s">
        <v>484</v>
      </c>
      <c r="B186" s="3" t="s">
        <v>523</v>
      </c>
      <c r="C186" s="3" t="s">
        <v>524</v>
      </c>
      <c r="D186" s="3" t="s">
        <v>492</v>
      </c>
      <c r="E186" s="262">
        <f>ROUND(INSUMOS!$E$18,0)</f>
        <v>6248</v>
      </c>
      <c r="F186" s="6">
        <v>0.2</v>
      </c>
      <c r="G186" s="35">
        <f t="shared" si="5"/>
        <v>1250</v>
      </c>
    </row>
    <row r="187" spans="1:7">
      <c r="A187" s="3" t="s">
        <v>484</v>
      </c>
      <c r="B187" s="3" t="s">
        <v>525</v>
      </c>
      <c r="C187" s="3" t="s">
        <v>526</v>
      </c>
      <c r="D187" s="3" t="s">
        <v>68</v>
      </c>
      <c r="E187" s="262">
        <f>ROUND(INSUMOS!$E$19,0)</f>
        <v>5000</v>
      </c>
      <c r="F187" s="6">
        <v>0.5</v>
      </c>
      <c r="G187" s="35">
        <f t="shared" si="5"/>
        <v>2500</v>
      </c>
    </row>
    <row r="188" spans="1:7">
      <c r="A188" s="3" t="s">
        <v>484</v>
      </c>
      <c r="B188" s="3" t="s">
        <v>527</v>
      </c>
      <c r="C188" s="3" t="s">
        <v>528</v>
      </c>
      <c r="D188" s="3" t="s">
        <v>120</v>
      </c>
      <c r="E188" s="262">
        <f>ROUND(INSUMOS!$E$20,0)</f>
        <v>9226</v>
      </c>
      <c r="F188" s="6">
        <v>1.2</v>
      </c>
      <c r="G188" s="35">
        <f t="shared" si="5"/>
        <v>11071</v>
      </c>
    </row>
    <row r="189" spans="1:7">
      <c r="A189" s="3" t="s">
        <v>484</v>
      </c>
      <c r="B189" s="3" t="s">
        <v>505</v>
      </c>
      <c r="C189" s="3" t="s">
        <v>529</v>
      </c>
      <c r="D189" s="3" t="s">
        <v>68</v>
      </c>
      <c r="E189" s="262">
        <f>ROUND(INSUMOS!$E$15,0)</f>
        <v>5500</v>
      </c>
      <c r="F189" s="6">
        <v>3</v>
      </c>
      <c r="G189" s="35">
        <f t="shared" si="5"/>
        <v>16500</v>
      </c>
    </row>
    <row r="190" spans="1:7">
      <c r="A190" s="402" t="s">
        <v>495</v>
      </c>
      <c r="B190" s="402" t="s">
        <v>495</v>
      </c>
      <c r="C190" s="402" t="s">
        <v>495</v>
      </c>
      <c r="D190" s="402" t="s">
        <v>495</v>
      </c>
      <c r="E190" s="403" t="s">
        <v>495</v>
      </c>
      <c r="F190" s="402" t="s">
        <v>495</v>
      </c>
      <c r="G190" s="55">
        <f>ROUND(SUM(G184:G189),0)</f>
        <v>1322004</v>
      </c>
    </row>
    <row r="191" spans="1:7">
      <c r="A191" s="400" t="s">
        <v>496</v>
      </c>
      <c r="B191" s="400" t="s">
        <v>496</v>
      </c>
      <c r="C191" s="400" t="s">
        <v>496</v>
      </c>
      <c r="D191" s="400" t="s">
        <v>496</v>
      </c>
      <c r="E191" s="401" t="s">
        <v>496</v>
      </c>
      <c r="F191" s="400" t="s">
        <v>496</v>
      </c>
      <c r="G191" s="401" t="s">
        <v>496</v>
      </c>
    </row>
    <row r="192" spans="1:7">
      <c r="A192" s="3" t="s">
        <v>496</v>
      </c>
      <c r="B192" s="3" t="s">
        <v>509</v>
      </c>
      <c r="C192" s="3" t="s">
        <v>510</v>
      </c>
      <c r="D192" s="3" t="s">
        <v>478</v>
      </c>
      <c r="E192" s="262">
        <f>ROUND('MANO DE OBRA'!$E$12,0)</f>
        <v>177075</v>
      </c>
      <c r="F192" s="6">
        <v>1.7</v>
      </c>
      <c r="G192" s="35">
        <f>ROUND(E192/F192,0)</f>
        <v>104162</v>
      </c>
    </row>
    <row r="193" spans="1:7">
      <c r="A193" s="3" t="s">
        <v>496</v>
      </c>
      <c r="B193" s="3" t="s">
        <v>501</v>
      </c>
      <c r="C193" s="3" t="s">
        <v>502</v>
      </c>
      <c r="D193" s="3" t="s">
        <v>478</v>
      </c>
      <c r="E193" s="262">
        <f>ROUND('MANO DE OBRA'!$E$11,0)</f>
        <v>107973</v>
      </c>
      <c r="F193" s="6">
        <v>1.7</v>
      </c>
      <c r="G193" s="35">
        <f>ROUND(E193/F193,0)</f>
        <v>63514</v>
      </c>
    </row>
    <row r="194" spans="1:7" ht="12.75" thickBot="1">
      <c r="A194" s="402" t="s">
        <v>503</v>
      </c>
      <c r="B194" s="402" t="s">
        <v>503</v>
      </c>
      <c r="C194" s="402" t="s">
        <v>503</v>
      </c>
      <c r="D194" s="402" t="s">
        <v>503</v>
      </c>
      <c r="E194" s="403" t="s">
        <v>503</v>
      </c>
      <c r="F194" s="402" t="s">
        <v>503</v>
      </c>
      <c r="G194" s="55">
        <f>ROUND(SUM(G192:G193),0)</f>
        <v>167676</v>
      </c>
    </row>
    <row r="195" spans="1:7" ht="12.75" thickBot="1">
      <c r="A195" s="404" t="s">
        <v>60</v>
      </c>
      <c r="B195" s="405" t="s">
        <v>504</v>
      </c>
      <c r="C195" s="405" t="s">
        <v>504</v>
      </c>
      <c r="D195" s="405" t="s">
        <v>504</v>
      </c>
      <c r="E195" s="406" t="s">
        <v>504</v>
      </c>
      <c r="F195" s="8"/>
      <c r="G195" s="56">
        <f>ROUND(SUM(G182,G190,G194),0)</f>
        <v>1498064</v>
      </c>
    </row>
    <row r="196" spans="1:7">
      <c r="A196" s="1"/>
      <c r="B196" s="1"/>
      <c r="C196" s="1"/>
      <c r="D196" s="1"/>
      <c r="E196" s="52"/>
      <c r="F196" s="1"/>
      <c r="G196" s="52"/>
    </row>
    <row r="197" spans="1:7" ht="42" customHeight="1">
      <c r="A197" s="5" t="s">
        <v>301</v>
      </c>
      <c r="B197" s="5" t="s">
        <v>89</v>
      </c>
      <c r="C197" s="407" t="s">
        <v>90</v>
      </c>
      <c r="D197" s="407"/>
      <c r="E197" s="408"/>
      <c r="F197" s="407"/>
      <c r="G197" s="53" t="s">
        <v>72</v>
      </c>
    </row>
    <row r="198" spans="1:7">
      <c r="A198" s="2" t="s">
        <v>470</v>
      </c>
      <c r="B198" s="2" t="s">
        <v>471</v>
      </c>
      <c r="C198" s="2" t="s">
        <v>4</v>
      </c>
      <c r="D198" s="2" t="s">
        <v>58</v>
      </c>
      <c r="E198" s="54" t="s">
        <v>472</v>
      </c>
      <c r="F198" s="2" t="s">
        <v>517</v>
      </c>
      <c r="G198" s="54" t="s">
        <v>264</v>
      </c>
    </row>
    <row r="199" spans="1:7">
      <c r="A199" s="400" t="s">
        <v>474</v>
      </c>
      <c r="B199" s="400" t="s">
        <v>474</v>
      </c>
      <c r="C199" s="400" t="s">
        <v>474</v>
      </c>
      <c r="D199" s="400" t="s">
        <v>474</v>
      </c>
      <c r="E199" s="401" t="s">
        <v>474</v>
      </c>
      <c r="F199" s="400" t="s">
        <v>474</v>
      </c>
      <c r="G199" s="401" t="s">
        <v>474</v>
      </c>
    </row>
    <row r="200" spans="1:7">
      <c r="A200" s="3" t="s">
        <v>475</v>
      </c>
      <c r="B200" s="3" t="s">
        <v>513</v>
      </c>
      <c r="C200" s="3" t="s">
        <v>514</v>
      </c>
      <c r="D200" s="3" t="s">
        <v>478</v>
      </c>
      <c r="E200" s="262">
        <f>ROUND(EQUIPOS!$E$9,0)</f>
        <v>87000</v>
      </c>
      <c r="F200" s="6">
        <v>0</v>
      </c>
      <c r="G200" s="35">
        <f>ROUND(E200*F200,0)</f>
        <v>0</v>
      </c>
    </row>
    <row r="201" spans="1:7">
      <c r="A201" s="3" t="s">
        <v>475</v>
      </c>
      <c r="B201" s="3" t="s">
        <v>479</v>
      </c>
      <c r="C201" s="3" t="s">
        <v>480</v>
      </c>
      <c r="D201" s="3" t="s">
        <v>481</v>
      </c>
      <c r="E201" s="262">
        <f>ROUND($G$214,0)</f>
        <v>167676</v>
      </c>
      <c r="F201" s="7">
        <v>0.05</v>
      </c>
      <c r="G201" s="35">
        <f>ROUND(E201*F201,0)</f>
        <v>8384</v>
      </c>
    </row>
    <row r="202" spans="1:7">
      <c r="A202" s="402" t="s">
        <v>482</v>
      </c>
      <c r="B202" s="402" t="s">
        <v>482</v>
      </c>
      <c r="C202" s="402" t="s">
        <v>482</v>
      </c>
      <c r="D202" s="402" t="s">
        <v>482</v>
      </c>
      <c r="E202" s="403" t="s">
        <v>482</v>
      </c>
      <c r="F202" s="402" t="s">
        <v>482</v>
      </c>
      <c r="G202" s="55">
        <f>ROUND(SUM(G200:G201),0)</f>
        <v>8384</v>
      </c>
    </row>
    <row r="203" spans="1:7">
      <c r="A203" s="400" t="s">
        <v>483</v>
      </c>
      <c r="B203" s="400" t="s">
        <v>483</v>
      </c>
      <c r="C203" s="400" t="s">
        <v>483</v>
      </c>
      <c r="D203" s="400" t="s">
        <v>483</v>
      </c>
      <c r="E203" s="401" t="s">
        <v>483</v>
      </c>
      <c r="F203" s="400" t="s">
        <v>483</v>
      </c>
      <c r="G203" s="401" t="s">
        <v>483</v>
      </c>
    </row>
    <row r="204" spans="1:7">
      <c r="A204" s="3" t="s">
        <v>484</v>
      </c>
      <c r="B204" s="3" t="s">
        <v>518</v>
      </c>
      <c r="C204" s="3" t="s">
        <v>519</v>
      </c>
      <c r="D204" s="3" t="s">
        <v>72</v>
      </c>
      <c r="E204" s="262">
        <f>ROUND(APA!$G$137,0)</f>
        <v>860966</v>
      </c>
      <c r="F204" s="6">
        <v>1</v>
      </c>
      <c r="G204" s="35">
        <f t="shared" ref="G204:G209" si="6">ROUND(E204*F204,0)</f>
        <v>860966</v>
      </c>
    </row>
    <row r="205" spans="1:7" ht="24">
      <c r="A205" s="3" t="s">
        <v>484</v>
      </c>
      <c r="B205" s="3" t="s">
        <v>520</v>
      </c>
      <c r="C205" s="3" t="s">
        <v>521</v>
      </c>
      <c r="D205" s="3" t="s">
        <v>522</v>
      </c>
      <c r="E205" s="262">
        <f>ROUND(INSUMOS!$E$17,0)</f>
        <v>25783</v>
      </c>
      <c r="F205" s="6">
        <f>0.45/(0.3*2*0.25*0.45)</f>
        <v>6.6666666666666661</v>
      </c>
      <c r="G205" s="35">
        <f t="shared" si="6"/>
        <v>171887</v>
      </c>
    </row>
    <row r="206" spans="1:7">
      <c r="A206" s="3" t="s">
        <v>484</v>
      </c>
      <c r="B206" s="3" t="s">
        <v>523</v>
      </c>
      <c r="C206" s="3" t="s">
        <v>524</v>
      </c>
      <c r="D206" s="3" t="s">
        <v>492</v>
      </c>
      <c r="E206" s="262">
        <f>ROUND(INSUMOS!$E$18,0)</f>
        <v>6248</v>
      </c>
      <c r="F206" s="6">
        <v>0.2</v>
      </c>
      <c r="G206" s="35">
        <f t="shared" si="6"/>
        <v>1250</v>
      </c>
    </row>
    <row r="207" spans="1:7">
      <c r="A207" s="3" t="s">
        <v>484</v>
      </c>
      <c r="B207" s="3" t="s">
        <v>525</v>
      </c>
      <c r="C207" s="3" t="s">
        <v>526</v>
      </c>
      <c r="D207" s="3" t="s">
        <v>68</v>
      </c>
      <c r="E207" s="262">
        <f>ROUND(INSUMOS!$E$19,0)</f>
        <v>5000</v>
      </c>
      <c r="F207" s="6">
        <v>0.5</v>
      </c>
      <c r="G207" s="35">
        <f t="shared" si="6"/>
        <v>2500</v>
      </c>
    </row>
    <row r="208" spans="1:7">
      <c r="A208" s="3" t="s">
        <v>484</v>
      </c>
      <c r="B208" s="3" t="s">
        <v>527</v>
      </c>
      <c r="C208" s="3" t="s">
        <v>528</v>
      </c>
      <c r="D208" s="3" t="s">
        <v>120</v>
      </c>
      <c r="E208" s="262">
        <f>ROUND(INSUMOS!$E$20,0)</f>
        <v>9226</v>
      </c>
      <c r="F208" s="6">
        <v>1.2</v>
      </c>
      <c r="G208" s="35">
        <f t="shared" si="6"/>
        <v>11071</v>
      </c>
    </row>
    <row r="209" spans="1:7">
      <c r="A209" s="3" t="s">
        <v>484</v>
      </c>
      <c r="B209" s="3" t="s">
        <v>505</v>
      </c>
      <c r="C209" s="3" t="s">
        <v>529</v>
      </c>
      <c r="D209" s="3" t="s">
        <v>68</v>
      </c>
      <c r="E209" s="262">
        <f>ROUND(INSUMOS!$E$15,0)</f>
        <v>5500</v>
      </c>
      <c r="F209" s="6">
        <v>3</v>
      </c>
      <c r="G209" s="35">
        <f t="shared" si="6"/>
        <v>16500</v>
      </c>
    </row>
    <row r="210" spans="1:7">
      <c r="A210" s="402" t="s">
        <v>495</v>
      </c>
      <c r="B210" s="402" t="s">
        <v>495</v>
      </c>
      <c r="C210" s="402" t="s">
        <v>495</v>
      </c>
      <c r="D210" s="402" t="s">
        <v>495</v>
      </c>
      <c r="E210" s="403" t="s">
        <v>495</v>
      </c>
      <c r="F210" s="402" t="s">
        <v>495</v>
      </c>
      <c r="G210" s="55">
        <f>ROUND(SUM(G204:G209),0)</f>
        <v>1064174</v>
      </c>
    </row>
    <row r="211" spans="1:7">
      <c r="A211" s="400" t="s">
        <v>496</v>
      </c>
      <c r="B211" s="400" t="s">
        <v>496</v>
      </c>
      <c r="C211" s="400" t="s">
        <v>496</v>
      </c>
      <c r="D211" s="400" t="s">
        <v>496</v>
      </c>
      <c r="E211" s="401" t="s">
        <v>496</v>
      </c>
      <c r="F211" s="400" t="s">
        <v>496</v>
      </c>
      <c r="G211" s="401" t="s">
        <v>496</v>
      </c>
    </row>
    <row r="212" spans="1:7">
      <c r="A212" s="3" t="s">
        <v>496</v>
      </c>
      <c r="B212" s="3" t="s">
        <v>509</v>
      </c>
      <c r="C212" s="3" t="s">
        <v>510</v>
      </c>
      <c r="D212" s="3" t="s">
        <v>478</v>
      </c>
      <c r="E212" s="262">
        <f>ROUND('MANO DE OBRA'!$E$12,0)</f>
        <v>177075</v>
      </c>
      <c r="F212" s="6">
        <v>1.7</v>
      </c>
      <c r="G212" s="35">
        <f>ROUND(E212/F212,0)</f>
        <v>104162</v>
      </c>
    </row>
    <row r="213" spans="1:7">
      <c r="A213" s="3" t="s">
        <v>496</v>
      </c>
      <c r="B213" s="3" t="s">
        <v>501</v>
      </c>
      <c r="C213" s="3" t="s">
        <v>502</v>
      </c>
      <c r="D213" s="3" t="s">
        <v>478</v>
      </c>
      <c r="E213" s="262">
        <f>ROUND('MANO DE OBRA'!$E$11,0)</f>
        <v>107973</v>
      </c>
      <c r="F213" s="6">
        <v>1.7</v>
      </c>
      <c r="G213" s="35">
        <f>ROUND(E213/F213,0)</f>
        <v>63514</v>
      </c>
    </row>
    <row r="214" spans="1:7" ht="12.75" thickBot="1">
      <c r="A214" s="402" t="s">
        <v>503</v>
      </c>
      <c r="B214" s="402" t="s">
        <v>503</v>
      </c>
      <c r="C214" s="402" t="s">
        <v>503</v>
      </c>
      <c r="D214" s="402" t="s">
        <v>503</v>
      </c>
      <c r="E214" s="403" t="s">
        <v>503</v>
      </c>
      <c r="F214" s="402" t="s">
        <v>503</v>
      </c>
      <c r="G214" s="55">
        <f>ROUND(SUM(G212:G213),0)</f>
        <v>167676</v>
      </c>
    </row>
    <row r="215" spans="1:7" ht="12.75" thickBot="1">
      <c r="A215" s="404" t="s">
        <v>60</v>
      </c>
      <c r="B215" s="405" t="s">
        <v>504</v>
      </c>
      <c r="C215" s="405" t="s">
        <v>504</v>
      </c>
      <c r="D215" s="405" t="s">
        <v>504</v>
      </c>
      <c r="E215" s="406" t="s">
        <v>504</v>
      </c>
      <c r="F215" s="8"/>
      <c r="G215" s="56">
        <f>ROUND(SUM(G202,G210,G214),0)</f>
        <v>1240234</v>
      </c>
    </row>
    <row r="216" spans="1:7">
      <c r="A216" s="1"/>
      <c r="B216" s="1"/>
      <c r="C216" s="1"/>
      <c r="D216" s="1"/>
      <c r="E216" s="52"/>
      <c r="F216" s="1"/>
      <c r="G216" s="52"/>
    </row>
    <row r="217" spans="1:7" ht="42" customHeight="1">
      <c r="A217" s="5" t="s">
        <v>303</v>
      </c>
      <c r="B217" s="5" t="s">
        <v>91</v>
      </c>
      <c r="C217" s="407" t="s">
        <v>92</v>
      </c>
      <c r="D217" s="407"/>
      <c r="E217" s="408"/>
      <c r="F217" s="407"/>
      <c r="G217" s="53" t="s">
        <v>72</v>
      </c>
    </row>
    <row r="218" spans="1:7">
      <c r="A218" s="2" t="s">
        <v>470</v>
      </c>
      <c r="B218" s="2" t="s">
        <v>471</v>
      </c>
      <c r="C218" s="2" t="s">
        <v>4</v>
      </c>
      <c r="D218" s="2" t="s">
        <v>58</v>
      </c>
      <c r="E218" s="54" t="s">
        <v>472</v>
      </c>
      <c r="F218" s="2" t="s">
        <v>517</v>
      </c>
      <c r="G218" s="54" t="s">
        <v>264</v>
      </c>
    </row>
    <row r="219" spans="1:7">
      <c r="A219" s="400" t="s">
        <v>474</v>
      </c>
      <c r="B219" s="400" t="s">
        <v>474</v>
      </c>
      <c r="C219" s="400" t="s">
        <v>474</v>
      </c>
      <c r="D219" s="400" t="s">
        <v>474</v>
      </c>
      <c r="E219" s="401" t="s">
        <v>474</v>
      </c>
      <c r="F219" s="400" t="s">
        <v>474</v>
      </c>
      <c r="G219" s="401" t="s">
        <v>474</v>
      </c>
    </row>
    <row r="220" spans="1:7">
      <c r="A220" s="3" t="s">
        <v>475</v>
      </c>
      <c r="B220" s="3" t="s">
        <v>513</v>
      </c>
      <c r="C220" s="3" t="s">
        <v>514</v>
      </c>
      <c r="D220" s="3" t="s">
        <v>478</v>
      </c>
      <c r="E220" s="262">
        <f>ROUND(EQUIPOS!$E$9,0)</f>
        <v>87000</v>
      </c>
      <c r="F220" s="6">
        <v>0</v>
      </c>
      <c r="G220" s="35">
        <f>ROUND(E220*F220,0)</f>
        <v>0</v>
      </c>
    </row>
    <row r="221" spans="1:7">
      <c r="A221" s="3" t="s">
        <v>475</v>
      </c>
      <c r="B221" s="3" t="s">
        <v>479</v>
      </c>
      <c r="C221" s="3" t="s">
        <v>480</v>
      </c>
      <c r="D221" s="3" t="s">
        <v>481</v>
      </c>
      <c r="E221" s="262">
        <f>ROUND($G$234,0)</f>
        <v>167676</v>
      </c>
      <c r="F221" s="7">
        <v>0.05</v>
      </c>
      <c r="G221" s="35">
        <f>ROUND(E221*F221,0)</f>
        <v>8384</v>
      </c>
    </row>
    <row r="222" spans="1:7">
      <c r="A222" s="402" t="s">
        <v>482</v>
      </c>
      <c r="B222" s="402" t="s">
        <v>482</v>
      </c>
      <c r="C222" s="402" t="s">
        <v>482</v>
      </c>
      <c r="D222" s="402" t="s">
        <v>482</v>
      </c>
      <c r="E222" s="403" t="s">
        <v>482</v>
      </c>
      <c r="F222" s="402" t="s">
        <v>482</v>
      </c>
      <c r="G222" s="55">
        <f>ROUND(SUM(G220:G221),0)</f>
        <v>8384</v>
      </c>
    </row>
    <row r="223" spans="1:7">
      <c r="A223" s="400" t="s">
        <v>483</v>
      </c>
      <c r="B223" s="400" t="s">
        <v>483</v>
      </c>
      <c r="C223" s="400" t="s">
        <v>483</v>
      </c>
      <c r="D223" s="400" t="s">
        <v>483</v>
      </c>
      <c r="E223" s="401" t="s">
        <v>483</v>
      </c>
      <c r="F223" s="400" t="s">
        <v>483</v>
      </c>
      <c r="G223" s="401" t="s">
        <v>483</v>
      </c>
    </row>
    <row r="224" spans="1:7">
      <c r="A224" s="3" t="s">
        <v>484</v>
      </c>
      <c r="B224" s="3" t="s">
        <v>518</v>
      </c>
      <c r="C224" s="3" t="s">
        <v>519</v>
      </c>
      <c r="D224" s="3" t="s">
        <v>72</v>
      </c>
      <c r="E224" s="262">
        <f>ROUND(APA!$G$137,0)</f>
        <v>860966</v>
      </c>
      <c r="F224" s="6">
        <v>1</v>
      </c>
      <c r="G224" s="35">
        <f t="shared" ref="G224:G229" si="7">ROUND(E224*F224,0)</f>
        <v>860966</v>
      </c>
    </row>
    <row r="225" spans="1:7" ht="24">
      <c r="A225" s="3" t="s">
        <v>484</v>
      </c>
      <c r="B225" s="3" t="s">
        <v>520</v>
      </c>
      <c r="C225" s="3" t="s">
        <v>521</v>
      </c>
      <c r="D225" s="3" t="s">
        <v>522</v>
      </c>
      <c r="E225" s="262">
        <f>ROUND(INSUMOS!$E$17,0)</f>
        <v>25783</v>
      </c>
      <c r="F225" s="6">
        <f>2/(0.3*2*0.12)</f>
        <v>27.777777777777779</v>
      </c>
      <c r="G225" s="35">
        <f t="shared" si="7"/>
        <v>716194</v>
      </c>
    </row>
    <row r="226" spans="1:7">
      <c r="A226" s="3" t="s">
        <v>484</v>
      </c>
      <c r="B226" s="3" t="s">
        <v>523</v>
      </c>
      <c r="C226" s="3" t="s">
        <v>524</v>
      </c>
      <c r="D226" s="3" t="s">
        <v>492</v>
      </c>
      <c r="E226" s="262">
        <f>ROUND(INSUMOS!$E$18,0)</f>
        <v>6248</v>
      </c>
      <c r="F226" s="6">
        <v>0.2</v>
      </c>
      <c r="G226" s="35">
        <f t="shared" si="7"/>
        <v>1250</v>
      </c>
    </row>
    <row r="227" spans="1:7">
      <c r="A227" s="3" t="s">
        <v>484</v>
      </c>
      <c r="B227" s="3" t="s">
        <v>525</v>
      </c>
      <c r="C227" s="3" t="s">
        <v>526</v>
      </c>
      <c r="D227" s="3" t="s">
        <v>68</v>
      </c>
      <c r="E227" s="262">
        <f>ROUND(INSUMOS!$E$19,0)</f>
        <v>5000</v>
      </c>
      <c r="F227" s="6">
        <v>0.5</v>
      </c>
      <c r="G227" s="35">
        <f t="shared" si="7"/>
        <v>2500</v>
      </c>
    </row>
    <row r="228" spans="1:7">
      <c r="A228" s="3" t="s">
        <v>484</v>
      </c>
      <c r="B228" s="3" t="s">
        <v>527</v>
      </c>
      <c r="C228" s="3" t="s">
        <v>528</v>
      </c>
      <c r="D228" s="3" t="s">
        <v>120</v>
      </c>
      <c r="E228" s="262">
        <f>ROUND(INSUMOS!$E$20,0)</f>
        <v>9226</v>
      </c>
      <c r="F228" s="6">
        <v>1.2</v>
      </c>
      <c r="G228" s="35">
        <f t="shared" si="7"/>
        <v>11071</v>
      </c>
    </row>
    <row r="229" spans="1:7">
      <c r="A229" s="3" t="s">
        <v>484</v>
      </c>
      <c r="B229" s="3" t="s">
        <v>505</v>
      </c>
      <c r="C229" s="3" t="s">
        <v>529</v>
      </c>
      <c r="D229" s="3" t="s">
        <v>68</v>
      </c>
      <c r="E229" s="262">
        <f>ROUND(INSUMOS!$E$15,0)</f>
        <v>5500</v>
      </c>
      <c r="F229" s="6">
        <v>3</v>
      </c>
      <c r="G229" s="35">
        <f t="shared" si="7"/>
        <v>16500</v>
      </c>
    </row>
    <row r="230" spans="1:7">
      <c r="A230" s="402" t="s">
        <v>495</v>
      </c>
      <c r="B230" s="402" t="s">
        <v>495</v>
      </c>
      <c r="C230" s="402" t="s">
        <v>495</v>
      </c>
      <c r="D230" s="402" t="s">
        <v>495</v>
      </c>
      <c r="E230" s="403" t="s">
        <v>495</v>
      </c>
      <c r="F230" s="402" t="s">
        <v>495</v>
      </c>
      <c r="G230" s="55">
        <f>ROUND(SUM(G224:G229),0)</f>
        <v>1608481</v>
      </c>
    </row>
    <row r="231" spans="1:7">
      <c r="A231" s="400" t="s">
        <v>496</v>
      </c>
      <c r="B231" s="400" t="s">
        <v>496</v>
      </c>
      <c r="C231" s="400" t="s">
        <v>496</v>
      </c>
      <c r="D231" s="400" t="s">
        <v>496</v>
      </c>
      <c r="E231" s="401" t="s">
        <v>496</v>
      </c>
      <c r="F231" s="400" t="s">
        <v>496</v>
      </c>
      <c r="G231" s="401" t="s">
        <v>496</v>
      </c>
    </row>
    <row r="232" spans="1:7">
      <c r="A232" s="3" t="s">
        <v>496</v>
      </c>
      <c r="B232" s="3" t="s">
        <v>509</v>
      </c>
      <c r="C232" s="3" t="s">
        <v>510</v>
      </c>
      <c r="D232" s="3" t="s">
        <v>478</v>
      </c>
      <c r="E232" s="262">
        <f>ROUND('MANO DE OBRA'!$E$12,0)</f>
        <v>177075</v>
      </c>
      <c r="F232" s="6">
        <v>1.7</v>
      </c>
      <c r="G232" s="35">
        <f>ROUND(E232/F232,0)</f>
        <v>104162</v>
      </c>
    </row>
    <row r="233" spans="1:7">
      <c r="A233" s="3" t="s">
        <v>496</v>
      </c>
      <c r="B233" s="3" t="s">
        <v>501</v>
      </c>
      <c r="C233" s="3" t="s">
        <v>502</v>
      </c>
      <c r="D233" s="3" t="s">
        <v>478</v>
      </c>
      <c r="E233" s="262">
        <f>ROUND('MANO DE OBRA'!$E$11,0)</f>
        <v>107973</v>
      </c>
      <c r="F233" s="6">
        <v>1.7</v>
      </c>
      <c r="G233" s="35">
        <f>ROUND(E233/F233,0)</f>
        <v>63514</v>
      </c>
    </row>
    <row r="234" spans="1:7" ht="12.75" thickBot="1">
      <c r="A234" s="402" t="s">
        <v>503</v>
      </c>
      <c r="B234" s="402" t="s">
        <v>503</v>
      </c>
      <c r="C234" s="402" t="s">
        <v>503</v>
      </c>
      <c r="D234" s="402" t="s">
        <v>503</v>
      </c>
      <c r="E234" s="403" t="s">
        <v>503</v>
      </c>
      <c r="F234" s="402" t="s">
        <v>503</v>
      </c>
      <c r="G234" s="55">
        <f>ROUND(SUM(G232:G233),0)</f>
        <v>167676</v>
      </c>
    </row>
    <row r="235" spans="1:7" ht="12.75" thickBot="1">
      <c r="A235" s="404" t="s">
        <v>60</v>
      </c>
      <c r="B235" s="405" t="s">
        <v>504</v>
      </c>
      <c r="C235" s="405" t="s">
        <v>504</v>
      </c>
      <c r="D235" s="405" t="s">
        <v>504</v>
      </c>
      <c r="E235" s="406" t="s">
        <v>504</v>
      </c>
      <c r="F235" s="8"/>
      <c r="G235" s="56">
        <f>ROUND(SUM(G222,G230,G234),0)</f>
        <v>1784541</v>
      </c>
    </row>
    <row r="236" spans="1:7">
      <c r="A236" s="1"/>
      <c r="B236" s="1"/>
      <c r="C236" s="1"/>
      <c r="D236" s="1"/>
      <c r="E236" s="52"/>
      <c r="F236" s="1"/>
      <c r="G236" s="52"/>
    </row>
    <row r="237" spans="1:7" ht="42" customHeight="1">
      <c r="A237" s="5" t="s">
        <v>305</v>
      </c>
      <c r="B237" s="5" t="s">
        <v>93</v>
      </c>
      <c r="C237" s="407" t="s">
        <v>94</v>
      </c>
      <c r="D237" s="407"/>
      <c r="E237" s="408"/>
      <c r="F237" s="407"/>
      <c r="G237" s="53" t="s">
        <v>65</v>
      </c>
    </row>
    <row r="238" spans="1:7">
      <c r="A238" s="2" t="s">
        <v>470</v>
      </c>
      <c r="B238" s="2" t="s">
        <v>471</v>
      </c>
      <c r="C238" s="2" t="s">
        <v>4</v>
      </c>
      <c r="D238" s="2" t="s">
        <v>58</v>
      </c>
      <c r="E238" s="54" t="s">
        <v>472</v>
      </c>
      <c r="F238" s="2" t="s">
        <v>473</v>
      </c>
      <c r="G238" s="54" t="s">
        <v>264</v>
      </c>
    </row>
    <row r="239" spans="1:7">
      <c r="A239" s="400" t="s">
        <v>474</v>
      </c>
      <c r="B239" s="400" t="s">
        <v>474</v>
      </c>
      <c r="C239" s="400" t="s">
        <v>474</v>
      </c>
      <c r="D239" s="400" t="s">
        <v>474</v>
      </c>
      <c r="E239" s="401" t="s">
        <v>474</v>
      </c>
      <c r="F239" s="400" t="s">
        <v>474</v>
      </c>
      <c r="G239" s="401" t="s">
        <v>474</v>
      </c>
    </row>
    <row r="240" spans="1:7">
      <c r="A240" s="3" t="s">
        <v>475</v>
      </c>
      <c r="B240" s="3" t="s">
        <v>513</v>
      </c>
      <c r="C240" s="3" t="s">
        <v>514</v>
      </c>
      <c r="D240" s="3" t="s">
        <v>478</v>
      </c>
      <c r="E240" s="262">
        <f>ROUND(EQUIPOS!$E$9,0)</f>
        <v>87000</v>
      </c>
      <c r="F240" s="6">
        <v>0</v>
      </c>
      <c r="G240" s="35">
        <f>ROUND(E240*F240,0)</f>
        <v>0</v>
      </c>
    </row>
    <row r="241" spans="1:7">
      <c r="A241" s="3" t="s">
        <v>475</v>
      </c>
      <c r="B241" s="3" t="s">
        <v>479</v>
      </c>
      <c r="C241" s="3" t="s">
        <v>480</v>
      </c>
      <c r="D241" s="3" t="s">
        <v>481</v>
      </c>
      <c r="E241" s="262">
        <f>ROUND($G$253,0)</f>
        <v>37056</v>
      </c>
      <c r="F241" s="7">
        <v>0.05</v>
      </c>
      <c r="G241" s="35">
        <f>ROUND(E241*F241,0)</f>
        <v>1853</v>
      </c>
    </row>
    <row r="242" spans="1:7">
      <c r="A242" s="402" t="s">
        <v>482</v>
      </c>
      <c r="B242" s="402" t="s">
        <v>482</v>
      </c>
      <c r="C242" s="402" t="s">
        <v>482</v>
      </c>
      <c r="D242" s="402" t="s">
        <v>482</v>
      </c>
      <c r="E242" s="403" t="s">
        <v>482</v>
      </c>
      <c r="F242" s="402" t="s">
        <v>482</v>
      </c>
      <c r="G242" s="55">
        <f>ROUND(SUM(G240:G241),0)</f>
        <v>1853</v>
      </c>
    </row>
    <row r="243" spans="1:7">
      <c r="A243" s="400" t="s">
        <v>483</v>
      </c>
      <c r="B243" s="400" t="s">
        <v>483</v>
      </c>
      <c r="C243" s="400" t="s">
        <v>483</v>
      </c>
      <c r="D243" s="400" t="s">
        <v>483</v>
      </c>
      <c r="E243" s="401" t="s">
        <v>483</v>
      </c>
      <c r="F243" s="400" t="s">
        <v>483</v>
      </c>
      <c r="G243" s="401" t="s">
        <v>483</v>
      </c>
    </row>
    <row r="244" spans="1:7">
      <c r="A244" s="3" t="s">
        <v>484</v>
      </c>
      <c r="B244" s="3" t="s">
        <v>518</v>
      </c>
      <c r="C244" s="3" t="s">
        <v>519</v>
      </c>
      <c r="D244" s="3" t="s">
        <v>72</v>
      </c>
      <c r="E244" s="262">
        <f>ROUND(APA!$G$137,0)</f>
        <v>860966</v>
      </c>
      <c r="F244" s="6">
        <v>0.1</v>
      </c>
      <c r="G244" s="35">
        <f>ROUND(E244*F244,0)</f>
        <v>86097</v>
      </c>
    </row>
    <row r="245" spans="1:7" ht="24">
      <c r="A245" s="3" t="s">
        <v>484</v>
      </c>
      <c r="B245" s="3" t="s">
        <v>520</v>
      </c>
      <c r="C245" s="3" t="s">
        <v>521</v>
      </c>
      <c r="D245" s="3" t="s">
        <v>522</v>
      </c>
      <c r="E245" s="262">
        <f>ROUND(INSUMOS!$E$17,0)</f>
        <v>25783</v>
      </c>
      <c r="F245" s="6">
        <v>0.15</v>
      </c>
      <c r="G245" s="35">
        <f>ROUND(E245*F245,0)</f>
        <v>3867</v>
      </c>
    </row>
    <row r="246" spans="1:7">
      <c r="A246" s="3" t="s">
        <v>484</v>
      </c>
      <c r="B246" s="3" t="s">
        <v>523</v>
      </c>
      <c r="C246" s="3" t="s">
        <v>524</v>
      </c>
      <c r="D246" s="3" t="s">
        <v>492</v>
      </c>
      <c r="E246" s="262">
        <f>ROUND(INSUMOS!$E$18,0)</f>
        <v>6248</v>
      </c>
      <c r="F246" s="6">
        <v>0.02</v>
      </c>
      <c r="G246" s="35">
        <f>ROUND(E246*F246,0)</f>
        <v>125</v>
      </c>
    </row>
    <row r="247" spans="1:7">
      <c r="A247" s="3" t="s">
        <v>484</v>
      </c>
      <c r="B247" s="3" t="s">
        <v>530</v>
      </c>
      <c r="C247" s="3" t="s">
        <v>531</v>
      </c>
      <c r="D247" s="3" t="s">
        <v>68</v>
      </c>
      <c r="E247" s="262">
        <f>ROUND(INSUMOS!$E$21,0)</f>
        <v>9917</v>
      </c>
      <c r="F247" s="6">
        <v>0.4</v>
      </c>
      <c r="G247" s="35">
        <f>ROUND(E247*F247,0)</f>
        <v>3967</v>
      </c>
    </row>
    <row r="248" spans="1:7">
      <c r="A248" s="3" t="s">
        <v>484</v>
      </c>
      <c r="B248" s="3" t="s">
        <v>532</v>
      </c>
      <c r="C248" s="3" t="s">
        <v>533</v>
      </c>
      <c r="D248" s="3" t="s">
        <v>68</v>
      </c>
      <c r="E248" s="262">
        <f>ROUND(INSUMOS!$E$22,0)</f>
        <v>2643</v>
      </c>
      <c r="F248" s="6">
        <v>0.3</v>
      </c>
      <c r="G248" s="35">
        <f>ROUND(E248*F248,0)</f>
        <v>793</v>
      </c>
    </row>
    <row r="249" spans="1:7">
      <c r="A249" s="402" t="s">
        <v>495</v>
      </c>
      <c r="B249" s="402" t="s">
        <v>495</v>
      </c>
      <c r="C249" s="402" t="s">
        <v>495</v>
      </c>
      <c r="D249" s="402" t="s">
        <v>495</v>
      </c>
      <c r="E249" s="403" t="s">
        <v>495</v>
      </c>
      <c r="F249" s="402" t="s">
        <v>495</v>
      </c>
      <c r="G249" s="55">
        <f>ROUND(SUM(G244:G248),0)</f>
        <v>94849</v>
      </c>
    </row>
    <row r="250" spans="1:7">
      <c r="A250" s="400" t="s">
        <v>496</v>
      </c>
      <c r="B250" s="400" t="s">
        <v>496</v>
      </c>
      <c r="C250" s="400" t="s">
        <v>496</v>
      </c>
      <c r="D250" s="400" t="s">
        <v>496</v>
      </c>
      <c r="E250" s="401" t="s">
        <v>496</v>
      </c>
      <c r="F250" s="400" t="s">
        <v>496</v>
      </c>
      <c r="G250" s="401" t="s">
        <v>496</v>
      </c>
    </row>
    <row r="251" spans="1:7">
      <c r="A251" s="3" t="s">
        <v>496</v>
      </c>
      <c r="B251" s="3" t="s">
        <v>509</v>
      </c>
      <c r="C251" s="3" t="s">
        <v>510</v>
      </c>
      <c r="D251" s="3" t="s">
        <v>478</v>
      </c>
      <c r="E251" s="262">
        <f>ROUND('MANO DE OBRA'!$E$12,0)</f>
        <v>177075</v>
      </c>
      <c r="F251" s="6">
        <v>0.13</v>
      </c>
      <c r="G251" s="35">
        <f>ROUND(E251*F251,0)</f>
        <v>23020</v>
      </c>
    </row>
    <row r="252" spans="1:7">
      <c r="A252" s="3" t="s">
        <v>496</v>
      </c>
      <c r="B252" s="3" t="s">
        <v>501</v>
      </c>
      <c r="C252" s="3" t="s">
        <v>502</v>
      </c>
      <c r="D252" s="3" t="s">
        <v>478</v>
      </c>
      <c r="E252" s="262">
        <f>ROUND('MANO DE OBRA'!$E$11,0)</f>
        <v>107973</v>
      </c>
      <c r="F252" s="6">
        <v>0.13</v>
      </c>
      <c r="G252" s="35">
        <f>ROUND(E252*F252,0)</f>
        <v>14036</v>
      </c>
    </row>
    <row r="253" spans="1:7" ht="12.75" thickBot="1">
      <c r="A253" s="402" t="s">
        <v>503</v>
      </c>
      <c r="B253" s="402" t="s">
        <v>503</v>
      </c>
      <c r="C253" s="402" t="s">
        <v>503</v>
      </c>
      <c r="D253" s="402" t="s">
        <v>503</v>
      </c>
      <c r="E253" s="403" t="s">
        <v>503</v>
      </c>
      <c r="F253" s="402" t="s">
        <v>503</v>
      </c>
      <c r="G253" s="55">
        <f>ROUND(SUM(G251:G252),0)</f>
        <v>37056</v>
      </c>
    </row>
    <row r="254" spans="1:7" ht="12.75" thickBot="1">
      <c r="A254" s="404" t="s">
        <v>60</v>
      </c>
      <c r="B254" s="405" t="s">
        <v>504</v>
      </c>
      <c r="C254" s="405" t="s">
        <v>504</v>
      </c>
      <c r="D254" s="405" t="s">
        <v>504</v>
      </c>
      <c r="E254" s="406" t="s">
        <v>504</v>
      </c>
      <c r="F254" s="8"/>
      <c r="G254" s="56">
        <f>ROUND(SUM(G242,G249,G253),0)</f>
        <v>133758</v>
      </c>
    </row>
    <row r="255" spans="1:7">
      <c r="A255" s="1"/>
      <c r="B255" s="1"/>
      <c r="C255" s="1"/>
      <c r="D255" s="1"/>
      <c r="E255" s="52"/>
      <c r="F255" s="1"/>
      <c r="G255" s="52"/>
    </row>
    <row r="256" spans="1:7" ht="42" customHeight="1">
      <c r="A256" s="5" t="s">
        <v>306</v>
      </c>
      <c r="B256" s="5" t="s">
        <v>95</v>
      </c>
      <c r="C256" s="407" t="s">
        <v>96</v>
      </c>
      <c r="D256" s="407"/>
      <c r="E256" s="408"/>
      <c r="F256" s="407"/>
      <c r="G256" s="53" t="s">
        <v>65</v>
      </c>
    </row>
    <row r="257" spans="1:7">
      <c r="A257" s="2" t="s">
        <v>470</v>
      </c>
      <c r="B257" s="2" t="s">
        <v>471</v>
      </c>
      <c r="C257" s="2" t="s">
        <v>4</v>
      </c>
      <c r="D257" s="2" t="s">
        <v>58</v>
      </c>
      <c r="E257" s="54" t="s">
        <v>472</v>
      </c>
      <c r="F257" s="2" t="s">
        <v>473</v>
      </c>
      <c r="G257" s="54" t="s">
        <v>264</v>
      </c>
    </row>
    <row r="258" spans="1:7">
      <c r="A258" s="400" t="s">
        <v>474</v>
      </c>
      <c r="B258" s="400" t="s">
        <v>474</v>
      </c>
      <c r="C258" s="400" t="s">
        <v>474</v>
      </c>
      <c r="D258" s="400" t="s">
        <v>474</v>
      </c>
      <c r="E258" s="401" t="s">
        <v>474</v>
      </c>
      <c r="F258" s="400" t="s">
        <v>474</v>
      </c>
      <c r="G258" s="401" t="s">
        <v>474</v>
      </c>
    </row>
    <row r="259" spans="1:7">
      <c r="A259" s="3" t="s">
        <v>475</v>
      </c>
      <c r="B259" s="3" t="s">
        <v>534</v>
      </c>
      <c r="C259" s="3" t="s">
        <v>535</v>
      </c>
      <c r="D259" s="3" t="s">
        <v>478</v>
      </c>
      <c r="E259" s="262">
        <f>ROUND(EQUIPOS!$E$10,0)</f>
        <v>50000</v>
      </c>
      <c r="F259" s="6">
        <v>0</v>
      </c>
      <c r="G259" s="35">
        <f>ROUND(E259*F259,0)</f>
        <v>0</v>
      </c>
    </row>
    <row r="260" spans="1:7">
      <c r="A260" s="3" t="s">
        <v>475</v>
      </c>
      <c r="B260" s="3" t="s">
        <v>479</v>
      </c>
      <c r="C260" s="3" t="s">
        <v>480</v>
      </c>
      <c r="D260" s="3" t="s">
        <v>481</v>
      </c>
      <c r="E260" s="262">
        <f>ROUND($G$272,0)</f>
        <v>228038</v>
      </c>
      <c r="F260" s="7">
        <v>0.05</v>
      </c>
      <c r="G260" s="35">
        <f>ROUND(E260*F260,0)</f>
        <v>11402</v>
      </c>
    </row>
    <row r="261" spans="1:7">
      <c r="A261" s="402" t="s">
        <v>482</v>
      </c>
      <c r="B261" s="402" t="s">
        <v>482</v>
      </c>
      <c r="C261" s="402" t="s">
        <v>482</v>
      </c>
      <c r="D261" s="402" t="s">
        <v>482</v>
      </c>
      <c r="E261" s="403" t="s">
        <v>482</v>
      </c>
      <c r="F261" s="402" t="s">
        <v>482</v>
      </c>
      <c r="G261" s="55">
        <f>ROUND(SUM(G259:G260),0)</f>
        <v>11402</v>
      </c>
    </row>
    <row r="262" spans="1:7">
      <c r="A262" s="400" t="s">
        <v>483</v>
      </c>
      <c r="B262" s="400" t="s">
        <v>483</v>
      </c>
      <c r="C262" s="400" t="s">
        <v>483</v>
      </c>
      <c r="D262" s="400" t="s">
        <v>483</v>
      </c>
      <c r="E262" s="401" t="s">
        <v>483</v>
      </c>
      <c r="F262" s="400" t="s">
        <v>483</v>
      </c>
      <c r="G262" s="401" t="s">
        <v>483</v>
      </c>
    </row>
    <row r="263" spans="1:7">
      <c r="A263" s="3" t="s">
        <v>484</v>
      </c>
      <c r="B263" s="3" t="s">
        <v>518</v>
      </c>
      <c r="C263" s="3" t="s">
        <v>519</v>
      </c>
      <c r="D263" s="3" t="s">
        <v>72</v>
      </c>
      <c r="E263" s="262">
        <f>ROUND(APA!$G$137,0)</f>
        <v>860966</v>
      </c>
      <c r="F263" s="6">
        <v>0.15</v>
      </c>
      <c r="G263" s="35">
        <f>ROUND(E263*F263,0)</f>
        <v>129145</v>
      </c>
    </row>
    <row r="264" spans="1:7" ht="24">
      <c r="A264" s="3" t="s">
        <v>484</v>
      </c>
      <c r="B264" s="3" t="s">
        <v>520</v>
      </c>
      <c r="C264" s="3" t="s">
        <v>521</v>
      </c>
      <c r="D264" s="3" t="s">
        <v>522</v>
      </c>
      <c r="E264" s="262">
        <f>ROUND(INSUMOS!$E$17,0)</f>
        <v>25783</v>
      </c>
      <c r="F264" s="6">
        <v>0.15</v>
      </c>
      <c r="G264" s="35">
        <f>ROUND(E264*F264,0)</f>
        <v>3867</v>
      </c>
    </row>
    <row r="265" spans="1:7">
      <c r="A265" s="3" t="s">
        <v>484</v>
      </c>
      <c r="B265" s="3" t="s">
        <v>523</v>
      </c>
      <c r="C265" s="3" t="s">
        <v>524</v>
      </c>
      <c r="D265" s="3" t="s">
        <v>492</v>
      </c>
      <c r="E265" s="262">
        <f>ROUND(INSUMOS!$E$18,0)</f>
        <v>6248</v>
      </c>
      <c r="F265" s="6">
        <v>0.02</v>
      </c>
      <c r="G265" s="35">
        <f>ROUND(E265*F265,0)</f>
        <v>125</v>
      </c>
    </row>
    <row r="266" spans="1:7">
      <c r="A266" s="3" t="s">
        <v>484</v>
      </c>
      <c r="B266" s="3" t="s">
        <v>530</v>
      </c>
      <c r="C266" s="3" t="s">
        <v>531</v>
      </c>
      <c r="D266" s="3" t="s">
        <v>68</v>
      </c>
      <c r="E266" s="262">
        <f>ROUND(INSUMOS!$E$21,0)</f>
        <v>9917</v>
      </c>
      <c r="F266" s="6">
        <v>0.4</v>
      </c>
      <c r="G266" s="35">
        <f>ROUND(E266*F266,0)</f>
        <v>3967</v>
      </c>
    </row>
    <row r="267" spans="1:7">
      <c r="A267" s="3" t="s">
        <v>484</v>
      </c>
      <c r="B267" s="3" t="s">
        <v>532</v>
      </c>
      <c r="C267" s="3" t="s">
        <v>533</v>
      </c>
      <c r="D267" s="3" t="s">
        <v>68</v>
      </c>
      <c r="E267" s="262">
        <f>ROUND(INSUMOS!$E$22,0)</f>
        <v>2643</v>
      </c>
      <c r="F267" s="6">
        <v>0.3</v>
      </c>
      <c r="G267" s="35">
        <f>ROUND(E267*F267,0)</f>
        <v>793</v>
      </c>
    </row>
    <row r="268" spans="1:7">
      <c r="A268" s="402" t="s">
        <v>495</v>
      </c>
      <c r="B268" s="402" t="s">
        <v>495</v>
      </c>
      <c r="C268" s="402" t="s">
        <v>495</v>
      </c>
      <c r="D268" s="402" t="s">
        <v>495</v>
      </c>
      <c r="E268" s="403" t="s">
        <v>495</v>
      </c>
      <c r="F268" s="402" t="s">
        <v>495</v>
      </c>
      <c r="G268" s="55">
        <f>ROUND(SUM(G263:G267),0)</f>
        <v>137897</v>
      </c>
    </row>
    <row r="269" spans="1:7">
      <c r="A269" s="400" t="s">
        <v>496</v>
      </c>
      <c r="B269" s="400" t="s">
        <v>496</v>
      </c>
      <c r="C269" s="400" t="s">
        <v>496</v>
      </c>
      <c r="D269" s="400" t="s">
        <v>496</v>
      </c>
      <c r="E269" s="401" t="s">
        <v>496</v>
      </c>
      <c r="F269" s="400" t="s">
        <v>496</v>
      </c>
      <c r="G269" s="401" t="s">
        <v>496</v>
      </c>
    </row>
    <row r="270" spans="1:7">
      <c r="A270" s="3" t="s">
        <v>496</v>
      </c>
      <c r="B270" s="3" t="s">
        <v>509</v>
      </c>
      <c r="C270" s="3" t="s">
        <v>510</v>
      </c>
      <c r="D270" s="3" t="s">
        <v>478</v>
      </c>
      <c r="E270" s="262">
        <f>ROUND('MANO DE OBRA'!$E$12,0)</f>
        <v>177075</v>
      </c>
      <c r="F270" s="6">
        <v>0.8</v>
      </c>
      <c r="G270" s="35">
        <f>ROUND(E270*F270,0)</f>
        <v>141660</v>
      </c>
    </row>
    <row r="271" spans="1:7">
      <c r="A271" s="3" t="s">
        <v>496</v>
      </c>
      <c r="B271" s="3" t="s">
        <v>501</v>
      </c>
      <c r="C271" s="3" t="s">
        <v>502</v>
      </c>
      <c r="D271" s="3" t="s">
        <v>478</v>
      </c>
      <c r="E271" s="262">
        <f>ROUND('MANO DE OBRA'!$E$11,0)</f>
        <v>107973</v>
      </c>
      <c r="F271" s="6">
        <v>0.8</v>
      </c>
      <c r="G271" s="35">
        <f>ROUND(E271*F271,0)</f>
        <v>86378</v>
      </c>
    </row>
    <row r="272" spans="1:7" ht="12.75" thickBot="1">
      <c r="A272" s="402" t="s">
        <v>503</v>
      </c>
      <c r="B272" s="402" t="s">
        <v>503</v>
      </c>
      <c r="C272" s="402" t="s">
        <v>503</v>
      </c>
      <c r="D272" s="402" t="s">
        <v>503</v>
      </c>
      <c r="E272" s="403" t="s">
        <v>503</v>
      </c>
      <c r="F272" s="402" t="s">
        <v>503</v>
      </c>
      <c r="G272" s="55">
        <f>ROUND(SUM(G270:G271),0)</f>
        <v>228038</v>
      </c>
    </row>
    <row r="273" spans="1:7" ht="12.75" thickBot="1">
      <c r="A273" s="404" t="s">
        <v>60</v>
      </c>
      <c r="B273" s="405" t="s">
        <v>504</v>
      </c>
      <c r="C273" s="405" t="s">
        <v>504</v>
      </c>
      <c r="D273" s="405" t="s">
        <v>504</v>
      </c>
      <c r="E273" s="406" t="s">
        <v>504</v>
      </c>
      <c r="F273" s="8"/>
      <c r="G273" s="56">
        <f>ROUND(SUM(G261,G268,G272),0)</f>
        <v>377337</v>
      </c>
    </row>
    <row r="274" spans="1:7">
      <c r="A274" s="1"/>
      <c r="B274" s="1"/>
      <c r="C274" s="1"/>
      <c r="D274" s="1"/>
      <c r="E274" s="52"/>
      <c r="F274" s="1"/>
      <c r="G274" s="52"/>
    </row>
    <row r="275" spans="1:7" ht="42" customHeight="1">
      <c r="A275" s="5" t="s">
        <v>308</v>
      </c>
      <c r="B275" s="5" t="s">
        <v>97</v>
      </c>
      <c r="C275" s="407" t="s">
        <v>98</v>
      </c>
      <c r="D275" s="407"/>
      <c r="E275" s="408"/>
      <c r="F275" s="407"/>
      <c r="G275" s="53" t="s">
        <v>72</v>
      </c>
    </row>
    <row r="276" spans="1:7">
      <c r="A276" s="2" t="s">
        <v>470</v>
      </c>
      <c r="B276" s="2" t="s">
        <v>471</v>
      </c>
      <c r="C276" s="2" t="s">
        <v>4</v>
      </c>
      <c r="D276" s="2" t="s">
        <v>58</v>
      </c>
      <c r="E276" s="54" t="s">
        <v>472</v>
      </c>
      <c r="F276" s="2" t="s">
        <v>517</v>
      </c>
      <c r="G276" s="54" t="s">
        <v>264</v>
      </c>
    </row>
    <row r="277" spans="1:7">
      <c r="A277" s="400" t="s">
        <v>474</v>
      </c>
      <c r="B277" s="400" t="s">
        <v>474</v>
      </c>
      <c r="C277" s="400" t="s">
        <v>474</v>
      </c>
      <c r="D277" s="400" t="s">
        <v>474</v>
      </c>
      <c r="E277" s="401" t="s">
        <v>474</v>
      </c>
      <c r="F277" s="400" t="s">
        <v>474</v>
      </c>
      <c r="G277" s="401" t="s">
        <v>474</v>
      </c>
    </row>
    <row r="278" spans="1:7">
      <c r="A278" s="3" t="s">
        <v>475</v>
      </c>
      <c r="B278" s="3" t="s">
        <v>513</v>
      </c>
      <c r="C278" s="3" t="s">
        <v>514</v>
      </c>
      <c r="D278" s="3" t="s">
        <v>478</v>
      </c>
      <c r="E278" s="262">
        <f>ROUND(EQUIPOS!$E$9,0)</f>
        <v>87000</v>
      </c>
      <c r="F278" s="6">
        <v>0</v>
      </c>
      <c r="G278" s="35">
        <f>ROUND(E278*F278,0)</f>
        <v>0</v>
      </c>
    </row>
    <row r="279" spans="1:7">
      <c r="A279" s="3" t="s">
        <v>475</v>
      </c>
      <c r="B279" s="3" t="s">
        <v>479</v>
      </c>
      <c r="C279" s="3" t="s">
        <v>480</v>
      </c>
      <c r="D279" s="3" t="s">
        <v>481</v>
      </c>
      <c r="E279" s="262">
        <f>ROUND($G$292,0)</f>
        <v>167676</v>
      </c>
      <c r="F279" s="7">
        <v>0.05</v>
      </c>
      <c r="G279" s="35">
        <f>ROUND(E279*F279,0)</f>
        <v>8384</v>
      </c>
    </row>
    <row r="280" spans="1:7">
      <c r="A280" s="402" t="s">
        <v>482</v>
      </c>
      <c r="B280" s="402" t="s">
        <v>482</v>
      </c>
      <c r="C280" s="402" t="s">
        <v>482</v>
      </c>
      <c r="D280" s="402" t="s">
        <v>482</v>
      </c>
      <c r="E280" s="403" t="s">
        <v>482</v>
      </c>
      <c r="F280" s="402" t="s">
        <v>482</v>
      </c>
      <c r="G280" s="55">
        <f>ROUND(SUM(G278:G279),0)</f>
        <v>8384</v>
      </c>
    </row>
    <row r="281" spans="1:7">
      <c r="A281" s="400" t="s">
        <v>483</v>
      </c>
      <c r="B281" s="400" t="s">
        <v>483</v>
      </c>
      <c r="C281" s="400" t="s">
        <v>483</v>
      </c>
      <c r="D281" s="400" t="s">
        <v>483</v>
      </c>
      <c r="E281" s="401" t="s">
        <v>483</v>
      </c>
      <c r="F281" s="400" t="s">
        <v>483</v>
      </c>
      <c r="G281" s="401" t="s">
        <v>483</v>
      </c>
    </row>
    <row r="282" spans="1:7">
      <c r="A282" s="3" t="s">
        <v>484</v>
      </c>
      <c r="B282" s="3" t="s">
        <v>518</v>
      </c>
      <c r="C282" s="3" t="s">
        <v>519</v>
      </c>
      <c r="D282" s="3" t="s">
        <v>72</v>
      </c>
      <c r="E282" s="262">
        <f>ROUND(APA!$G$137,0)</f>
        <v>860966</v>
      </c>
      <c r="F282" s="6">
        <v>1</v>
      </c>
      <c r="G282" s="35">
        <f t="shared" ref="G282:G287" si="8">ROUND(E282*F282,0)</f>
        <v>860966</v>
      </c>
    </row>
    <row r="283" spans="1:7" ht="24">
      <c r="A283" s="3" t="s">
        <v>484</v>
      </c>
      <c r="B283" s="3" t="s">
        <v>520</v>
      </c>
      <c r="C283" s="3" t="s">
        <v>521</v>
      </c>
      <c r="D283" s="3" t="s">
        <v>522</v>
      </c>
      <c r="E283" s="262">
        <f>ROUND(INSUMOS!$E$17,0)</f>
        <v>25783</v>
      </c>
      <c r="F283" s="6">
        <f>(2*0.3)/(0.3*2*0.1*0.3)</f>
        <v>33.333333333333336</v>
      </c>
      <c r="G283" s="35">
        <f t="shared" si="8"/>
        <v>859433</v>
      </c>
    </row>
    <row r="284" spans="1:7">
      <c r="A284" s="3" t="s">
        <v>484</v>
      </c>
      <c r="B284" s="3" t="s">
        <v>523</v>
      </c>
      <c r="C284" s="3" t="s">
        <v>524</v>
      </c>
      <c r="D284" s="3" t="s">
        <v>492</v>
      </c>
      <c r="E284" s="262">
        <f>ROUND(INSUMOS!$E$18,0)</f>
        <v>6248</v>
      </c>
      <c r="F284" s="6">
        <v>0.2</v>
      </c>
      <c r="G284" s="35">
        <f t="shared" si="8"/>
        <v>1250</v>
      </c>
    </row>
    <row r="285" spans="1:7">
      <c r="A285" s="3" t="s">
        <v>484</v>
      </c>
      <c r="B285" s="3" t="s">
        <v>525</v>
      </c>
      <c r="C285" s="3" t="s">
        <v>526</v>
      </c>
      <c r="D285" s="3" t="s">
        <v>68</v>
      </c>
      <c r="E285" s="262">
        <f>ROUND(INSUMOS!$E$19,0)</f>
        <v>5000</v>
      </c>
      <c r="F285" s="6">
        <v>0.5</v>
      </c>
      <c r="G285" s="35">
        <f t="shared" si="8"/>
        <v>2500</v>
      </c>
    </row>
    <row r="286" spans="1:7">
      <c r="A286" s="3" t="s">
        <v>484</v>
      </c>
      <c r="B286" s="3" t="s">
        <v>527</v>
      </c>
      <c r="C286" s="3" t="s">
        <v>528</v>
      </c>
      <c r="D286" s="3" t="s">
        <v>120</v>
      </c>
      <c r="E286" s="262">
        <f>ROUND(INSUMOS!$E$20,0)</f>
        <v>9226</v>
      </c>
      <c r="F286" s="6">
        <v>1.2</v>
      </c>
      <c r="G286" s="35">
        <f t="shared" si="8"/>
        <v>11071</v>
      </c>
    </row>
    <row r="287" spans="1:7">
      <c r="A287" s="3" t="s">
        <v>484</v>
      </c>
      <c r="B287" s="3" t="s">
        <v>505</v>
      </c>
      <c r="C287" s="3" t="s">
        <v>529</v>
      </c>
      <c r="D287" s="3" t="s">
        <v>68</v>
      </c>
      <c r="E287" s="262">
        <f>ROUND(INSUMOS!$E$15,0)</f>
        <v>5500</v>
      </c>
      <c r="F287" s="6">
        <v>3</v>
      </c>
      <c r="G287" s="35">
        <f t="shared" si="8"/>
        <v>16500</v>
      </c>
    </row>
    <row r="288" spans="1:7">
      <c r="A288" s="402" t="s">
        <v>495</v>
      </c>
      <c r="B288" s="402" t="s">
        <v>495</v>
      </c>
      <c r="C288" s="402" t="s">
        <v>495</v>
      </c>
      <c r="D288" s="402" t="s">
        <v>495</v>
      </c>
      <c r="E288" s="403" t="s">
        <v>495</v>
      </c>
      <c r="F288" s="402" t="s">
        <v>495</v>
      </c>
      <c r="G288" s="55">
        <f>ROUND(SUM(G282:G287),0)</f>
        <v>1751720</v>
      </c>
    </row>
    <row r="289" spans="1:7">
      <c r="A289" s="400" t="s">
        <v>496</v>
      </c>
      <c r="B289" s="400" t="s">
        <v>496</v>
      </c>
      <c r="C289" s="400" t="s">
        <v>496</v>
      </c>
      <c r="D289" s="400" t="s">
        <v>496</v>
      </c>
      <c r="E289" s="401" t="s">
        <v>496</v>
      </c>
      <c r="F289" s="400" t="s">
        <v>496</v>
      </c>
      <c r="G289" s="401" t="s">
        <v>496</v>
      </c>
    </row>
    <row r="290" spans="1:7">
      <c r="A290" s="3" t="s">
        <v>496</v>
      </c>
      <c r="B290" s="3" t="s">
        <v>509</v>
      </c>
      <c r="C290" s="3" t="s">
        <v>510</v>
      </c>
      <c r="D290" s="3" t="s">
        <v>478</v>
      </c>
      <c r="E290" s="262">
        <f>ROUND('MANO DE OBRA'!$E$12,0)</f>
        <v>177075</v>
      </c>
      <c r="F290" s="6">
        <v>1.7</v>
      </c>
      <c r="G290" s="35">
        <f>ROUND(E290/F290,0)</f>
        <v>104162</v>
      </c>
    </row>
    <row r="291" spans="1:7">
      <c r="A291" s="3" t="s">
        <v>496</v>
      </c>
      <c r="B291" s="3" t="s">
        <v>501</v>
      </c>
      <c r="C291" s="3" t="s">
        <v>502</v>
      </c>
      <c r="D291" s="3" t="s">
        <v>478</v>
      </c>
      <c r="E291" s="262">
        <f>ROUND('MANO DE OBRA'!$E$11,0)</f>
        <v>107973</v>
      </c>
      <c r="F291" s="6">
        <v>1.7</v>
      </c>
      <c r="G291" s="35">
        <f>ROUND(E291/F291,0)</f>
        <v>63514</v>
      </c>
    </row>
    <row r="292" spans="1:7" ht="12.75" thickBot="1">
      <c r="A292" s="402" t="s">
        <v>503</v>
      </c>
      <c r="B292" s="402" t="s">
        <v>503</v>
      </c>
      <c r="C292" s="402" t="s">
        <v>503</v>
      </c>
      <c r="D292" s="402" t="s">
        <v>503</v>
      </c>
      <c r="E292" s="403" t="s">
        <v>503</v>
      </c>
      <c r="F292" s="402" t="s">
        <v>503</v>
      </c>
      <c r="G292" s="55">
        <f>ROUND(SUM(G290:G291),0)</f>
        <v>167676</v>
      </c>
    </row>
    <row r="293" spans="1:7" ht="12.75" thickBot="1">
      <c r="A293" s="404" t="s">
        <v>60</v>
      </c>
      <c r="B293" s="405" t="s">
        <v>504</v>
      </c>
      <c r="C293" s="405" t="s">
        <v>504</v>
      </c>
      <c r="D293" s="405" t="s">
        <v>504</v>
      </c>
      <c r="E293" s="406" t="s">
        <v>504</v>
      </c>
      <c r="F293" s="8"/>
      <c r="G293" s="56">
        <f>ROUND(SUM(G280,G288,G292),0)</f>
        <v>1927780</v>
      </c>
    </row>
    <row r="294" spans="1:7">
      <c r="A294" s="1"/>
      <c r="B294" s="1"/>
      <c r="C294" s="1"/>
      <c r="D294" s="1"/>
      <c r="E294" s="52"/>
      <c r="F294" s="1"/>
      <c r="G294" s="52"/>
    </row>
    <row r="295" spans="1:7" ht="42" customHeight="1">
      <c r="A295" s="5" t="s">
        <v>310</v>
      </c>
      <c r="B295" s="5" t="s">
        <v>99</v>
      </c>
      <c r="C295" s="407" t="s">
        <v>100</v>
      </c>
      <c r="D295" s="407"/>
      <c r="E295" s="408"/>
      <c r="F295" s="407"/>
      <c r="G295" s="53" t="s">
        <v>72</v>
      </c>
    </row>
    <row r="296" spans="1:7">
      <c r="A296" s="2" t="s">
        <v>470</v>
      </c>
      <c r="B296" s="2" t="s">
        <v>471</v>
      </c>
      <c r="C296" s="2" t="s">
        <v>4</v>
      </c>
      <c r="D296" s="2" t="s">
        <v>58</v>
      </c>
      <c r="E296" s="54" t="s">
        <v>472</v>
      </c>
      <c r="F296" s="2" t="s">
        <v>517</v>
      </c>
      <c r="G296" s="54" t="s">
        <v>264</v>
      </c>
    </row>
    <row r="297" spans="1:7">
      <c r="A297" s="400" t="s">
        <v>474</v>
      </c>
      <c r="B297" s="400" t="s">
        <v>474</v>
      </c>
      <c r="C297" s="400" t="s">
        <v>474</v>
      </c>
      <c r="D297" s="400" t="s">
        <v>474</v>
      </c>
      <c r="E297" s="401" t="s">
        <v>474</v>
      </c>
      <c r="F297" s="400" t="s">
        <v>474</v>
      </c>
      <c r="G297" s="401" t="s">
        <v>474</v>
      </c>
    </row>
    <row r="298" spans="1:7">
      <c r="A298" s="3" t="s">
        <v>475</v>
      </c>
      <c r="B298" s="3" t="s">
        <v>513</v>
      </c>
      <c r="C298" s="3" t="s">
        <v>514</v>
      </c>
      <c r="D298" s="3" t="s">
        <v>478</v>
      </c>
      <c r="E298" s="262">
        <f>ROUND(EQUIPOS!$E$9,0)</f>
        <v>87000</v>
      </c>
      <c r="F298" s="6">
        <v>0</v>
      </c>
      <c r="G298" s="35">
        <f>ROUND(E298*F298,0)</f>
        <v>0</v>
      </c>
    </row>
    <row r="299" spans="1:7">
      <c r="A299" s="3" t="s">
        <v>475</v>
      </c>
      <c r="B299" s="3" t="s">
        <v>479</v>
      </c>
      <c r="C299" s="3" t="s">
        <v>480</v>
      </c>
      <c r="D299" s="3" t="s">
        <v>481</v>
      </c>
      <c r="E299" s="262">
        <f>ROUND($G$312,0)</f>
        <v>167676</v>
      </c>
      <c r="F299" s="7">
        <v>0.05</v>
      </c>
      <c r="G299" s="35">
        <f>ROUND(E299*F299,0)</f>
        <v>8384</v>
      </c>
    </row>
    <row r="300" spans="1:7">
      <c r="A300" s="402" t="s">
        <v>482</v>
      </c>
      <c r="B300" s="402" t="s">
        <v>482</v>
      </c>
      <c r="C300" s="402" t="s">
        <v>482</v>
      </c>
      <c r="D300" s="402" t="s">
        <v>482</v>
      </c>
      <c r="E300" s="403" t="s">
        <v>482</v>
      </c>
      <c r="F300" s="402" t="s">
        <v>482</v>
      </c>
      <c r="G300" s="55">
        <f>ROUND(SUM(G298:G299),0)</f>
        <v>8384</v>
      </c>
    </row>
    <row r="301" spans="1:7">
      <c r="A301" s="400" t="s">
        <v>483</v>
      </c>
      <c r="B301" s="400" t="s">
        <v>483</v>
      </c>
      <c r="C301" s="400" t="s">
        <v>483</v>
      </c>
      <c r="D301" s="400" t="s">
        <v>483</v>
      </c>
      <c r="E301" s="401" t="s">
        <v>483</v>
      </c>
      <c r="F301" s="400" t="s">
        <v>483</v>
      </c>
      <c r="G301" s="401" t="s">
        <v>483</v>
      </c>
    </row>
    <row r="302" spans="1:7">
      <c r="A302" s="3" t="s">
        <v>484</v>
      </c>
      <c r="B302" s="3" t="s">
        <v>518</v>
      </c>
      <c r="C302" s="3" t="s">
        <v>519</v>
      </c>
      <c r="D302" s="3" t="s">
        <v>72</v>
      </c>
      <c r="E302" s="262">
        <f>ROUND(APA!$G$137,0)</f>
        <v>860966</v>
      </c>
      <c r="F302" s="6">
        <v>1</v>
      </c>
      <c r="G302" s="35">
        <f t="shared" ref="G302:G307" si="9">ROUND(E302*F302,0)</f>
        <v>860966</v>
      </c>
    </row>
    <row r="303" spans="1:7" ht="24">
      <c r="A303" s="3" t="s">
        <v>484</v>
      </c>
      <c r="B303" s="3" t="s">
        <v>520</v>
      </c>
      <c r="C303" s="3" t="s">
        <v>521</v>
      </c>
      <c r="D303" s="3" t="s">
        <v>522</v>
      </c>
      <c r="E303" s="262">
        <f>ROUND(INSUMOS!$E$17,0)</f>
        <v>25783</v>
      </c>
      <c r="F303" s="6">
        <f>(2*(0.05+0.08))/(0.3*2*((0.3+2*0.08)*(0.05+0.08)-0.3*0.05))</f>
        <v>9.6726190476190492</v>
      </c>
      <c r="G303" s="35">
        <f t="shared" si="9"/>
        <v>249389</v>
      </c>
    </row>
    <row r="304" spans="1:7">
      <c r="A304" s="3" t="s">
        <v>484</v>
      </c>
      <c r="B304" s="3" t="s">
        <v>523</v>
      </c>
      <c r="C304" s="3" t="s">
        <v>524</v>
      </c>
      <c r="D304" s="3" t="s">
        <v>492</v>
      </c>
      <c r="E304" s="262">
        <f>ROUND(INSUMOS!$E$18,0)</f>
        <v>6248</v>
      </c>
      <c r="F304" s="6">
        <v>0.2</v>
      </c>
      <c r="G304" s="35">
        <f t="shared" si="9"/>
        <v>1250</v>
      </c>
    </row>
    <row r="305" spans="1:7">
      <c r="A305" s="3" t="s">
        <v>484</v>
      </c>
      <c r="B305" s="3" t="s">
        <v>525</v>
      </c>
      <c r="C305" s="3" t="s">
        <v>526</v>
      </c>
      <c r="D305" s="3" t="s">
        <v>68</v>
      </c>
      <c r="E305" s="262">
        <f>ROUND(INSUMOS!$E$19,0)</f>
        <v>5000</v>
      </c>
      <c r="F305" s="6">
        <v>0.5</v>
      </c>
      <c r="G305" s="35">
        <f t="shared" si="9"/>
        <v>2500</v>
      </c>
    </row>
    <row r="306" spans="1:7">
      <c r="A306" s="3" t="s">
        <v>484</v>
      </c>
      <c r="B306" s="3" t="s">
        <v>527</v>
      </c>
      <c r="C306" s="3" t="s">
        <v>528</v>
      </c>
      <c r="D306" s="3" t="s">
        <v>120</v>
      </c>
      <c r="E306" s="262">
        <f>ROUND(INSUMOS!$E$20,0)</f>
        <v>9226</v>
      </c>
      <c r="F306" s="6">
        <v>1.2</v>
      </c>
      <c r="G306" s="35">
        <f t="shared" si="9"/>
        <v>11071</v>
      </c>
    </row>
    <row r="307" spans="1:7">
      <c r="A307" s="3" t="s">
        <v>484</v>
      </c>
      <c r="B307" s="3" t="s">
        <v>505</v>
      </c>
      <c r="C307" s="3" t="s">
        <v>529</v>
      </c>
      <c r="D307" s="3" t="s">
        <v>68</v>
      </c>
      <c r="E307" s="262">
        <f>ROUND(INSUMOS!$E$15,0)</f>
        <v>5500</v>
      </c>
      <c r="F307" s="6">
        <v>3</v>
      </c>
      <c r="G307" s="35">
        <f t="shared" si="9"/>
        <v>16500</v>
      </c>
    </row>
    <row r="308" spans="1:7">
      <c r="A308" s="402" t="s">
        <v>495</v>
      </c>
      <c r="B308" s="402" t="s">
        <v>495</v>
      </c>
      <c r="C308" s="402" t="s">
        <v>495</v>
      </c>
      <c r="D308" s="402" t="s">
        <v>495</v>
      </c>
      <c r="E308" s="403" t="s">
        <v>495</v>
      </c>
      <c r="F308" s="402" t="s">
        <v>495</v>
      </c>
      <c r="G308" s="55">
        <f>ROUND(SUM(G302:G307),0)</f>
        <v>1141676</v>
      </c>
    </row>
    <row r="309" spans="1:7">
      <c r="A309" s="400" t="s">
        <v>496</v>
      </c>
      <c r="B309" s="400" t="s">
        <v>496</v>
      </c>
      <c r="C309" s="400" t="s">
        <v>496</v>
      </c>
      <c r="D309" s="400" t="s">
        <v>496</v>
      </c>
      <c r="E309" s="401" t="s">
        <v>496</v>
      </c>
      <c r="F309" s="400" t="s">
        <v>496</v>
      </c>
      <c r="G309" s="401" t="s">
        <v>496</v>
      </c>
    </row>
    <row r="310" spans="1:7">
      <c r="A310" s="3" t="s">
        <v>496</v>
      </c>
      <c r="B310" s="3" t="s">
        <v>509</v>
      </c>
      <c r="C310" s="3" t="s">
        <v>510</v>
      </c>
      <c r="D310" s="3" t="s">
        <v>478</v>
      </c>
      <c r="E310" s="262">
        <f>ROUND('MANO DE OBRA'!$E$12,0)</f>
        <v>177075</v>
      </c>
      <c r="F310" s="6">
        <v>1.7</v>
      </c>
      <c r="G310" s="35">
        <f>ROUND(E310/F310,0)</f>
        <v>104162</v>
      </c>
    </row>
    <row r="311" spans="1:7">
      <c r="A311" s="3" t="s">
        <v>496</v>
      </c>
      <c r="B311" s="3" t="s">
        <v>501</v>
      </c>
      <c r="C311" s="3" t="s">
        <v>502</v>
      </c>
      <c r="D311" s="3" t="s">
        <v>478</v>
      </c>
      <c r="E311" s="262">
        <f>ROUND('MANO DE OBRA'!$E$11,0)</f>
        <v>107973</v>
      </c>
      <c r="F311" s="6">
        <v>1.7</v>
      </c>
      <c r="G311" s="35">
        <f>ROUND(E311/F311,0)</f>
        <v>63514</v>
      </c>
    </row>
    <row r="312" spans="1:7" ht="12.75" thickBot="1">
      <c r="A312" s="402" t="s">
        <v>503</v>
      </c>
      <c r="B312" s="402" t="s">
        <v>503</v>
      </c>
      <c r="C312" s="402" t="s">
        <v>503</v>
      </c>
      <c r="D312" s="402" t="s">
        <v>503</v>
      </c>
      <c r="E312" s="403" t="s">
        <v>503</v>
      </c>
      <c r="F312" s="402" t="s">
        <v>503</v>
      </c>
      <c r="G312" s="55">
        <f>ROUND(SUM(G310:G311),0)</f>
        <v>167676</v>
      </c>
    </row>
    <row r="313" spans="1:7" ht="12.75" thickBot="1">
      <c r="A313" s="404" t="s">
        <v>60</v>
      </c>
      <c r="B313" s="405" t="s">
        <v>504</v>
      </c>
      <c r="C313" s="405" t="s">
        <v>504</v>
      </c>
      <c r="D313" s="405" t="s">
        <v>504</v>
      </c>
      <c r="E313" s="406" t="s">
        <v>504</v>
      </c>
      <c r="F313" s="8"/>
      <c r="G313" s="56">
        <f>ROUND(SUM(G300,G308,G312),0)</f>
        <v>1317736</v>
      </c>
    </row>
    <row r="314" spans="1:7">
      <c r="A314" s="1"/>
      <c r="B314" s="1"/>
      <c r="C314" s="1"/>
      <c r="D314" s="1"/>
      <c r="E314" s="52"/>
      <c r="F314" s="1"/>
      <c r="G314" s="52"/>
    </row>
    <row r="315" spans="1:7" ht="42" customHeight="1">
      <c r="A315" s="5" t="s">
        <v>312</v>
      </c>
      <c r="B315" s="5" t="s">
        <v>101</v>
      </c>
      <c r="C315" s="407" t="s">
        <v>102</v>
      </c>
      <c r="D315" s="407"/>
      <c r="E315" s="408"/>
      <c r="F315" s="407"/>
      <c r="G315" s="53" t="s">
        <v>103</v>
      </c>
    </row>
    <row r="316" spans="1:7">
      <c r="A316" s="2" t="s">
        <v>470</v>
      </c>
      <c r="B316" s="2" t="s">
        <v>471</v>
      </c>
      <c r="C316" s="2" t="s">
        <v>4</v>
      </c>
      <c r="D316" s="2" t="s">
        <v>58</v>
      </c>
      <c r="E316" s="54" t="s">
        <v>472</v>
      </c>
      <c r="F316" s="2" t="s">
        <v>473</v>
      </c>
      <c r="G316" s="54" t="s">
        <v>264</v>
      </c>
    </row>
    <row r="317" spans="1:7">
      <c r="A317" s="400" t="s">
        <v>474</v>
      </c>
      <c r="B317" s="400" t="s">
        <v>474</v>
      </c>
      <c r="C317" s="400" t="s">
        <v>474</v>
      </c>
      <c r="D317" s="400" t="s">
        <v>474</v>
      </c>
      <c r="E317" s="401" t="s">
        <v>474</v>
      </c>
      <c r="F317" s="400" t="s">
        <v>474</v>
      </c>
      <c r="G317" s="401" t="s">
        <v>474</v>
      </c>
    </row>
    <row r="318" spans="1:7">
      <c r="A318" s="3" t="s">
        <v>475</v>
      </c>
      <c r="B318" s="3" t="s">
        <v>513</v>
      </c>
      <c r="C318" s="3" t="s">
        <v>514</v>
      </c>
      <c r="D318" s="3" t="s">
        <v>478</v>
      </c>
      <c r="E318" s="262">
        <f>ROUND(EQUIPOS!$E$9,0)</f>
        <v>87000</v>
      </c>
      <c r="F318" s="6">
        <v>0</v>
      </c>
      <c r="G318" s="35">
        <f>ROUND(E318*F318,0)</f>
        <v>0</v>
      </c>
    </row>
    <row r="319" spans="1:7">
      <c r="A319" s="3" t="s">
        <v>475</v>
      </c>
      <c r="B319" s="3" t="s">
        <v>479</v>
      </c>
      <c r="C319" s="3" t="s">
        <v>480</v>
      </c>
      <c r="D319" s="3" t="s">
        <v>481</v>
      </c>
      <c r="E319" s="262">
        <f>ROUND($G$327,0)</f>
        <v>57010</v>
      </c>
      <c r="F319" s="7">
        <v>0.05</v>
      </c>
      <c r="G319" s="35">
        <f>ROUND(E319*F319,0)</f>
        <v>2851</v>
      </c>
    </row>
    <row r="320" spans="1:7">
      <c r="A320" s="402" t="s">
        <v>482</v>
      </c>
      <c r="B320" s="402" t="s">
        <v>482</v>
      </c>
      <c r="C320" s="402" t="s">
        <v>482</v>
      </c>
      <c r="D320" s="402" t="s">
        <v>482</v>
      </c>
      <c r="E320" s="403" t="s">
        <v>482</v>
      </c>
      <c r="F320" s="402" t="s">
        <v>482</v>
      </c>
      <c r="G320" s="55">
        <f>ROUND(SUM(G318:G319),0)</f>
        <v>2851</v>
      </c>
    </row>
    <row r="321" spans="1:7">
      <c r="A321" s="400" t="s">
        <v>483</v>
      </c>
      <c r="B321" s="400" t="s">
        <v>483</v>
      </c>
      <c r="C321" s="400" t="s">
        <v>483</v>
      </c>
      <c r="D321" s="400" t="s">
        <v>483</v>
      </c>
      <c r="E321" s="401" t="s">
        <v>483</v>
      </c>
      <c r="F321" s="400" t="s">
        <v>483</v>
      </c>
      <c r="G321" s="401" t="s">
        <v>483</v>
      </c>
    </row>
    <row r="322" spans="1:7">
      <c r="A322" s="3" t="s">
        <v>484</v>
      </c>
      <c r="B322" s="3" t="s">
        <v>536</v>
      </c>
      <c r="C322" s="3" t="s">
        <v>537</v>
      </c>
      <c r="D322" s="3" t="s">
        <v>103</v>
      </c>
      <c r="E322" s="262">
        <f>ROUND(INSUMOS!$E$23,0)</f>
        <v>125000</v>
      </c>
      <c r="F322" s="6">
        <v>1</v>
      </c>
      <c r="G322" s="35">
        <f>ROUND(E322*F322,0)</f>
        <v>125000</v>
      </c>
    </row>
    <row r="323" spans="1:7">
      <c r="A323" s="402" t="s">
        <v>495</v>
      </c>
      <c r="B323" s="402" t="s">
        <v>495</v>
      </c>
      <c r="C323" s="402" t="s">
        <v>495</v>
      </c>
      <c r="D323" s="402" t="s">
        <v>495</v>
      </c>
      <c r="E323" s="403" t="s">
        <v>495</v>
      </c>
      <c r="F323" s="402" t="s">
        <v>495</v>
      </c>
      <c r="G323" s="55">
        <f>ROUND(SUM(G322:G322),0)</f>
        <v>125000</v>
      </c>
    </row>
    <row r="324" spans="1:7">
      <c r="A324" s="400" t="s">
        <v>496</v>
      </c>
      <c r="B324" s="400" t="s">
        <v>496</v>
      </c>
      <c r="C324" s="400" t="s">
        <v>496</v>
      </c>
      <c r="D324" s="400" t="s">
        <v>496</v>
      </c>
      <c r="E324" s="401" t="s">
        <v>496</v>
      </c>
      <c r="F324" s="400" t="s">
        <v>496</v>
      </c>
      <c r="G324" s="401" t="s">
        <v>496</v>
      </c>
    </row>
    <row r="325" spans="1:7">
      <c r="A325" s="3" t="s">
        <v>496</v>
      </c>
      <c r="B325" s="3" t="s">
        <v>509</v>
      </c>
      <c r="C325" s="3" t="s">
        <v>510</v>
      </c>
      <c r="D325" s="3" t="s">
        <v>478</v>
      </c>
      <c r="E325" s="262">
        <f>ROUND('MANO DE OBRA'!$E$12,0)</f>
        <v>177075</v>
      </c>
      <c r="F325" s="6">
        <v>0.2</v>
      </c>
      <c r="G325" s="35">
        <f>ROUND(E325*F325,0)</f>
        <v>35415</v>
      </c>
    </row>
    <row r="326" spans="1:7">
      <c r="A326" s="3" t="s">
        <v>496</v>
      </c>
      <c r="B326" s="3" t="s">
        <v>501</v>
      </c>
      <c r="C326" s="3" t="s">
        <v>502</v>
      </c>
      <c r="D326" s="3" t="s">
        <v>478</v>
      </c>
      <c r="E326" s="262">
        <f>ROUND('MANO DE OBRA'!$E$11,0)</f>
        <v>107973</v>
      </c>
      <c r="F326" s="6">
        <v>0.2</v>
      </c>
      <c r="G326" s="35">
        <f>ROUND(E326*F326,0)</f>
        <v>21595</v>
      </c>
    </row>
    <row r="327" spans="1:7" ht="12.75" thickBot="1">
      <c r="A327" s="402" t="s">
        <v>503</v>
      </c>
      <c r="B327" s="402" t="s">
        <v>503</v>
      </c>
      <c r="C327" s="402" t="s">
        <v>503</v>
      </c>
      <c r="D327" s="402" t="s">
        <v>503</v>
      </c>
      <c r="E327" s="403" t="s">
        <v>503</v>
      </c>
      <c r="F327" s="402" t="s">
        <v>503</v>
      </c>
      <c r="G327" s="55">
        <f>ROUND(SUM(G325:G326),0)</f>
        <v>57010</v>
      </c>
    </row>
    <row r="328" spans="1:7" ht="12.75" thickBot="1">
      <c r="A328" s="404" t="s">
        <v>60</v>
      </c>
      <c r="B328" s="405" t="s">
        <v>504</v>
      </c>
      <c r="C328" s="405" t="s">
        <v>504</v>
      </c>
      <c r="D328" s="405" t="s">
        <v>504</v>
      </c>
      <c r="E328" s="406" t="s">
        <v>504</v>
      </c>
      <c r="F328" s="8"/>
      <c r="G328" s="56">
        <f>ROUND(SUM(G320,G323,G327),0)</f>
        <v>184861</v>
      </c>
    </row>
    <row r="329" spans="1:7">
      <c r="A329" s="1"/>
      <c r="B329" s="1"/>
      <c r="C329" s="1"/>
      <c r="D329" s="1"/>
      <c r="E329" s="52"/>
      <c r="F329" s="1"/>
      <c r="G329" s="52"/>
    </row>
    <row r="330" spans="1:7" ht="42" customHeight="1">
      <c r="A330" s="5" t="s">
        <v>314</v>
      </c>
      <c r="B330" s="5" t="s">
        <v>104</v>
      </c>
      <c r="C330" s="407" t="s">
        <v>105</v>
      </c>
      <c r="D330" s="407"/>
      <c r="E330" s="408"/>
      <c r="F330" s="407"/>
      <c r="G330" s="53" t="s">
        <v>72</v>
      </c>
    </row>
    <row r="331" spans="1:7">
      <c r="A331" s="2" t="s">
        <v>470</v>
      </c>
      <c r="B331" s="2" t="s">
        <v>471</v>
      </c>
      <c r="C331" s="2" t="s">
        <v>4</v>
      </c>
      <c r="D331" s="2" t="s">
        <v>58</v>
      </c>
      <c r="E331" s="54" t="s">
        <v>472</v>
      </c>
      <c r="F331" s="2" t="s">
        <v>473</v>
      </c>
      <c r="G331" s="54" t="s">
        <v>264</v>
      </c>
    </row>
    <row r="332" spans="1:7">
      <c r="A332" s="400" t="s">
        <v>474</v>
      </c>
      <c r="B332" s="400" t="s">
        <v>474</v>
      </c>
      <c r="C332" s="400" t="s">
        <v>474</v>
      </c>
      <c r="D332" s="400" t="s">
        <v>474</v>
      </c>
      <c r="E332" s="401" t="s">
        <v>474</v>
      </c>
      <c r="F332" s="400" t="s">
        <v>474</v>
      </c>
      <c r="G332" s="401" t="s">
        <v>474</v>
      </c>
    </row>
    <row r="333" spans="1:7">
      <c r="A333" s="3" t="s">
        <v>475</v>
      </c>
      <c r="B333" s="3" t="s">
        <v>479</v>
      </c>
      <c r="C333" s="3" t="s">
        <v>480</v>
      </c>
      <c r="D333" s="3" t="s">
        <v>481</v>
      </c>
      <c r="E333" s="262">
        <f>ROUND($G$337,0)</f>
        <v>75581</v>
      </c>
      <c r="F333" s="7">
        <v>0.05</v>
      </c>
      <c r="G333" s="35">
        <f>ROUND(E333*F333,0)</f>
        <v>3779</v>
      </c>
    </row>
    <row r="334" spans="1:7">
      <c r="A334" s="402" t="s">
        <v>482</v>
      </c>
      <c r="B334" s="402" t="s">
        <v>482</v>
      </c>
      <c r="C334" s="402" t="s">
        <v>482</v>
      </c>
      <c r="D334" s="402" t="s">
        <v>482</v>
      </c>
      <c r="E334" s="403" t="s">
        <v>482</v>
      </c>
      <c r="F334" s="402" t="s">
        <v>482</v>
      </c>
      <c r="G334" s="55">
        <f>ROUND(SUM(G333:G333),0)</f>
        <v>3779</v>
      </c>
    </row>
    <row r="335" spans="1:7">
      <c r="A335" s="400" t="s">
        <v>496</v>
      </c>
      <c r="B335" s="400" t="s">
        <v>496</v>
      </c>
      <c r="C335" s="400" t="s">
        <v>496</v>
      </c>
      <c r="D335" s="400" t="s">
        <v>496</v>
      </c>
      <c r="E335" s="401" t="s">
        <v>496</v>
      </c>
      <c r="F335" s="400" t="s">
        <v>496</v>
      </c>
      <c r="G335" s="401" t="s">
        <v>496</v>
      </c>
    </row>
    <row r="336" spans="1:7">
      <c r="A336" s="3" t="s">
        <v>496</v>
      </c>
      <c r="B336" s="3" t="s">
        <v>501</v>
      </c>
      <c r="C336" s="3" t="s">
        <v>502</v>
      </c>
      <c r="D336" s="3" t="s">
        <v>478</v>
      </c>
      <c r="E336" s="262">
        <f>ROUND('MANO DE OBRA'!$E$11,0)</f>
        <v>107973</v>
      </c>
      <c r="F336" s="6">
        <v>0.7</v>
      </c>
      <c r="G336" s="35">
        <f>ROUND(E336*F336,0)</f>
        <v>75581</v>
      </c>
    </row>
    <row r="337" spans="1:7" ht="12.75" thickBot="1">
      <c r="A337" s="402" t="s">
        <v>503</v>
      </c>
      <c r="B337" s="402" t="s">
        <v>503</v>
      </c>
      <c r="C337" s="402" t="s">
        <v>503</v>
      </c>
      <c r="D337" s="402" t="s">
        <v>503</v>
      </c>
      <c r="E337" s="403" t="s">
        <v>503</v>
      </c>
      <c r="F337" s="402" t="s">
        <v>503</v>
      </c>
      <c r="G337" s="55">
        <f>ROUND(SUM(G336:G336),0)</f>
        <v>75581</v>
      </c>
    </row>
    <row r="338" spans="1:7" ht="12.75" thickBot="1">
      <c r="A338" s="404" t="s">
        <v>60</v>
      </c>
      <c r="B338" s="405" t="s">
        <v>504</v>
      </c>
      <c r="C338" s="405" t="s">
        <v>504</v>
      </c>
      <c r="D338" s="405" t="s">
        <v>504</v>
      </c>
      <c r="E338" s="406" t="s">
        <v>504</v>
      </c>
      <c r="F338" s="8"/>
      <c r="G338" s="56">
        <f>ROUND(SUM(G334,G337),0)</f>
        <v>79360</v>
      </c>
    </row>
    <row r="339" spans="1:7">
      <c r="A339" s="1"/>
      <c r="B339" s="1"/>
      <c r="C339" s="1"/>
      <c r="D339" s="1"/>
      <c r="E339" s="52"/>
      <c r="F339" s="1"/>
      <c r="G339" s="52"/>
    </row>
    <row r="340" spans="1:7" ht="42" customHeight="1">
      <c r="A340" s="5" t="s">
        <v>315</v>
      </c>
      <c r="B340" s="5" t="s">
        <v>106</v>
      </c>
      <c r="C340" s="407" t="s">
        <v>107</v>
      </c>
      <c r="D340" s="407"/>
      <c r="E340" s="408"/>
      <c r="F340" s="407"/>
      <c r="G340" s="53" t="s">
        <v>65</v>
      </c>
    </row>
    <row r="341" spans="1:7">
      <c r="A341" s="2" t="s">
        <v>470</v>
      </c>
      <c r="B341" s="2" t="s">
        <v>471</v>
      </c>
      <c r="C341" s="2" t="s">
        <v>4</v>
      </c>
      <c r="D341" s="2" t="s">
        <v>58</v>
      </c>
      <c r="E341" s="54" t="s">
        <v>472</v>
      </c>
      <c r="F341" s="2" t="s">
        <v>473</v>
      </c>
      <c r="G341" s="54" t="s">
        <v>264</v>
      </c>
    </row>
    <row r="342" spans="1:7">
      <c r="A342" s="400" t="s">
        <v>474</v>
      </c>
      <c r="B342" s="400" t="s">
        <v>474</v>
      </c>
      <c r="C342" s="400" t="s">
        <v>474</v>
      </c>
      <c r="D342" s="400" t="s">
        <v>474</v>
      </c>
      <c r="E342" s="401" t="s">
        <v>474</v>
      </c>
      <c r="F342" s="400" t="s">
        <v>474</v>
      </c>
      <c r="G342" s="401" t="s">
        <v>474</v>
      </c>
    </row>
    <row r="343" spans="1:7">
      <c r="A343" s="3" t="s">
        <v>475</v>
      </c>
      <c r="B343" s="3" t="s">
        <v>513</v>
      </c>
      <c r="C343" s="3" t="s">
        <v>514</v>
      </c>
      <c r="D343" s="3" t="s">
        <v>478</v>
      </c>
      <c r="E343" s="262">
        <f>ROUND(EQUIPOS!$E$9,0)</f>
        <v>87000</v>
      </c>
      <c r="F343" s="6">
        <v>0</v>
      </c>
      <c r="G343" s="35">
        <f>ROUND(E343*F343,0)</f>
        <v>0</v>
      </c>
    </row>
    <row r="344" spans="1:7">
      <c r="A344" s="3" t="s">
        <v>475</v>
      </c>
      <c r="B344" s="3" t="s">
        <v>479</v>
      </c>
      <c r="C344" s="3" t="s">
        <v>480</v>
      </c>
      <c r="D344" s="3" t="s">
        <v>481</v>
      </c>
      <c r="E344" s="262">
        <f>ROUND($G$352,0)</f>
        <v>14253</v>
      </c>
      <c r="F344" s="7">
        <v>0.05</v>
      </c>
      <c r="G344" s="35">
        <f>ROUND(E344*F344,0)</f>
        <v>713</v>
      </c>
    </row>
    <row r="345" spans="1:7">
      <c r="A345" s="402" t="s">
        <v>482</v>
      </c>
      <c r="B345" s="402" t="s">
        <v>482</v>
      </c>
      <c r="C345" s="402" t="s">
        <v>482</v>
      </c>
      <c r="D345" s="402" t="s">
        <v>482</v>
      </c>
      <c r="E345" s="403" t="s">
        <v>482</v>
      </c>
      <c r="F345" s="402" t="s">
        <v>482</v>
      </c>
      <c r="G345" s="55">
        <f>ROUND(SUM(G343:G344),0)</f>
        <v>713</v>
      </c>
    </row>
    <row r="346" spans="1:7">
      <c r="A346" s="400" t="s">
        <v>483</v>
      </c>
      <c r="B346" s="400" t="s">
        <v>483</v>
      </c>
      <c r="C346" s="400" t="s">
        <v>483</v>
      </c>
      <c r="D346" s="400" t="s">
        <v>483</v>
      </c>
      <c r="E346" s="401" t="s">
        <v>483</v>
      </c>
      <c r="F346" s="400" t="s">
        <v>483</v>
      </c>
      <c r="G346" s="401" t="s">
        <v>483</v>
      </c>
    </row>
    <row r="347" spans="1:7">
      <c r="A347" s="3" t="s">
        <v>484</v>
      </c>
      <c r="B347" s="3" t="s">
        <v>515</v>
      </c>
      <c r="C347" s="3" t="s">
        <v>516</v>
      </c>
      <c r="D347" s="3" t="s">
        <v>72</v>
      </c>
      <c r="E347" s="262">
        <f>ROUND(APA!$G$91,0)</f>
        <v>802264</v>
      </c>
      <c r="F347" s="6">
        <v>0.05</v>
      </c>
      <c r="G347" s="35">
        <f>ROUND(E347*F347,0)</f>
        <v>40113</v>
      </c>
    </row>
    <row r="348" spans="1:7">
      <c r="A348" s="402" t="s">
        <v>495</v>
      </c>
      <c r="B348" s="402" t="s">
        <v>495</v>
      </c>
      <c r="C348" s="402" t="s">
        <v>495</v>
      </c>
      <c r="D348" s="402" t="s">
        <v>495</v>
      </c>
      <c r="E348" s="403" t="s">
        <v>495</v>
      </c>
      <c r="F348" s="402" t="s">
        <v>495</v>
      </c>
      <c r="G348" s="55">
        <f>ROUND(SUM(G347:G347),0)</f>
        <v>40113</v>
      </c>
    </row>
    <row r="349" spans="1:7">
      <c r="A349" s="400" t="s">
        <v>496</v>
      </c>
      <c r="B349" s="400" t="s">
        <v>496</v>
      </c>
      <c r="C349" s="400" t="s">
        <v>496</v>
      </c>
      <c r="D349" s="400" t="s">
        <v>496</v>
      </c>
      <c r="E349" s="401" t="s">
        <v>496</v>
      </c>
      <c r="F349" s="400" t="s">
        <v>496</v>
      </c>
      <c r="G349" s="401" t="s">
        <v>496</v>
      </c>
    </row>
    <row r="350" spans="1:7">
      <c r="A350" s="3" t="s">
        <v>496</v>
      </c>
      <c r="B350" s="3" t="s">
        <v>509</v>
      </c>
      <c r="C350" s="3" t="s">
        <v>510</v>
      </c>
      <c r="D350" s="3" t="s">
        <v>478</v>
      </c>
      <c r="E350" s="262">
        <f>ROUND('MANO DE OBRA'!$E$12,0)</f>
        <v>177075</v>
      </c>
      <c r="F350" s="6">
        <v>0.05</v>
      </c>
      <c r="G350" s="35">
        <f>ROUND(E350*F350,0)</f>
        <v>8854</v>
      </c>
    </row>
    <row r="351" spans="1:7">
      <c r="A351" s="3" t="s">
        <v>496</v>
      </c>
      <c r="B351" s="3" t="s">
        <v>501</v>
      </c>
      <c r="C351" s="3" t="s">
        <v>502</v>
      </c>
      <c r="D351" s="3" t="s">
        <v>478</v>
      </c>
      <c r="E351" s="262">
        <f>ROUND('MANO DE OBRA'!$E$11,0)</f>
        <v>107973</v>
      </c>
      <c r="F351" s="6">
        <v>0.05</v>
      </c>
      <c r="G351" s="35">
        <f>ROUND(E351*F351,0)</f>
        <v>5399</v>
      </c>
    </row>
    <row r="352" spans="1:7" ht="12.75" thickBot="1">
      <c r="A352" s="402" t="s">
        <v>503</v>
      </c>
      <c r="B352" s="402" t="s">
        <v>503</v>
      </c>
      <c r="C352" s="402" t="s">
        <v>503</v>
      </c>
      <c r="D352" s="402" t="s">
        <v>503</v>
      </c>
      <c r="E352" s="403" t="s">
        <v>503</v>
      </c>
      <c r="F352" s="402" t="s">
        <v>503</v>
      </c>
      <c r="G352" s="55">
        <f>ROUND(SUM(G350:G351),0)</f>
        <v>14253</v>
      </c>
    </row>
    <row r="353" spans="1:7" ht="12.75" thickBot="1">
      <c r="A353" s="404" t="s">
        <v>60</v>
      </c>
      <c r="B353" s="405" t="s">
        <v>504</v>
      </c>
      <c r="C353" s="405" t="s">
        <v>504</v>
      </c>
      <c r="D353" s="405" t="s">
        <v>504</v>
      </c>
      <c r="E353" s="406" t="s">
        <v>504</v>
      </c>
      <c r="F353" s="8"/>
      <c r="G353" s="56">
        <f>ROUND(SUM(G345,G348,G352),0)</f>
        <v>55079</v>
      </c>
    </row>
    <row r="354" spans="1:7">
      <c r="A354" s="1"/>
      <c r="B354" s="1"/>
      <c r="C354" s="1"/>
      <c r="D354" s="1"/>
      <c r="E354" s="52"/>
      <c r="F354" s="1"/>
      <c r="G354" s="52"/>
    </row>
    <row r="355" spans="1:7" ht="42" customHeight="1">
      <c r="A355" s="5" t="s">
        <v>317</v>
      </c>
      <c r="B355" s="5" t="s">
        <v>108</v>
      </c>
      <c r="C355" s="407" t="s">
        <v>109</v>
      </c>
      <c r="D355" s="407"/>
      <c r="E355" s="408"/>
      <c r="F355" s="407"/>
      <c r="G355" s="53" t="s">
        <v>72</v>
      </c>
    </row>
    <row r="356" spans="1:7">
      <c r="A356" s="2" t="s">
        <v>470</v>
      </c>
      <c r="B356" s="2" t="s">
        <v>471</v>
      </c>
      <c r="C356" s="2" t="s">
        <v>4</v>
      </c>
      <c r="D356" s="2" t="s">
        <v>58</v>
      </c>
      <c r="E356" s="54" t="s">
        <v>472</v>
      </c>
      <c r="F356" s="2" t="s">
        <v>517</v>
      </c>
      <c r="G356" s="54" t="s">
        <v>264</v>
      </c>
    </row>
    <row r="357" spans="1:7">
      <c r="A357" s="400" t="s">
        <v>474</v>
      </c>
      <c r="B357" s="400" t="s">
        <v>474</v>
      </c>
      <c r="C357" s="400" t="s">
        <v>474</v>
      </c>
      <c r="D357" s="400" t="s">
        <v>474</v>
      </c>
      <c r="E357" s="401" t="s">
        <v>474</v>
      </c>
      <c r="F357" s="400" t="s">
        <v>474</v>
      </c>
      <c r="G357" s="401" t="s">
        <v>474</v>
      </c>
    </row>
    <row r="358" spans="1:7">
      <c r="A358" s="3" t="s">
        <v>475</v>
      </c>
      <c r="B358" s="3" t="s">
        <v>513</v>
      </c>
      <c r="C358" s="3" t="s">
        <v>514</v>
      </c>
      <c r="D358" s="3" t="s">
        <v>478</v>
      </c>
      <c r="E358" s="262">
        <f>ROUND(EQUIPOS!$E$9,0)</f>
        <v>87000</v>
      </c>
      <c r="F358" s="6">
        <v>0</v>
      </c>
      <c r="G358" s="35">
        <f>ROUND(E358*F358,0)</f>
        <v>0</v>
      </c>
    </row>
    <row r="359" spans="1:7">
      <c r="A359" s="3" t="s">
        <v>475</v>
      </c>
      <c r="B359" s="3" t="s">
        <v>479</v>
      </c>
      <c r="C359" s="3" t="s">
        <v>480</v>
      </c>
      <c r="D359" s="3" t="s">
        <v>481</v>
      </c>
      <c r="E359" s="262">
        <f>ROUND($G$372,0)</f>
        <v>167676</v>
      </c>
      <c r="F359" s="7">
        <v>0.05</v>
      </c>
      <c r="G359" s="35">
        <f>ROUND(E359*F359,0)</f>
        <v>8384</v>
      </c>
    </row>
    <row r="360" spans="1:7">
      <c r="A360" s="402" t="s">
        <v>482</v>
      </c>
      <c r="B360" s="402" t="s">
        <v>482</v>
      </c>
      <c r="C360" s="402" t="s">
        <v>482</v>
      </c>
      <c r="D360" s="402" t="s">
        <v>482</v>
      </c>
      <c r="E360" s="403" t="s">
        <v>482</v>
      </c>
      <c r="F360" s="402" t="s">
        <v>482</v>
      </c>
      <c r="G360" s="55">
        <f>ROUND(SUM(G358:G359),0)</f>
        <v>8384</v>
      </c>
    </row>
    <row r="361" spans="1:7">
      <c r="A361" s="400" t="s">
        <v>483</v>
      </c>
      <c r="B361" s="400" t="s">
        <v>483</v>
      </c>
      <c r="C361" s="400" t="s">
        <v>483</v>
      </c>
      <c r="D361" s="400" t="s">
        <v>483</v>
      </c>
      <c r="E361" s="401" t="s">
        <v>483</v>
      </c>
      <c r="F361" s="400" t="s">
        <v>483</v>
      </c>
      <c r="G361" s="401" t="s">
        <v>483</v>
      </c>
    </row>
    <row r="362" spans="1:7">
      <c r="A362" s="3" t="s">
        <v>484</v>
      </c>
      <c r="B362" s="3" t="s">
        <v>518</v>
      </c>
      <c r="C362" s="3" t="s">
        <v>519</v>
      </c>
      <c r="D362" s="3" t="s">
        <v>72</v>
      </c>
      <c r="E362" s="262">
        <f>ROUND(APA!$G$137,0)</f>
        <v>860966</v>
      </c>
      <c r="F362" s="6">
        <v>1</v>
      </c>
      <c r="G362" s="35">
        <f t="shared" ref="G362:G367" si="10">ROUND(E362*F362,0)</f>
        <v>860966</v>
      </c>
    </row>
    <row r="363" spans="1:7" ht="24">
      <c r="A363" s="3" t="s">
        <v>484</v>
      </c>
      <c r="B363" s="3" t="s">
        <v>520</v>
      </c>
      <c r="C363" s="3" t="s">
        <v>521</v>
      </c>
      <c r="D363" s="3" t="s">
        <v>522</v>
      </c>
      <c r="E363" s="262">
        <f>ROUND(INSUMOS!$E$17,0)</f>
        <v>25783</v>
      </c>
      <c r="F363" s="6">
        <f>(2*(15+1.4)*0.45)/(0.3*2*15*1.4*0.45)</f>
        <v>2.6031746031746033</v>
      </c>
      <c r="G363" s="35">
        <f t="shared" si="10"/>
        <v>67118</v>
      </c>
    </row>
    <row r="364" spans="1:7">
      <c r="A364" s="3" t="s">
        <v>484</v>
      </c>
      <c r="B364" s="3" t="s">
        <v>523</v>
      </c>
      <c r="C364" s="3" t="s">
        <v>524</v>
      </c>
      <c r="D364" s="3" t="s">
        <v>492</v>
      </c>
      <c r="E364" s="262">
        <f>ROUND(INSUMOS!$E$18,0)</f>
        <v>6248</v>
      </c>
      <c r="F364" s="6">
        <v>0.2</v>
      </c>
      <c r="G364" s="35">
        <f t="shared" si="10"/>
        <v>1250</v>
      </c>
    </row>
    <row r="365" spans="1:7">
      <c r="A365" s="3" t="s">
        <v>484</v>
      </c>
      <c r="B365" s="3" t="s">
        <v>525</v>
      </c>
      <c r="C365" s="3" t="s">
        <v>526</v>
      </c>
      <c r="D365" s="3" t="s">
        <v>68</v>
      </c>
      <c r="E365" s="262">
        <f>ROUND(INSUMOS!$E$19,0)</f>
        <v>5000</v>
      </c>
      <c r="F365" s="6">
        <v>0.5</v>
      </c>
      <c r="G365" s="35">
        <f t="shared" si="10"/>
        <v>2500</v>
      </c>
    </row>
    <row r="366" spans="1:7">
      <c r="A366" s="3" t="s">
        <v>484</v>
      </c>
      <c r="B366" s="3" t="s">
        <v>527</v>
      </c>
      <c r="C366" s="3" t="s">
        <v>528</v>
      </c>
      <c r="D366" s="3" t="s">
        <v>120</v>
      </c>
      <c r="E366" s="262">
        <f>ROUND(INSUMOS!$E$20,0)</f>
        <v>9226</v>
      </c>
      <c r="F366" s="6">
        <v>1.2</v>
      </c>
      <c r="G366" s="35">
        <f t="shared" si="10"/>
        <v>11071</v>
      </c>
    </row>
    <row r="367" spans="1:7">
      <c r="A367" s="3" t="s">
        <v>484</v>
      </c>
      <c r="B367" s="3" t="s">
        <v>505</v>
      </c>
      <c r="C367" s="3" t="s">
        <v>529</v>
      </c>
      <c r="D367" s="3" t="s">
        <v>68</v>
      </c>
      <c r="E367" s="262">
        <f>ROUND(INSUMOS!$E$15,0)</f>
        <v>5500</v>
      </c>
      <c r="F367" s="6">
        <v>3</v>
      </c>
      <c r="G367" s="35">
        <f t="shared" si="10"/>
        <v>16500</v>
      </c>
    </row>
    <row r="368" spans="1:7">
      <c r="A368" s="402" t="s">
        <v>495</v>
      </c>
      <c r="B368" s="402" t="s">
        <v>495</v>
      </c>
      <c r="C368" s="402" t="s">
        <v>495</v>
      </c>
      <c r="D368" s="402" t="s">
        <v>495</v>
      </c>
      <c r="E368" s="403" t="s">
        <v>495</v>
      </c>
      <c r="F368" s="402" t="s">
        <v>495</v>
      </c>
      <c r="G368" s="55">
        <f>ROUND(SUM(G362:G367),0)</f>
        <v>959405</v>
      </c>
    </row>
    <row r="369" spans="1:7">
      <c r="A369" s="400" t="s">
        <v>496</v>
      </c>
      <c r="B369" s="400" t="s">
        <v>496</v>
      </c>
      <c r="C369" s="400" t="s">
        <v>496</v>
      </c>
      <c r="D369" s="400" t="s">
        <v>496</v>
      </c>
      <c r="E369" s="401" t="s">
        <v>496</v>
      </c>
      <c r="F369" s="400" t="s">
        <v>496</v>
      </c>
      <c r="G369" s="401" t="s">
        <v>496</v>
      </c>
    </row>
    <row r="370" spans="1:7">
      <c r="A370" s="3" t="s">
        <v>496</v>
      </c>
      <c r="B370" s="3" t="s">
        <v>509</v>
      </c>
      <c r="C370" s="3" t="s">
        <v>510</v>
      </c>
      <c r="D370" s="3" t="s">
        <v>478</v>
      </c>
      <c r="E370" s="262">
        <f>ROUND('MANO DE OBRA'!$E$12,0)</f>
        <v>177075</v>
      </c>
      <c r="F370" s="6">
        <v>1.7</v>
      </c>
      <c r="G370" s="35">
        <f>ROUND(E370/F370,0)</f>
        <v>104162</v>
      </c>
    </row>
    <row r="371" spans="1:7">
      <c r="A371" s="3" t="s">
        <v>496</v>
      </c>
      <c r="B371" s="3" t="s">
        <v>501</v>
      </c>
      <c r="C371" s="3" t="s">
        <v>502</v>
      </c>
      <c r="D371" s="3" t="s">
        <v>478</v>
      </c>
      <c r="E371" s="262">
        <f>ROUND('MANO DE OBRA'!$E$11,0)</f>
        <v>107973</v>
      </c>
      <c r="F371" s="6">
        <v>1.7</v>
      </c>
      <c r="G371" s="35">
        <f>ROUND(E371/F371,0)</f>
        <v>63514</v>
      </c>
    </row>
    <row r="372" spans="1:7" ht="12.75" thickBot="1">
      <c r="A372" s="402" t="s">
        <v>503</v>
      </c>
      <c r="B372" s="402" t="s">
        <v>503</v>
      </c>
      <c r="C372" s="402" t="s">
        <v>503</v>
      </c>
      <c r="D372" s="402" t="s">
        <v>503</v>
      </c>
      <c r="E372" s="403" t="s">
        <v>503</v>
      </c>
      <c r="F372" s="402" t="s">
        <v>503</v>
      </c>
      <c r="G372" s="55">
        <f>ROUND(SUM(G370:G371),0)</f>
        <v>167676</v>
      </c>
    </row>
    <row r="373" spans="1:7" ht="12.75" thickBot="1">
      <c r="A373" s="404" t="s">
        <v>60</v>
      </c>
      <c r="B373" s="405" t="s">
        <v>504</v>
      </c>
      <c r="C373" s="405" t="s">
        <v>504</v>
      </c>
      <c r="D373" s="405" t="s">
        <v>504</v>
      </c>
      <c r="E373" s="406" t="s">
        <v>504</v>
      </c>
      <c r="F373" s="8"/>
      <c r="G373" s="56">
        <f>ROUND(SUM(G360,G368,G372),0)</f>
        <v>1135465</v>
      </c>
    </row>
    <row r="374" spans="1:7">
      <c r="A374" s="1"/>
      <c r="B374" s="1"/>
      <c r="C374" s="1"/>
      <c r="D374" s="1"/>
      <c r="E374" s="52"/>
      <c r="F374" s="1"/>
      <c r="G374" s="52"/>
    </row>
    <row r="375" spans="1:7" ht="42" customHeight="1">
      <c r="A375" s="5" t="s">
        <v>319</v>
      </c>
      <c r="B375" s="5" t="s">
        <v>110</v>
      </c>
      <c r="C375" s="407" t="s">
        <v>111</v>
      </c>
      <c r="D375" s="407"/>
      <c r="E375" s="408"/>
      <c r="F375" s="407"/>
      <c r="G375" s="53" t="s">
        <v>72</v>
      </c>
    </row>
    <row r="376" spans="1:7">
      <c r="A376" s="2" t="s">
        <v>470</v>
      </c>
      <c r="B376" s="2" t="s">
        <v>471</v>
      </c>
      <c r="C376" s="2" t="s">
        <v>4</v>
      </c>
      <c r="D376" s="2" t="s">
        <v>58</v>
      </c>
      <c r="E376" s="54" t="s">
        <v>472</v>
      </c>
      <c r="F376" s="2" t="s">
        <v>517</v>
      </c>
      <c r="G376" s="54" t="s">
        <v>264</v>
      </c>
    </row>
    <row r="377" spans="1:7">
      <c r="A377" s="400" t="s">
        <v>474</v>
      </c>
      <c r="B377" s="400" t="s">
        <v>474</v>
      </c>
      <c r="C377" s="400" t="s">
        <v>474</v>
      </c>
      <c r="D377" s="400" t="s">
        <v>474</v>
      </c>
      <c r="E377" s="401" t="s">
        <v>474</v>
      </c>
      <c r="F377" s="400" t="s">
        <v>474</v>
      </c>
      <c r="G377" s="401" t="s">
        <v>474</v>
      </c>
    </row>
    <row r="378" spans="1:7">
      <c r="A378" s="3" t="s">
        <v>475</v>
      </c>
      <c r="B378" s="3" t="s">
        <v>513</v>
      </c>
      <c r="C378" s="3" t="s">
        <v>514</v>
      </c>
      <c r="D378" s="3" t="s">
        <v>478</v>
      </c>
      <c r="E378" s="262">
        <f>ROUND(EQUIPOS!$E$9,0)</f>
        <v>87000</v>
      </c>
      <c r="F378" s="6">
        <v>0</v>
      </c>
      <c r="G378" s="35">
        <f>ROUND(E378*F378,0)</f>
        <v>0</v>
      </c>
    </row>
    <row r="379" spans="1:7">
      <c r="A379" s="3" t="s">
        <v>475</v>
      </c>
      <c r="B379" s="3" t="s">
        <v>479</v>
      </c>
      <c r="C379" s="3" t="s">
        <v>480</v>
      </c>
      <c r="D379" s="3" t="s">
        <v>481</v>
      </c>
      <c r="E379" s="262">
        <f>ROUND($G$392,0)</f>
        <v>167676</v>
      </c>
      <c r="F379" s="7">
        <v>0.05</v>
      </c>
      <c r="G379" s="35">
        <f>ROUND(E379*F379,0)</f>
        <v>8384</v>
      </c>
    </row>
    <row r="380" spans="1:7">
      <c r="A380" s="402" t="s">
        <v>482</v>
      </c>
      <c r="B380" s="402" t="s">
        <v>482</v>
      </c>
      <c r="C380" s="402" t="s">
        <v>482</v>
      </c>
      <c r="D380" s="402" t="s">
        <v>482</v>
      </c>
      <c r="E380" s="403" t="s">
        <v>482</v>
      </c>
      <c r="F380" s="402" t="s">
        <v>482</v>
      </c>
      <c r="G380" s="55">
        <f>ROUND(SUM(G378:G379),0)</f>
        <v>8384</v>
      </c>
    </row>
    <row r="381" spans="1:7">
      <c r="A381" s="400" t="s">
        <v>483</v>
      </c>
      <c r="B381" s="400" t="s">
        <v>483</v>
      </c>
      <c r="C381" s="400" t="s">
        <v>483</v>
      </c>
      <c r="D381" s="400" t="s">
        <v>483</v>
      </c>
      <c r="E381" s="401" t="s">
        <v>483</v>
      </c>
      <c r="F381" s="400" t="s">
        <v>483</v>
      </c>
      <c r="G381" s="401" t="s">
        <v>483</v>
      </c>
    </row>
    <row r="382" spans="1:7">
      <c r="A382" s="3" t="s">
        <v>484</v>
      </c>
      <c r="B382" s="3" t="s">
        <v>518</v>
      </c>
      <c r="C382" s="3" t="s">
        <v>519</v>
      </c>
      <c r="D382" s="3" t="s">
        <v>72</v>
      </c>
      <c r="E382" s="262">
        <f>ROUND(APA!$G$137,0)</f>
        <v>860966</v>
      </c>
      <c r="F382" s="6">
        <v>1</v>
      </c>
      <c r="G382" s="35">
        <f t="shared" ref="G382:G387" si="11">ROUND(E382*F382,0)</f>
        <v>860966</v>
      </c>
    </row>
    <row r="383" spans="1:7" ht="24">
      <c r="A383" s="3" t="s">
        <v>484</v>
      </c>
      <c r="B383" s="3" t="s">
        <v>520</v>
      </c>
      <c r="C383" s="3" t="s">
        <v>521</v>
      </c>
      <c r="D383" s="3" t="s">
        <v>522</v>
      </c>
      <c r="E383" s="262">
        <f>ROUND(INSUMOS!$E$17,0)</f>
        <v>25783</v>
      </c>
      <c r="F383" s="6">
        <f>(15*(2.55+(2.55^2+(0.45-0.25)^2)^0.5)+2*((0.45+0.25)/2)*2.55)/(0.3*2*15*((0.45+0.25)/2)*2.55)</f>
        <v>9.7606556722422653</v>
      </c>
      <c r="G383" s="35">
        <f t="shared" si="11"/>
        <v>251659</v>
      </c>
    </row>
    <row r="384" spans="1:7">
      <c r="A384" s="3" t="s">
        <v>484</v>
      </c>
      <c r="B384" s="3" t="s">
        <v>523</v>
      </c>
      <c r="C384" s="3" t="s">
        <v>524</v>
      </c>
      <c r="D384" s="3" t="s">
        <v>492</v>
      </c>
      <c r="E384" s="262">
        <f>ROUND(INSUMOS!$E$18,0)</f>
        <v>6248</v>
      </c>
      <c r="F384" s="6">
        <v>0.2</v>
      </c>
      <c r="G384" s="35">
        <f t="shared" si="11"/>
        <v>1250</v>
      </c>
    </row>
    <row r="385" spans="1:7">
      <c r="A385" s="3" t="s">
        <v>484</v>
      </c>
      <c r="B385" s="3" t="s">
        <v>525</v>
      </c>
      <c r="C385" s="3" t="s">
        <v>526</v>
      </c>
      <c r="D385" s="3" t="s">
        <v>68</v>
      </c>
      <c r="E385" s="262">
        <f>ROUND(INSUMOS!$E$19,0)</f>
        <v>5000</v>
      </c>
      <c r="F385" s="6">
        <v>0.5</v>
      </c>
      <c r="G385" s="35">
        <f t="shared" si="11"/>
        <v>2500</v>
      </c>
    </row>
    <row r="386" spans="1:7">
      <c r="A386" s="3" t="s">
        <v>484</v>
      </c>
      <c r="B386" s="3" t="s">
        <v>527</v>
      </c>
      <c r="C386" s="3" t="s">
        <v>528</v>
      </c>
      <c r="D386" s="3" t="s">
        <v>120</v>
      </c>
      <c r="E386" s="262">
        <f>ROUND(INSUMOS!$E$20,0)</f>
        <v>9226</v>
      </c>
      <c r="F386" s="6">
        <v>1.2</v>
      </c>
      <c r="G386" s="35">
        <f t="shared" si="11"/>
        <v>11071</v>
      </c>
    </row>
    <row r="387" spans="1:7">
      <c r="A387" s="3" t="s">
        <v>484</v>
      </c>
      <c r="B387" s="3" t="s">
        <v>505</v>
      </c>
      <c r="C387" s="3" t="s">
        <v>529</v>
      </c>
      <c r="D387" s="3" t="s">
        <v>68</v>
      </c>
      <c r="E387" s="262">
        <f>ROUND(INSUMOS!$E$15,0)</f>
        <v>5500</v>
      </c>
      <c r="F387" s="6">
        <v>3</v>
      </c>
      <c r="G387" s="35">
        <f t="shared" si="11"/>
        <v>16500</v>
      </c>
    </row>
    <row r="388" spans="1:7">
      <c r="A388" s="402" t="s">
        <v>495</v>
      </c>
      <c r="B388" s="402" t="s">
        <v>495</v>
      </c>
      <c r="C388" s="402" t="s">
        <v>495</v>
      </c>
      <c r="D388" s="402" t="s">
        <v>495</v>
      </c>
      <c r="E388" s="403" t="s">
        <v>495</v>
      </c>
      <c r="F388" s="402" t="s">
        <v>495</v>
      </c>
      <c r="G388" s="55">
        <f>ROUND(SUM(G382:G387),0)</f>
        <v>1143946</v>
      </c>
    </row>
    <row r="389" spans="1:7">
      <c r="A389" s="400" t="s">
        <v>496</v>
      </c>
      <c r="B389" s="400" t="s">
        <v>496</v>
      </c>
      <c r="C389" s="400" t="s">
        <v>496</v>
      </c>
      <c r="D389" s="400" t="s">
        <v>496</v>
      </c>
      <c r="E389" s="401" t="s">
        <v>496</v>
      </c>
      <c r="F389" s="400" t="s">
        <v>496</v>
      </c>
      <c r="G389" s="401" t="s">
        <v>496</v>
      </c>
    </row>
    <row r="390" spans="1:7">
      <c r="A390" s="3" t="s">
        <v>496</v>
      </c>
      <c r="B390" s="3" t="s">
        <v>509</v>
      </c>
      <c r="C390" s="3" t="s">
        <v>510</v>
      </c>
      <c r="D390" s="3" t="s">
        <v>478</v>
      </c>
      <c r="E390" s="262">
        <f>ROUND('MANO DE OBRA'!$E$12,0)</f>
        <v>177075</v>
      </c>
      <c r="F390" s="6">
        <v>1.7</v>
      </c>
      <c r="G390" s="35">
        <f>ROUND(E390/F390,0)</f>
        <v>104162</v>
      </c>
    </row>
    <row r="391" spans="1:7">
      <c r="A391" s="3" t="s">
        <v>496</v>
      </c>
      <c r="B391" s="3" t="s">
        <v>501</v>
      </c>
      <c r="C391" s="3" t="s">
        <v>502</v>
      </c>
      <c r="D391" s="3" t="s">
        <v>478</v>
      </c>
      <c r="E391" s="262">
        <f>ROUND('MANO DE OBRA'!$E$11,0)</f>
        <v>107973</v>
      </c>
      <c r="F391" s="6">
        <v>1.7</v>
      </c>
      <c r="G391" s="35">
        <f>ROUND(E391/F391,0)</f>
        <v>63514</v>
      </c>
    </row>
    <row r="392" spans="1:7" ht="12.75" thickBot="1">
      <c r="A392" s="402" t="s">
        <v>503</v>
      </c>
      <c r="B392" s="402" t="s">
        <v>503</v>
      </c>
      <c r="C392" s="402" t="s">
        <v>503</v>
      </c>
      <c r="D392" s="402" t="s">
        <v>503</v>
      </c>
      <c r="E392" s="403" t="s">
        <v>503</v>
      </c>
      <c r="F392" s="402" t="s">
        <v>503</v>
      </c>
      <c r="G392" s="55">
        <f>ROUND(SUM(G390:G391),0)</f>
        <v>167676</v>
      </c>
    </row>
    <row r="393" spans="1:7" ht="12.75" thickBot="1">
      <c r="A393" s="404" t="s">
        <v>60</v>
      </c>
      <c r="B393" s="405" t="s">
        <v>504</v>
      </c>
      <c r="C393" s="405" t="s">
        <v>504</v>
      </c>
      <c r="D393" s="405" t="s">
        <v>504</v>
      </c>
      <c r="E393" s="406" t="s">
        <v>504</v>
      </c>
      <c r="F393" s="8"/>
      <c r="G393" s="56">
        <f>ROUND(SUM(G380,G388,G392),0)</f>
        <v>1320006</v>
      </c>
    </row>
    <row r="394" spans="1:7">
      <c r="A394" s="1"/>
      <c r="B394" s="1"/>
      <c r="C394" s="1"/>
      <c r="D394" s="1"/>
      <c r="E394" s="52"/>
      <c r="F394" s="1"/>
      <c r="G394" s="52"/>
    </row>
    <row r="395" spans="1:7" ht="42" customHeight="1">
      <c r="A395" s="5" t="s">
        <v>321</v>
      </c>
      <c r="B395" s="5" t="s">
        <v>113</v>
      </c>
      <c r="C395" s="407" t="s">
        <v>114</v>
      </c>
      <c r="D395" s="407"/>
      <c r="E395" s="408"/>
      <c r="F395" s="407"/>
      <c r="G395" s="53" t="s">
        <v>65</v>
      </c>
    </row>
    <row r="396" spans="1:7">
      <c r="A396" s="2" t="s">
        <v>470</v>
      </c>
      <c r="B396" s="2" t="s">
        <v>471</v>
      </c>
      <c r="C396" s="2" t="s">
        <v>4</v>
      </c>
      <c r="D396" s="2" t="s">
        <v>58</v>
      </c>
      <c r="E396" s="54" t="s">
        <v>472</v>
      </c>
      <c r="F396" s="2" t="s">
        <v>473</v>
      </c>
      <c r="G396" s="54" t="s">
        <v>264</v>
      </c>
    </row>
    <row r="397" spans="1:7">
      <c r="A397" s="400" t="s">
        <v>474</v>
      </c>
      <c r="B397" s="400" t="s">
        <v>474</v>
      </c>
      <c r="C397" s="400" t="s">
        <v>474</v>
      </c>
      <c r="D397" s="400" t="s">
        <v>474</v>
      </c>
      <c r="E397" s="401" t="s">
        <v>474</v>
      </c>
      <c r="F397" s="400" t="s">
        <v>474</v>
      </c>
      <c r="G397" s="401" t="s">
        <v>474</v>
      </c>
    </row>
    <row r="398" spans="1:7">
      <c r="A398" s="3" t="s">
        <v>475</v>
      </c>
      <c r="B398" s="3" t="s">
        <v>513</v>
      </c>
      <c r="C398" s="3" t="s">
        <v>514</v>
      </c>
      <c r="D398" s="3" t="s">
        <v>478</v>
      </c>
      <c r="E398" s="262">
        <f>ROUND(EQUIPOS!$E$9,0)</f>
        <v>87000</v>
      </c>
      <c r="F398" s="6">
        <v>0</v>
      </c>
      <c r="G398" s="35">
        <f>ROUND(E398*F398,0)</f>
        <v>0</v>
      </c>
    </row>
    <row r="399" spans="1:7">
      <c r="A399" s="3" t="s">
        <v>475</v>
      </c>
      <c r="B399" s="3" t="s">
        <v>479</v>
      </c>
      <c r="C399" s="3" t="s">
        <v>480</v>
      </c>
      <c r="D399" s="3" t="s">
        <v>481</v>
      </c>
      <c r="E399" s="262">
        <f>ROUND($G$409,0)</f>
        <v>34206</v>
      </c>
      <c r="F399" s="7">
        <v>0.05</v>
      </c>
      <c r="G399" s="35">
        <f>ROUND(E399*F399,0)</f>
        <v>1710</v>
      </c>
    </row>
    <row r="400" spans="1:7">
      <c r="A400" s="402" t="s">
        <v>482</v>
      </c>
      <c r="B400" s="402" t="s">
        <v>482</v>
      </c>
      <c r="C400" s="402" t="s">
        <v>482</v>
      </c>
      <c r="D400" s="402" t="s">
        <v>482</v>
      </c>
      <c r="E400" s="403" t="s">
        <v>482</v>
      </c>
      <c r="F400" s="402" t="s">
        <v>482</v>
      </c>
      <c r="G400" s="55">
        <f>ROUND(SUM(G398:G399),0)</f>
        <v>1710</v>
      </c>
    </row>
    <row r="401" spans="1:7">
      <c r="A401" s="400" t="s">
        <v>483</v>
      </c>
      <c r="B401" s="400" t="s">
        <v>483</v>
      </c>
      <c r="C401" s="400" t="s">
        <v>483</v>
      </c>
      <c r="D401" s="400" t="s">
        <v>483</v>
      </c>
      <c r="E401" s="401" t="s">
        <v>483</v>
      </c>
      <c r="F401" s="400" t="s">
        <v>483</v>
      </c>
      <c r="G401" s="401" t="s">
        <v>483</v>
      </c>
    </row>
    <row r="402" spans="1:7">
      <c r="A402" s="3" t="s">
        <v>484</v>
      </c>
      <c r="B402" s="3" t="s">
        <v>538</v>
      </c>
      <c r="C402" s="3" t="s">
        <v>539</v>
      </c>
      <c r="D402" s="3" t="s">
        <v>65</v>
      </c>
      <c r="E402" s="262">
        <f>ROUND(INSUMOS!$E$24,0)</f>
        <v>139825</v>
      </c>
      <c r="F402" s="6">
        <v>1.05</v>
      </c>
      <c r="G402" s="35">
        <f>ROUND(E402*F402,0)</f>
        <v>146816</v>
      </c>
    </row>
    <row r="403" spans="1:7">
      <c r="A403" s="3" t="s">
        <v>484</v>
      </c>
      <c r="B403" s="3" t="s">
        <v>540</v>
      </c>
      <c r="C403" s="3" t="s">
        <v>541</v>
      </c>
      <c r="D403" s="3" t="s">
        <v>120</v>
      </c>
      <c r="E403" s="262">
        <f>ROUND(INSUMOS!$E$25,0)</f>
        <v>1918</v>
      </c>
      <c r="F403" s="6">
        <v>4</v>
      </c>
      <c r="G403" s="35">
        <f>ROUND(E403*F403,0)</f>
        <v>7672</v>
      </c>
    </row>
    <row r="404" spans="1:7">
      <c r="A404" s="3" t="s">
        <v>484</v>
      </c>
      <c r="B404" s="3" t="s">
        <v>542</v>
      </c>
      <c r="C404" s="3" t="s">
        <v>543</v>
      </c>
      <c r="D404" s="3" t="s">
        <v>120</v>
      </c>
      <c r="E404" s="262">
        <f>ROUND(INSUMOS!$E$26,0)</f>
        <v>7366</v>
      </c>
      <c r="F404" s="6">
        <v>0.2</v>
      </c>
      <c r="G404" s="35">
        <f>ROUND(E404*F404,0)</f>
        <v>1473</v>
      </c>
    </row>
    <row r="405" spans="1:7">
      <c r="A405" s="402" t="s">
        <v>495</v>
      </c>
      <c r="B405" s="402" t="s">
        <v>495</v>
      </c>
      <c r="C405" s="402" t="s">
        <v>495</v>
      </c>
      <c r="D405" s="402" t="s">
        <v>495</v>
      </c>
      <c r="E405" s="403" t="s">
        <v>495</v>
      </c>
      <c r="F405" s="402" t="s">
        <v>495</v>
      </c>
      <c r="G405" s="55">
        <f>ROUND(SUM(G402:G404),0)</f>
        <v>155961</v>
      </c>
    </row>
    <row r="406" spans="1:7">
      <c r="A406" s="400" t="s">
        <v>496</v>
      </c>
      <c r="B406" s="400" t="s">
        <v>496</v>
      </c>
      <c r="C406" s="400" t="s">
        <v>496</v>
      </c>
      <c r="D406" s="400" t="s">
        <v>496</v>
      </c>
      <c r="E406" s="401" t="s">
        <v>496</v>
      </c>
      <c r="F406" s="400" t="s">
        <v>496</v>
      </c>
      <c r="G406" s="401" t="s">
        <v>496</v>
      </c>
    </row>
    <row r="407" spans="1:7">
      <c r="A407" s="3" t="s">
        <v>496</v>
      </c>
      <c r="B407" s="3" t="s">
        <v>509</v>
      </c>
      <c r="C407" s="3" t="s">
        <v>510</v>
      </c>
      <c r="D407" s="3" t="s">
        <v>478</v>
      </c>
      <c r="E407" s="262">
        <f>ROUND('MANO DE OBRA'!$E$12,0)</f>
        <v>177075</v>
      </c>
      <c r="F407" s="6">
        <v>0.12</v>
      </c>
      <c r="G407" s="35">
        <f>ROUND(E407*F407,0)</f>
        <v>21249</v>
      </c>
    </row>
    <row r="408" spans="1:7">
      <c r="A408" s="3" t="s">
        <v>496</v>
      </c>
      <c r="B408" s="3" t="s">
        <v>501</v>
      </c>
      <c r="C408" s="3" t="s">
        <v>502</v>
      </c>
      <c r="D408" s="3" t="s">
        <v>478</v>
      </c>
      <c r="E408" s="262">
        <f>ROUND('MANO DE OBRA'!$E$11,0)</f>
        <v>107973</v>
      </c>
      <c r="F408" s="6">
        <v>0.12</v>
      </c>
      <c r="G408" s="35">
        <f>ROUND(E408*F408,0)</f>
        <v>12957</v>
      </c>
    </row>
    <row r="409" spans="1:7" ht="12.75" thickBot="1">
      <c r="A409" s="402" t="s">
        <v>503</v>
      </c>
      <c r="B409" s="402" t="s">
        <v>503</v>
      </c>
      <c r="C409" s="402" t="s">
        <v>503</v>
      </c>
      <c r="D409" s="402" t="s">
        <v>503</v>
      </c>
      <c r="E409" s="403" t="s">
        <v>503</v>
      </c>
      <c r="F409" s="402" t="s">
        <v>503</v>
      </c>
      <c r="G409" s="55">
        <f>ROUND(SUM(G407:G408),0)</f>
        <v>34206</v>
      </c>
    </row>
    <row r="410" spans="1:7" ht="12.75" thickBot="1">
      <c r="A410" s="404" t="s">
        <v>60</v>
      </c>
      <c r="B410" s="405" t="s">
        <v>504</v>
      </c>
      <c r="C410" s="405" t="s">
        <v>504</v>
      </c>
      <c r="D410" s="405" t="s">
        <v>504</v>
      </c>
      <c r="E410" s="406" t="s">
        <v>504</v>
      </c>
      <c r="F410" s="8"/>
      <c r="G410" s="56">
        <f>ROUND(SUM(G400,G405,G409),0)</f>
        <v>191877</v>
      </c>
    </row>
    <row r="411" spans="1:7">
      <c r="A411" s="1"/>
      <c r="B411" s="1"/>
      <c r="C411" s="1"/>
      <c r="D411" s="1"/>
      <c r="E411" s="52"/>
      <c r="F411" s="1"/>
      <c r="G411" s="52"/>
    </row>
    <row r="412" spans="1:7" ht="42" customHeight="1">
      <c r="A412" s="5" t="s">
        <v>323</v>
      </c>
      <c r="B412" s="5" t="s">
        <v>115</v>
      </c>
      <c r="C412" s="407" t="s">
        <v>116</v>
      </c>
      <c r="D412" s="407"/>
      <c r="E412" s="408"/>
      <c r="F412" s="407"/>
      <c r="G412" s="53" t="s">
        <v>65</v>
      </c>
    </row>
    <row r="413" spans="1:7">
      <c r="A413" s="2" t="s">
        <v>470</v>
      </c>
      <c r="B413" s="2" t="s">
        <v>471</v>
      </c>
      <c r="C413" s="2" t="s">
        <v>4</v>
      </c>
      <c r="D413" s="2" t="s">
        <v>58</v>
      </c>
      <c r="E413" s="54" t="s">
        <v>472</v>
      </c>
      <c r="F413" s="2" t="s">
        <v>473</v>
      </c>
      <c r="G413" s="54" t="s">
        <v>264</v>
      </c>
    </row>
    <row r="414" spans="1:7">
      <c r="A414" s="400" t="s">
        <v>474</v>
      </c>
      <c r="B414" s="400" t="s">
        <v>474</v>
      </c>
      <c r="C414" s="400" t="s">
        <v>474</v>
      </c>
      <c r="D414" s="400" t="s">
        <v>474</v>
      </c>
      <c r="E414" s="401" t="s">
        <v>474</v>
      </c>
      <c r="F414" s="400" t="s">
        <v>474</v>
      </c>
      <c r="G414" s="401" t="s">
        <v>474</v>
      </c>
    </row>
    <row r="415" spans="1:7">
      <c r="A415" s="3" t="s">
        <v>475</v>
      </c>
      <c r="B415" s="3" t="s">
        <v>513</v>
      </c>
      <c r="C415" s="3" t="s">
        <v>514</v>
      </c>
      <c r="D415" s="3" t="s">
        <v>478</v>
      </c>
      <c r="E415" s="262">
        <f>ROUND(EQUIPOS!$E$9,0)</f>
        <v>87000</v>
      </c>
      <c r="F415" s="6">
        <v>0.1</v>
      </c>
      <c r="G415" s="35">
        <f>ROUND(E415*F415,0)</f>
        <v>8700</v>
      </c>
    </row>
    <row r="416" spans="1:7">
      <c r="A416" s="3" t="s">
        <v>475</v>
      </c>
      <c r="B416" s="3" t="s">
        <v>479</v>
      </c>
      <c r="C416" s="3" t="s">
        <v>480</v>
      </c>
      <c r="D416" s="3" t="s">
        <v>481</v>
      </c>
      <c r="E416" s="262">
        <f>ROUND($G$426,0)</f>
        <v>31355</v>
      </c>
      <c r="F416" s="7">
        <v>0.05</v>
      </c>
      <c r="G416" s="35">
        <f>ROUND(E416*F416,0)</f>
        <v>1568</v>
      </c>
    </row>
    <row r="417" spans="1:7">
      <c r="A417" s="402" t="s">
        <v>482</v>
      </c>
      <c r="B417" s="402" t="s">
        <v>482</v>
      </c>
      <c r="C417" s="402" t="s">
        <v>482</v>
      </c>
      <c r="D417" s="402" t="s">
        <v>482</v>
      </c>
      <c r="E417" s="403" t="s">
        <v>482</v>
      </c>
      <c r="F417" s="402" t="s">
        <v>482</v>
      </c>
      <c r="G417" s="55">
        <f>ROUND(SUM(G415:G416),0)</f>
        <v>10268</v>
      </c>
    </row>
    <row r="418" spans="1:7">
      <c r="A418" s="400" t="s">
        <v>483</v>
      </c>
      <c r="B418" s="400" t="s">
        <v>483</v>
      </c>
      <c r="C418" s="400" t="s">
        <v>483</v>
      </c>
      <c r="D418" s="400" t="s">
        <v>483</v>
      </c>
      <c r="E418" s="401" t="s">
        <v>483</v>
      </c>
      <c r="F418" s="400" t="s">
        <v>483</v>
      </c>
      <c r="G418" s="401" t="s">
        <v>483</v>
      </c>
    </row>
    <row r="419" spans="1:7">
      <c r="A419" s="3" t="s">
        <v>484</v>
      </c>
      <c r="B419" s="3" t="s">
        <v>538</v>
      </c>
      <c r="C419" s="3" t="s">
        <v>539</v>
      </c>
      <c r="D419" s="3" t="s">
        <v>65</v>
      </c>
      <c r="E419" s="262">
        <f>ROUND(INSUMOS!$E$24,0)</f>
        <v>139825</v>
      </c>
      <c r="F419" s="6">
        <v>1.05</v>
      </c>
      <c r="G419" s="35">
        <f>ROUND(E419*F419,0)</f>
        <v>146816</v>
      </c>
    </row>
    <row r="420" spans="1:7">
      <c r="A420" s="3" t="s">
        <v>484</v>
      </c>
      <c r="B420" s="3" t="s">
        <v>540</v>
      </c>
      <c r="C420" s="3" t="s">
        <v>541</v>
      </c>
      <c r="D420" s="3" t="s">
        <v>120</v>
      </c>
      <c r="E420" s="262">
        <f>ROUND(INSUMOS!$E$25,0)</f>
        <v>1918</v>
      </c>
      <c r="F420" s="6">
        <v>4</v>
      </c>
      <c r="G420" s="35">
        <f>ROUND(E420*F420,0)</f>
        <v>7672</v>
      </c>
    </row>
    <row r="421" spans="1:7">
      <c r="A421" s="3" t="s">
        <v>484</v>
      </c>
      <c r="B421" s="3" t="s">
        <v>542</v>
      </c>
      <c r="C421" s="3" t="s">
        <v>543</v>
      </c>
      <c r="D421" s="3" t="s">
        <v>120</v>
      </c>
      <c r="E421" s="262">
        <f>ROUND(INSUMOS!$E$26,0)</f>
        <v>7366</v>
      </c>
      <c r="F421" s="6">
        <v>0.2</v>
      </c>
      <c r="G421" s="35">
        <f>ROUND(E421*F421,0)</f>
        <v>1473</v>
      </c>
    </row>
    <row r="422" spans="1:7">
      <c r="A422" s="402" t="s">
        <v>495</v>
      </c>
      <c r="B422" s="402" t="s">
        <v>495</v>
      </c>
      <c r="C422" s="402" t="s">
        <v>495</v>
      </c>
      <c r="D422" s="402" t="s">
        <v>495</v>
      </c>
      <c r="E422" s="403" t="s">
        <v>495</v>
      </c>
      <c r="F422" s="402" t="s">
        <v>495</v>
      </c>
      <c r="G422" s="55">
        <f>ROUND(SUM(G419:G421),0)</f>
        <v>155961</v>
      </c>
    </row>
    <row r="423" spans="1:7">
      <c r="A423" s="400" t="s">
        <v>496</v>
      </c>
      <c r="B423" s="400" t="s">
        <v>496</v>
      </c>
      <c r="C423" s="400" t="s">
        <v>496</v>
      </c>
      <c r="D423" s="400" t="s">
        <v>496</v>
      </c>
      <c r="E423" s="401" t="s">
        <v>496</v>
      </c>
      <c r="F423" s="400" t="s">
        <v>496</v>
      </c>
      <c r="G423" s="401" t="s">
        <v>496</v>
      </c>
    </row>
    <row r="424" spans="1:7">
      <c r="A424" s="3" t="s">
        <v>496</v>
      </c>
      <c r="B424" s="3" t="s">
        <v>509</v>
      </c>
      <c r="C424" s="3" t="s">
        <v>510</v>
      </c>
      <c r="D424" s="3" t="s">
        <v>478</v>
      </c>
      <c r="E424" s="262">
        <f>ROUND('MANO DE OBRA'!$E$12,0)</f>
        <v>177075</v>
      </c>
      <c r="F424" s="6">
        <v>0.11</v>
      </c>
      <c r="G424" s="35">
        <f>ROUND(E424*F424,0)</f>
        <v>19478</v>
      </c>
    </row>
    <row r="425" spans="1:7">
      <c r="A425" s="3" t="s">
        <v>496</v>
      </c>
      <c r="B425" s="3" t="s">
        <v>501</v>
      </c>
      <c r="C425" s="3" t="s">
        <v>502</v>
      </c>
      <c r="D425" s="3" t="s">
        <v>478</v>
      </c>
      <c r="E425" s="262">
        <f>ROUND('MANO DE OBRA'!$E$11,0)</f>
        <v>107973</v>
      </c>
      <c r="F425" s="6">
        <v>0.11</v>
      </c>
      <c r="G425" s="35">
        <f>ROUND(E425*F425,0)</f>
        <v>11877</v>
      </c>
    </row>
    <row r="426" spans="1:7" ht="12.75" thickBot="1">
      <c r="A426" s="402" t="s">
        <v>503</v>
      </c>
      <c r="B426" s="402" t="s">
        <v>503</v>
      </c>
      <c r="C426" s="402" t="s">
        <v>503</v>
      </c>
      <c r="D426" s="402" t="s">
        <v>503</v>
      </c>
      <c r="E426" s="403" t="s">
        <v>503</v>
      </c>
      <c r="F426" s="402" t="s">
        <v>503</v>
      </c>
      <c r="G426" s="55">
        <f>ROUND(SUM(G424:G425),0)</f>
        <v>31355</v>
      </c>
    </row>
    <row r="427" spans="1:7" ht="12.75" thickBot="1">
      <c r="A427" s="404" t="s">
        <v>60</v>
      </c>
      <c r="B427" s="405" t="s">
        <v>504</v>
      </c>
      <c r="C427" s="405" t="s">
        <v>504</v>
      </c>
      <c r="D427" s="405" t="s">
        <v>504</v>
      </c>
      <c r="E427" s="406" t="s">
        <v>504</v>
      </c>
      <c r="F427" s="8"/>
      <c r="G427" s="56">
        <f>ROUND(SUM(G417,G422,G426),0)</f>
        <v>197584</v>
      </c>
    </row>
    <row r="428" spans="1:7">
      <c r="A428" s="1"/>
      <c r="B428" s="1"/>
      <c r="C428" s="1"/>
      <c r="D428" s="1"/>
      <c r="E428" s="52"/>
      <c r="F428" s="1"/>
      <c r="G428" s="52"/>
    </row>
    <row r="429" spans="1:7" ht="42" customHeight="1">
      <c r="A429" s="5" t="s">
        <v>325</v>
      </c>
      <c r="B429" s="5" t="s">
        <v>118</v>
      </c>
      <c r="C429" s="407" t="s">
        <v>119</v>
      </c>
      <c r="D429" s="407"/>
      <c r="E429" s="408"/>
      <c r="F429" s="407"/>
      <c r="G429" s="53" t="s">
        <v>120</v>
      </c>
    </row>
    <row r="430" spans="1:7">
      <c r="A430" s="2" t="s">
        <v>470</v>
      </c>
      <c r="B430" s="2" t="s">
        <v>471</v>
      </c>
      <c r="C430" s="2" t="s">
        <v>4</v>
      </c>
      <c r="D430" s="2" t="s">
        <v>58</v>
      </c>
      <c r="E430" s="54" t="s">
        <v>472</v>
      </c>
      <c r="F430" s="2" t="s">
        <v>473</v>
      </c>
      <c r="G430" s="54" t="s">
        <v>264</v>
      </c>
    </row>
    <row r="431" spans="1:7">
      <c r="A431" s="400" t="s">
        <v>474</v>
      </c>
      <c r="B431" s="400" t="s">
        <v>474</v>
      </c>
      <c r="C431" s="400" t="s">
        <v>474</v>
      </c>
      <c r="D431" s="400" t="s">
        <v>474</v>
      </c>
      <c r="E431" s="401" t="s">
        <v>474</v>
      </c>
      <c r="F431" s="400" t="s">
        <v>474</v>
      </c>
      <c r="G431" s="401" t="s">
        <v>474</v>
      </c>
    </row>
    <row r="432" spans="1:7">
      <c r="A432" s="3" t="s">
        <v>475</v>
      </c>
      <c r="B432" s="3" t="s">
        <v>479</v>
      </c>
      <c r="C432" s="3" t="s">
        <v>480</v>
      </c>
      <c r="D432" s="3" t="s">
        <v>481</v>
      </c>
      <c r="E432" s="262">
        <f>ROUND($G$442,0)</f>
        <v>2851</v>
      </c>
      <c r="F432" s="7">
        <v>0.05</v>
      </c>
      <c r="G432" s="35">
        <f>ROUND(E432*F432,0)</f>
        <v>143</v>
      </c>
    </row>
    <row r="433" spans="1:7">
      <c r="A433" s="402" t="s">
        <v>482</v>
      </c>
      <c r="B433" s="402" t="s">
        <v>482</v>
      </c>
      <c r="C433" s="402" t="s">
        <v>482</v>
      </c>
      <c r="D433" s="402" t="s">
        <v>482</v>
      </c>
      <c r="E433" s="403" t="s">
        <v>482</v>
      </c>
      <c r="F433" s="402" t="s">
        <v>482</v>
      </c>
      <c r="G433" s="55">
        <f>ROUND(SUM(G432:G432),0)</f>
        <v>143</v>
      </c>
    </row>
    <row r="434" spans="1:7">
      <c r="A434" s="400" t="s">
        <v>483</v>
      </c>
      <c r="B434" s="400" t="s">
        <v>483</v>
      </c>
      <c r="C434" s="400" t="s">
        <v>483</v>
      </c>
      <c r="D434" s="400" t="s">
        <v>483</v>
      </c>
      <c r="E434" s="401" t="s">
        <v>483</v>
      </c>
      <c r="F434" s="400" t="s">
        <v>483</v>
      </c>
      <c r="G434" s="401" t="s">
        <v>483</v>
      </c>
    </row>
    <row r="435" spans="1:7">
      <c r="A435" s="3" t="s">
        <v>484</v>
      </c>
      <c r="B435" s="3" t="s">
        <v>544</v>
      </c>
      <c r="C435" s="3" t="s">
        <v>545</v>
      </c>
      <c r="D435" s="3" t="s">
        <v>120</v>
      </c>
      <c r="E435" s="262">
        <f>ROUND(INSUMOS!$E$27,0)</f>
        <v>7522</v>
      </c>
      <c r="F435" s="6">
        <v>1.05</v>
      </c>
      <c r="G435" s="35">
        <f>ROUND(E435*F435,0)</f>
        <v>7898</v>
      </c>
    </row>
    <row r="436" spans="1:7">
      <c r="A436" s="3" t="s">
        <v>484</v>
      </c>
      <c r="B436" s="3" t="s">
        <v>527</v>
      </c>
      <c r="C436" s="3" t="s">
        <v>546</v>
      </c>
      <c r="D436" s="3" t="s">
        <v>120</v>
      </c>
      <c r="E436" s="262">
        <f>ROUND(INSUMOS!$E$20,0)</f>
        <v>9226</v>
      </c>
      <c r="F436" s="6">
        <v>0.02</v>
      </c>
      <c r="G436" s="35">
        <f>ROUND(E436*F436,0)</f>
        <v>185</v>
      </c>
    </row>
    <row r="437" spans="1:7">
      <c r="A437" s="3" t="s">
        <v>484</v>
      </c>
      <c r="B437" s="3" t="s">
        <v>547</v>
      </c>
      <c r="C437" s="3" t="s">
        <v>548</v>
      </c>
      <c r="D437" s="3" t="s">
        <v>103</v>
      </c>
      <c r="E437" s="262">
        <f>ROUND(INSUMOS!$E$28,0)</f>
        <v>6664</v>
      </c>
      <c r="F437" s="6">
        <v>0.02</v>
      </c>
      <c r="G437" s="35">
        <f>ROUND(E437*F437,0)</f>
        <v>133</v>
      </c>
    </row>
    <row r="438" spans="1:7">
      <c r="A438" s="402" t="s">
        <v>495</v>
      </c>
      <c r="B438" s="402" t="s">
        <v>495</v>
      </c>
      <c r="C438" s="402" t="s">
        <v>495</v>
      </c>
      <c r="D438" s="402" t="s">
        <v>495</v>
      </c>
      <c r="E438" s="403" t="s">
        <v>495</v>
      </c>
      <c r="F438" s="402" t="s">
        <v>495</v>
      </c>
      <c r="G438" s="55">
        <f>ROUND(SUM(G435:G437),0)</f>
        <v>8216</v>
      </c>
    </row>
    <row r="439" spans="1:7">
      <c r="A439" s="400" t="s">
        <v>496</v>
      </c>
      <c r="B439" s="400" t="s">
        <v>496</v>
      </c>
      <c r="C439" s="400" t="s">
        <v>496</v>
      </c>
      <c r="D439" s="400" t="s">
        <v>496</v>
      </c>
      <c r="E439" s="401" t="s">
        <v>496</v>
      </c>
      <c r="F439" s="400" t="s">
        <v>496</v>
      </c>
      <c r="G439" s="401" t="s">
        <v>496</v>
      </c>
    </row>
    <row r="440" spans="1:7">
      <c r="A440" s="3" t="s">
        <v>496</v>
      </c>
      <c r="B440" s="3" t="s">
        <v>501</v>
      </c>
      <c r="C440" s="3" t="s">
        <v>502</v>
      </c>
      <c r="D440" s="3" t="s">
        <v>478</v>
      </c>
      <c r="E440" s="262">
        <f>ROUND('MANO DE OBRA'!$E$11,0)</f>
        <v>107973</v>
      </c>
      <c r="F440" s="6">
        <v>0.01</v>
      </c>
      <c r="G440" s="35">
        <f>ROUND(E440*F440,0)</f>
        <v>1080</v>
      </c>
    </row>
    <row r="441" spans="1:7">
      <c r="A441" s="3" t="s">
        <v>496</v>
      </c>
      <c r="B441" s="3" t="s">
        <v>509</v>
      </c>
      <c r="C441" s="3" t="s">
        <v>510</v>
      </c>
      <c r="D441" s="3" t="s">
        <v>478</v>
      </c>
      <c r="E441" s="262">
        <f>ROUND('MANO DE OBRA'!$E$12,0)</f>
        <v>177075</v>
      </c>
      <c r="F441" s="6">
        <v>0.01</v>
      </c>
      <c r="G441" s="35">
        <f>ROUND(E441*F441,0)</f>
        <v>1771</v>
      </c>
    </row>
    <row r="442" spans="1:7" ht="12.75" thickBot="1">
      <c r="A442" s="402" t="s">
        <v>503</v>
      </c>
      <c r="B442" s="402" t="s">
        <v>503</v>
      </c>
      <c r="C442" s="402" t="s">
        <v>503</v>
      </c>
      <c r="D442" s="402" t="s">
        <v>503</v>
      </c>
      <c r="E442" s="403" t="s">
        <v>503</v>
      </c>
      <c r="F442" s="402" t="s">
        <v>503</v>
      </c>
      <c r="G442" s="55">
        <f>ROUND(SUM(G440:G441),0)</f>
        <v>2851</v>
      </c>
    </row>
    <row r="443" spans="1:7" ht="12.75" thickBot="1">
      <c r="A443" s="404" t="s">
        <v>60</v>
      </c>
      <c r="B443" s="405" t="s">
        <v>504</v>
      </c>
      <c r="C443" s="405" t="s">
        <v>504</v>
      </c>
      <c r="D443" s="405" t="s">
        <v>504</v>
      </c>
      <c r="E443" s="406" t="s">
        <v>504</v>
      </c>
      <c r="F443" s="8"/>
      <c r="G443" s="56">
        <f>ROUND(SUM(G433,G438,G442),0)</f>
        <v>11210</v>
      </c>
    </row>
    <row r="444" spans="1:7">
      <c r="A444" s="1"/>
      <c r="B444" s="1"/>
      <c r="C444" s="1"/>
      <c r="D444" s="1"/>
      <c r="E444" s="52"/>
      <c r="F444" s="1"/>
      <c r="G444" s="52"/>
    </row>
    <row r="445" spans="1:7" ht="42" customHeight="1">
      <c r="A445" s="5" t="s">
        <v>333</v>
      </c>
      <c r="B445" s="5" t="s">
        <v>121</v>
      </c>
      <c r="C445" s="407" t="s">
        <v>122</v>
      </c>
      <c r="D445" s="407"/>
      <c r="E445" s="408"/>
      <c r="F445" s="407"/>
      <c r="G445" s="53" t="s">
        <v>103</v>
      </c>
    </row>
    <row r="446" spans="1:7">
      <c r="A446" s="2" t="s">
        <v>470</v>
      </c>
      <c r="B446" s="2" t="s">
        <v>471</v>
      </c>
      <c r="C446" s="2" t="s">
        <v>4</v>
      </c>
      <c r="D446" s="2" t="s">
        <v>58</v>
      </c>
      <c r="E446" s="54" t="s">
        <v>472</v>
      </c>
      <c r="F446" s="2" t="s">
        <v>473</v>
      </c>
      <c r="G446" s="54" t="s">
        <v>264</v>
      </c>
    </row>
    <row r="447" spans="1:7">
      <c r="A447" s="400" t="s">
        <v>474</v>
      </c>
      <c r="B447" s="400" t="s">
        <v>474</v>
      </c>
      <c r="C447" s="400" t="s">
        <v>474</v>
      </c>
      <c r="D447" s="400" t="s">
        <v>474</v>
      </c>
      <c r="E447" s="401" t="s">
        <v>474</v>
      </c>
      <c r="F447" s="400" t="s">
        <v>474</v>
      </c>
      <c r="G447" s="401" t="s">
        <v>474</v>
      </c>
    </row>
    <row r="448" spans="1:7">
      <c r="A448" s="3" t="s">
        <v>475</v>
      </c>
      <c r="B448" s="3" t="s">
        <v>479</v>
      </c>
      <c r="C448" s="3" t="s">
        <v>480</v>
      </c>
      <c r="D448" s="3" t="s">
        <v>481</v>
      </c>
      <c r="E448" s="262">
        <f>ROUND($G$457,0)</f>
        <v>28505</v>
      </c>
      <c r="F448" s="7">
        <v>0.05</v>
      </c>
      <c r="G448" s="35">
        <f>ROUND(E448*F448,0)</f>
        <v>1425</v>
      </c>
    </row>
    <row r="449" spans="1:7">
      <c r="A449" s="402" t="s">
        <v>482</v>
      </c>
      <c r="B449" s="402" t="s">
        <v>482</v>
      </c>
      <c r="C449" s="402" t="s">
        <v>482</v>
      </c>
      <c r="D449" s="402" t="s">
        <v>482</v>
      </c>
      <c r="E449" s="403" t="s">
        <v>482</v>
      </c>
      <c r="F449" s="402" t="s">
        <v>482</v>
      </c>
      <c r="G449" s="55">
        <f>ROUND(SUM(G448:G448),0)</f>
        <v>1425</v>
      </c>
    </row>
    <row r="450" spans="1:7">
      <c r="A450" s="400" t="s">
        <v>483</v>
      </c>
      <c r="B450" s="400" t="s">
        <v>483</v>
      </c>
      <c r="C450" s="400" t="s">
        <v>483</v>
      </c>
      <c r="D450" s="400" t="s">
        <v>483</v>
      </c>
      <c r="E450" s="401" t="s">
        <v>483</v>
      </c>
      <c r="F450" s="400" t="s">
        <v>483</v>
      </c>
      <c r="G450" s="401" t="s">
        <v>483</v>
      </c>
    </row>
    <row r="451" spans="1:7">
      <c r="A451" s="3" t="s">
        <v>484</v>
      </c>
      <c r="B451" s="3" t="s">
        <v>527</v>
      </c>
      <c r="C451" s="3" t="s">
        <v>546</v>
      </c>
      <c r="D451" s="3" t="s">
        <v>120</v>
      </c>
      <c r="E451" s="262">
        <f>ROUND(INSUMOS!$E$20,0)</f>
        <v>9226</v>
      </c>
      <c r="F451" s="6">
        <v>0.01</v>
      </c>
      <c r="G451" s="35">
        <f>ROUND(E451*F451,0)</f>
        <v>92</v>
      </c>
    </row>
    <row r="452" spans="1:7">
      <c r="A452" s="3" t="s">
        <v>484</v>
      </c>
      <c r="B452" s="3" t="s">
        <v>549</v>
      </c>
      <c r="C452" s="3" t="s">
        <v>550</v>
      </c>
      <c r="D452" s="3" t="s">
        <v>103</v>
      </c>
      <c r="E452" s="262">
        <f>ROUND(INSUMOS!$E$29,0)</f>
        <v>211868</v>
      </c>
      <c r="F452" s="6">
        <v>1.05</v>
      </c>
      <c r="G452" s="35">
        <f>ROUND(E452*F452,0)</f>
        <v>222461</v>
      </c>
    </row>
    <row r="453" spans="1:7">
      <c r="A453" s="402" t="s">
        <v>495</v>
      </c>
      <c r="B453" s="402" t="s">
        <v>495</v>
      </c>
      <c r="C453" s="402" t="s">
        <v>495</v>
      </c>
      <c r="D453" s="402" t="s">
        <v>495</v>
      </c>
      <c r="E453" s="403" t="s">
        <v>495</v>
      </c>
      <c r="F453" s="402" t="s">
        <v>495</v>
      </c>
      <c r="G453" s="55">
        <f>ROUND(SUM(G451:G452),0)</f>
        <v>222553</v>
      </c>
    </row>
    <row r="454" spans="1:7">
      <c r="A454" s="400" t="s">
        <v>496</v>
      </c>
      <c r="B454" s="400" t="s">
        <v>496</v>
      </c>
      <c r="C454" s="400" t="s">
        <v>496</v>
      </c>
      <c r="D454" s="400" t="s">
        <v>496</v>
      </c>
      <c r="E454" s="401" t="s">
        <v>496</v>
      </c>
      <c r="F454" s="400" t="s">
        <v>496</v>
      </c>
      <c r="G454" s="401" t="s">
        <v>496</v>
      </c>
    </row>
    <row r="455" spans="1:7">
      <c r="A455" s="3" t="s">
        <v>496</v>
      </c>
      <c r="B455" s="3" t="s">
        <v>509</v>
      </c>
      <c r="C455" s="3" t="s">
        <v>510</v>
      </c>
      <c r="D455" s="3" t="s">
        <v>478</v>
      </c>
      <c r="E455" s="262">
        <f>ROUND('MANO DE OBRA'!$E$12,0)</f>
        <v>177075</v>
      </c>
      <c r="F455" s="6">
        <v>0.1</v>
      </c>
      <c r="G455" s="35">
        <f>ROUND(E455*F455,0)</f>
        <v>17708</v>
      </c>
    </row>
    <row r="456" spans="1:7">
      <c r="A456" s="3" t="s">
        <v>496</v>
      </c>
      <c r="B456" s="3" t="s">
        <v>501</v>
      </c>
      <c r="C456" s="3" t="s">
        <v>502</v>
      </c>
      <c r="D456" s="3" t="s">
        <v>478</v>
      </c>
      <c r="E456" s="262">
        <f>ROUND('MANO DE OBRA'!$E$11,0)</f>
        <v>107973</v>
      </c>
      <c r="F456" s="6">
        <v>0.1</v>
      </c>
      <c r="G456" s="35">
        <f>ROUND(E456*F456,0)</f>
        <v>10797</v>
      </c>
    </row>
    <row r="457" spans="1:7" ht="12.75" thickBot="1">
      <c r="A457" s="402" t="s">
        <v>503</v>
      </c>
      <c r="B457" s="402" t="s">
        <v>503</v>
      </c>
      <c r="C457" s="402" t="s">
        <v>503</v>
      </c>
      <c r="D457" s="402" t="s">
        <v>503</v>
      </c>
      <c r="E457" s="403" t="s">
        <v>503</v>
      </c>
      <c r="F457" s="402" t="s">
        <v>503</v>
      </c>
      <c r="G457" s="55">
        <f>ROUND(SUM(G455:G456),0)</f>
        <v>28505</v>
      </c>
    </row>
    <row r="458" spans="1:7" ht="12.75" thickBot="1">
      <c r="A458" s="404" t="s">
        <v>60</v>
      </c>
      <c r="B458" s="405" t="s">
        <v>504</v>
      </c>
      <c r="C458" s="405" t="s">
        <v>504</v>
      </c>
      <c r="D458" s="405" t="s">
        <v>504</v>
      </c>
      <c r="E458" s="406" t="s">
        <v>504</v>
      </c>
      <c r="F458" s="8"/>
      <c r="G458" s="56">
        <f>ROUND(SUM(G449,G453,G457),0)</f>
        <v>252483</v>
      </c>
    </row>
    <row r="459" spans="1:7">
      <c r="A459" s="1"/>
      <c r="B459" s="1"/>
      <c r="C459" s="1"/>
      <c r="D459" s="1"/>
      <c r="E459" s="52"/>
      <c r="F459" s="1"/>
      <c r="G459" s="52"/>
    </row>
    <row r="460" spans="1:7" ht="42" customHeight="1">
      <c r="A460" s="5" t="s">
        <v>335</v>
      </c>
      <c r="B460" s="5" t="s">
        <v>124</v>
      </c>
      <c r="C460" s="407" t="s">
        <v>125</v>
      </c>
      <c r="D460" s="407"/>
      <c r="E460" s="408"/>
      <c r="F460" s="407"/>
      <c r="G460" s="53" t="s">
        <v>68</v>
      </c>
    </row>
    <row r="461" spans="1:7">
      <c r="A461" s="2" t="s">
        <v>470</v>
      </c>
      <c r="B461" s="2" t="s">
        <v>471</v>
      </c>
      <c r="C461" s="2" t="s">
        <v>4</v>
      </c>
      <c r="D461" s="2" t="s">
        <v>58</v>
      </c>
      <c r="E461" s="54" t="s">
        <v>472</v>
      </c>
      <c r="F461" s="2" t="s">
        <v>473</v>
      </c>
      <c r="G461" s="54" t="s">
        <v>264</v>
      </c>
    </row>
    <row r="462" spans="1:7">
      <c r="A462" s="400" t="s">
        <v>474</v>
      </c>
      <c r="B462" s="400" t="s">
        <v>474</v>
      </c>
      <c r="C462" s="400" t="s">
        <v>474</v>
      </c>
      <c r="D462" s="400" t="s">
        <v>474</v>
      </c>
      <c r="E462" s="401" t="s">
        <v>474</v>
      </c>
      <c r="F462" s="400" t="s">
        <v>474</v>
      </c>
      <c r="G462" s="401" t="s">
        <v>474</v>
      </c>
    </row>
    <row r="463" spans="1:7">
      <c r="A463" s="3" t="s">
        <v>475</v>
      </c>
      <c r="B463" s="3" t="s">
        <v>479</v>
      </c>
      <c r="C463" s="3" t="s">
        <v>480</v>
      </c>
      <c r="D463" s="3" t="s">
        <v>481</v>
      </c>
      <c r="E463" s="262">
        <f>ROUND($G$472,0)</f>
        <v>42757</v>
      </c>
      <c r="F463" s="7">
        <v>0.05</v>
      </c>
      <c r="G463" s="35">
        <f>ROUND(E463*F463,0)</f>
        <v>2138</v>
      </c>
    </row>
    <row r="464" spans="1:7">
      <c r="A464" s="402" t="s">
        <v>482</v>
      </c>
      <c r="B464" s="402" t="s">
        <v>482</v>
      </c>
      <c r="C464" s="402" t="s">
        <v>482</v>
      </c>
      <c r="D464" s="402" t="s">
        <v>482</v>
      </c>
      <c r="E464" s="403" t="s">
        <v>482</v>
      </c>
      <c r="F464" s="402" t="s">
        <v>482</v>
      </c>
      <c r="G464" s="55">
        <f>ROUND(SUM(G463:G463),0)</f>
        <v>2138</v>
      </c>
    </row>
    <row r="465" spans="1:7">
      <c r="A465" s="400" t="s">
        <v>483</v>
      </c>
      <c r="B465" s="400" t="s">
        <v>483</v>
      </c>
      <c r="C465" s="400" t="s">
        <v>483</v>
      </c>
      <c r="D465" s="400" t="s">
        <v>483</v>
      </c>
      <c r="E465" s="401" t="s">
        <v>483</v>
      </c>
      <c r="F465" s="400" t="s">
        <v>483</v>
      </c>
      <c r="G465" s="401" t="s">
        <v>483</v>
      </c>
    </row>
    <row r="466" spans="1:7">
      <c r="A466" s="3" t="s">
        <v>484</v>
      </c>
      <c r="B466" s="3" t="s">
        <v>551</v>
      </c>
      <c r="C466" s="3" t="s">
        <v>552</v>
      </c>
      <c r="D466" s="3" t="s">
        <v>103</v>
      </c>
      <c r="E466" s="262">
        <f>ROUND(INSUMOS!$E$30,0)</f>
        <v>4046</v>
      </c>
      <c r="F466" s="6">
        <v>6</v>
      </c>
      <c r="G466" s="35">
        <f>ROUND(E466*F466,0)</f>
        <v>24276</v>
      </c>
    </row>
    <row r="467" spans="1:7">
      <c r="A467" s="3" t="s">
        <v>484</v>
      </c>
      <c r="B467" s="3" t="s">
        <v>553</v>
      </c>
      <c r="C467" s="3" t="s">
        <v>554</v>
      </c>
      <c r="D467" s="3" t="s">
        <v>72</v>
      </c>
      <c r="E467" s="262">
        <f>ROUND(APA!$G$68,0)</f>
        <v>861540</v>
      </c>
      <c r="F467" s="6">
        <v>2.2680000000000002E-2</v>
      </c>
      <c r="G467" s="35">
        <f>ROUND(E467*F467,0)</f>
        <v>19540</v>
      </c>
    </row>
    <row r="468" spans="1:7">
      <c r="A468" s="402" t="s">
        <v>495</v>
      </c>
      <c r="B468" s="402" t="s">
        <v>495</v>
      </c>
      <c r="C468" s="402" t="s">
        <v>495</v>
      </c>
      <c r="D468" s="402" t="s">
        <v>495</v>
      </c>
      <c r="E468" s="403" t="s">
        <v>495</v>
      </c>
      <c r="F468" s="402" t="s">
        <v>495</v>
      </c>
      <c r="G468" s="55">
        <f>ROUND(SUM(G466:G467),0)</f>
        <v>43816</v>
      </c>
    </row>
    <row r="469" spans="1:7">
      <c r="A469" s="400" t="s">
        <v>496</v>
      </c>
      <c r="B469" s="400" t="s">
        <v>496</v>
      </c>
      <c r="C469" s="400" t="s">
        <v>496</v>
      </c>
      <c r="D469" s="400" t="s">
        <v>496</v>
      </c>
      <c r="E469" s="401" t="s">
        <v>496</v>
      </c>
      <c r="F469" s="400" t="s">
        <v>496</v>
      </c>
      <c r="G469" s="401" t="s">
        <v>496</v>
      </c>
    </row>
    <row r="470" spans="1:7">
      <c r="A470" s="3" t="s">
        <v>496</v>
      </c>
      <c r="B470" s="3" t="s">
        <v>509</v>
      </c>
      <c r="C470" s="3" t="s">
        <v>510</v>
      </c>
      <c r="D470" s="3" t="s">
        <v>478</v>
      </c>
      <c r="E470" s="262">
        <f>ROUND('MANO DE OBRA'!$E$12,0)</f>
        <v>177075</v>
      </c>
      <c r="F470" s="6">
        <v>0.15</v>
      </c>
      <c r="G470" s="35">
        <f>ROUND(E470*F470,0)</f>
        <v>26561</v>
      </c>
    </row>
    <row r="471" spans="1:7">
      <c r="A471" s="3" t="s">
        <v>496</v>
      </c>
      <c r="B471" s="3" t="s">
        <v>501</v>
      </c>
      <c r="C471" s="3" t="s">
        <v>502</v>
      </c>
      <c r="D471" s="3" t="s">
        <v>478</v>
      </c>
      <c r="E471" s="262">
        <f>ROUND('MANO DE OBRA'!$E$11,0)</f>
        <v>107973</v>
      </c>
      <c r="F471" s="6">
        <v>0.15</v>
      </c>
      <c r="G471" s="35">
        <f>ROUND(E471*F471,0)</f>
        <v>16196</v>
      </c>
    </row>
    <row r="472" spans="1:7" ht="12.75" thickBot="1">
      <c r="A472" s="402" t="s">
        <v>503</v>
      </c>
      <c r="B472" s="402" t="s">
        <v>503</v>
      </c>
      <c r="C472" s="402" t="s">
        <v>503</v>
      </c>
      <c r="D472" s="402" t="s">
        <v>503</v>
      </c>
      <c r="E472" s="403" t="s">
        <v>503</v>
      </c>
      <c r="F472" s="402" t="s">
        <v>503</v>
      </c>
      <c r="G472" s="55">
        <f>ROUND(SUM(G470:G471),0)</f>
        <v>42757</v>
      </c>
    </row>
    <row r="473" spans="1:7" ht="12.75" thickBot="1">
      <c r="A473" s="404" t="s">
        <v>60</v>
      </c>
      <c r="B473" s="405" t="s">
        <v>504</v>
      </c>
      <c r="C473" s="405" t="s">
        <v>504</v>
      </c>
      <c r="D473" s="405" t="s">
        <v>504</v>
      </c>
      <c r="E473" s="406" t="s">
        <v>504</v>
      </c>
      <c r="F473" s="8"/>
      <c r="G473" s="56">
        <f>ROUND(SUM(G464,G468,G472),0)</f>
        <v>88711</v>
      </c>
    </row>
    <row r="474" spans="1:7">
      <c r="A474" s="1"/>
      <c r="B474" s="1"/>
      <c r="C474" s="1"/>
      <c r="D474" s="1"/>
      <c r="E474" s="52"/>
      <c r="F474" s="1"/>
      <c r="G474" s="52"/>
    </row>
    <row r="475" spans="1:7" ht="42" customHeight="1">
      <c r="A475" s="5" t="s">
        <v>336</v>
      </c>
      <c r="B475" s="5" t="s">
        <v>126</v>
      </c>
      <c r="C475" s="407" t="s">
        <v>127</v>
      </c>
      <c r="D475" s="407"/>
      <c r="E475" s="408"/>
      <c r="F475" s="407"/>
      <c r="G475" s="53" t="s">
        <v>65</v>
      </c>
    </row>
    <row r="476" spans="1:7">
      <c r="A476" s="2" t="s">
        <v>470</v>
      </c>
      <c r="B476" s="2" t="s">
        <v>471</v>
      </c>
      <c r="C476" s="2" t="s">
        <v>4</v>
      </c>
      <c r="D476" s="2" t="s">
        <v>58</v>
      </c>
      <c r="E476" s="54" t="s">
        <v>472</v>
      </c>
      <c r="F476" s="2" t="s">
        <v>473</v>
      </c>
      <c r="G476" s="54" t="s">
        <v>264</v>
      </c>
    </row>
    <row r="477" spans="1:7">
      <c r="A477" s="400" t="s">
        <v>474</v>
      </c>
      <c r="B477" s="400" t="s">
        <v>474</v>
      </c>
      <c r="C477" s="400" t="s">
        <v>474</v>
      </c>
      <c r="D477" s="400" t="s">
        <v>474</v>
      </c>
      <c r="E477" s="401" t="s">
        <v>474</v>
      </c>
      <c r="F477" s="400" t="s">
        <v>474</v>
      </c>
      <c r="G477" s="401" t="s">
        <v>474</v>
      </c>
    </row>
    <row r="478" spans="1:7">
      <c r="A478" s="3" t="s">
        <v>475</v>
      </c>
      <c r="B478" s="3" t="s">
        <v>479</v>
      </c>
      <c r="C478" s="3" t="s">
        <v>480</v>
      </c>
      <c r="D478" s="3" t="s">
        <v>481</v>
      </c>
      <c r="E478" s="262">
        <f>ROUND($G$487,0)</f>
        <v>17103</v>
      </c>
      <c r="F478" s="7">
        <v>0.05</v>
      </c>
      <c r="G478" s="35">
        <f>ROUND(E478*F478,0)</f>
        <v>855</v>
      </c>
    </row>
    <row r="479" spans="1:7">
      <c r="A479" s="402" t="s">
        <v>482</v>
      </c>
      <c r="B479" s="402" t="s">
        <v>482</v>
      </c>
      <c r="C479" s="402" t="s">
        <v>482</v>
      </c>
      <c r="D479" s="402" t="s">
        <v>482</v>
      </c>
      <c r="E479" s="403" t="s">
        <v>482</v>
      </c>
      <c r="F479" s="402" t="s">
        <v>482</v>
      </c>
      <c r="G479" s="55">
        <f>ROUND(SUM(G478:G478),0)</f>
        <v>855</v>
      </c>
    </row>
    <row r="480" spans="1:7">
      <c r="A480" s="400" t="s">
        <v>483</v>
      </c>
      <c r="B480" s="400" t="s">
        <v>483</v>
      </c>
      <c r="C480" s="400" t="s">
        <v>483</v>
      </c>
      <c r="D480" s="400" t="s">
        <v>483</v>
      </c>
      <c r="E480" s="401" t="s">
        <v>483</v>
      </c>
      <c r="F480" s="400" t="s">
        <v>483</v>
      </c>
      <c r="G480" s="401" t="s">
        <v>483</v>
      </c>
    </row>
    <row r="481" spans="1:7">
      <c r="A481" s="3" t="s">
        <v>484</v>
      </c>
      <c r="B481" s="3" t="s">
        <v>553</v>
      </c>
      <c r="C481" s="3" t="s">
        <v>554</v>
      </c>
      <c r="D481" s="3" t="s">
        <v>72</v>
      </c>
      <c r="E481" s="262">
        <f>ROUND(APA!$G$68,0)</f>
        <v>861540</v>
      </c>
      <c r="F481" s="6">
        <v>2.1000000000000001E-2</v>
      </c>
      <c r="G481" s="35">
        <f>ROUND(E481*F481,0)</f>
        <v>18092</v>
      </c>
    </row>
    <row r="482" spans="1:7">
      <c r="A482" s="3" t="s">
        <v>484</v>
      </c>
      <c r="B482" s="3" t="s">
        <v>555</v>
      </c>
      <c r="C482" s="3" t="s">
        <v>556</v>
      </c>
      <c r="D482" s="3" t="s">
        <v>103</v>
      </c>
      <c r="E482" s="262">
        <f>ROUND(INSUMOS!$E$31,0)</f>
        <v>2202</v>
      </c>
      <c r="F482" s="6">
        <v>13.5</v>
      </c>
      <c r="G482" s="35">
        <f>ROUND(E482*F482,0)</f>
        <v>29727</v>
      </c>
    </row>
    <row r="483" spans="1:7">
      <c r="A483" s="402" t="s">
        <v>495</v>
      </c>
      <c r="B483" s="402" t="s">
        <v>495</v>
      </c>
      <c r="C483" s="402" t="s">
        <v>495</v>
      </c>
      <c r="D483" s="402" t="s">
        <v>495</v>
      </c>
      <c r="E483" s="403" t="s">
        <v>495</v>
      </c>
      <c r="F483" s="402" t="s">
        <v>495</v>
      </c>
      <c r="G483" s="55">
        <f>ROUND(SUM(G481:G482),0)</f>
        <v>47819</v>
      </c>
    </row>
    <row r="484" spans="1:7">
      <c r="A484" s="400" t="s">
        <v>496</v>
      </c>
      <c r="B484" s="400" t="s">
        <v>496</v>
      </c>
      <c r="C484" s="400" t="s">
        <v>496</v>
      </c>
      <c r="D484" s="400" t="s">
        <v>496</v>
      </c>
      <c r="E484" s="401" t="s">
        <v>496</v>
      </c>
      <c r="F484" s="400" t="s">
        <v>496</v>
      </c>
      <c r="G484" s="401" t="s">
        <v>496</v>
      </c>
    </row>
    <row r="485" spans="1:7">
      <c r="A485" s="3" t="s">
        <v>496</v>
      </c>
      <c r="B485" s="3" t="s">
        <v>509</v>
      </c>
      <c r="C485" s="3" t="s">
        <v>510</v>
      </c>
      <c r="D485" s="3" t="s">
        <v>478</v>
      </c>
      <c r="E485" s="262">
        <f>ROUND('MANO DE OBRA'!$E$12,0)</f>
        <v>177075</v>
      </c>
      <c r="F485" s="6">
        <v>0.06</v>
      </c>
      <c r="G485" s="35">
        <f>ROUND(E485*F485,0)</f>
        <v>10625</v>
      </c>
    </row>
    <row r="486" spans="1:7">
      <c r="A486" s="3" t="s">
        <v>496</v>
      </c>
      <c r="B486" s="3" t="s">
        <v>501</v>
      </c>
      <c r="C486" s="3" t="s">
        <v>502</v>
      </c>
      <c r="D486" s="3" t="s">
        <v>478</v>
      </c>
      <c r="E486" s="262">
        <f>ROUND('MANO DE OBRA'!$E$11,0)</f>
        <v>107973</v>
      </c>
      <c r="F486" s="6">
        <v>0.06</v>
      </c>
      <c r="G486" s="35">
        <f>ROUND(E486*F486,0)</f>
        <v>6478</v>
      </c>
    </row>
    <row r="487" spans="1:7" ht="12.75" thickBot="1">
      <c r="A487" s="402" t="s">
        <v>503</v>
      </c>
      <c r="B487" s="402" t="s">
        <v>503</v>
      </c>
      <c r="C487" s="402" t="s">
        <v>503</v>
      </c>
      <c r="D487" s="402" t="s">
        <v>503</v>
      </c>
      <c r="E487" s="403" t="s">
        <v>503</v>
      </c>
      <c r="F487" s="402" t="s">
        <v>503</v>
      </c>
      <c r="G487" s="55">
        <f>ROUND(SUM(G485:G486),0)</f>
        <v>17103</v>
      </c>
    </row>
    <row r="488" spans="1:7" ht="12.75" thickBot="1">
      <c r="A488" s="404" t="s">
        <v>60</v>
      </c>
      <c r="B488" s="405" t="s">
        <v>504</v>
      </c>
      <c r="C488" s="405" t="s">
        <v>504</v>
      </c>
      <c r="D488" s="405" t="s">
        <v>504</v>
      </c>
      <c r="E488" s="406" t="s">
        <v>504</v>
      </c>
      <c r="F488" s="8"/>
      <c r="G488" s="56">
        <f>ROUND(SUM(G479,G483,G487),0)</f>
        <v>65777</v>
      </c>
    </row>
    <row r="489" spans="1:7">
      <c r="A489" s="1"/>
      <c r="B489" s="1"/>
      <c r="C489" s="1"/>
      <c r="D489" s="1"/>
      <c r="E489" s="52"/>
      <c r="F489" s="1"/>
      <c r="G489" s="52"/>
    </row>
    <row r="490" spans="1:7" ht="42" customHeight="1">
      <c r="A490" s="5" t="s">
        <v>341</v>
      </c>
      <c r="B490" s="5" t="s">
        <v>128</v>
      </c>
      <c r="C490" s="407" t="s">
        <v>129</v>
      </c>
      <c r="D490" s="407"/>
      <c r="E490" s="408"/>
      <c r="F490" s="407"/>
      <c r="G490" s="53" t="s">
        <v>68</v>
      </c>
    </row>
    <row r="491" spans="1:7">
      <c r="A491" s="2" t="s">
        <v>470</v>
      </c>
      <c r="B491" s="2" t="s">
        <v>471</v>
      </c>
      <c r="C491" s="2" t="s">
        <v>4</v>
      </c>
      <c r="D491" s="2" t="s">
        <v>58</v>
      </c>
      <c r="E491" s="54" t="s">
        <v>472</v>
      </c>
      <c r="F491" s="2" t="s">
        <v>473</v>
      </c>
      <c r="G491" s="54" t="s">
        <v>264</v>
      </c>
    </row>
    <row r="492" spans="1:7">
      <c r="A492" s="400" t="s">
        <v>474</v>
      </c>
      <c r="B492" s="400" t="s">
        <v>474</v>
      </c>
      <c r="C492" s="400" t="s">
        <v>474</v>
      </c>
      <c r="D492" s="400" t="s">
        <v>474</v>
      </c>
      <c r="E492" s="401" t="s">
        <v>474</v>
      </c>
      <c r="F492" s="400" t="s">
        <v>474</v>
      </c>
      <c r="G492" s="401" t="s">
        <v>474</v>
      </c>
    </row>
    <row r="493" spans="1:7">
      <c r="A493" s="3" t="s">
        <v>475</v>
      </c>
      <c r="B493" s="3" t="s">
        <v>479</v>
      </c>
      <c r="C493" s="3" t="s">
        <v>480</v>
      </c>
      <c r="D493" s="3" t="s">
        <v>481</v>
      </c>
      <c r="E493" s="262">
        <f>ROUND($G$507,0)</f>
        <v>22804</v>
      </c>
      <c r="F493" s="7">
        <v>0.05</v>
      </c>
      <c r="G493" s="35">
        <f>ROUND(E493*F493,0)</f>
        <v>1140</v>
      </c>
    </row>
    <row r="494" spans="1:7">
      <c r="A494" s="402" t="s">
        <v>482</v>
      </c>
      <c r="B494" s="402" t="s">
        <v>482</v>
      </c>
      <c r="C494" s="402" t="s">
        <v>482</v>
      </c>
      <c r="D494" s="402" t="s">
        <v>482</v>
      </c>
      <c r="E494" s="403" t="s">
        <v>482</v>
      </c>
      <c r="F494" s="402" t="s">
        <v>482</v>
      </c>
      <c r="G494" s="55">
        <f>ROUND(SUM(G493:G493),0)</f>
        <v>1140</v>
      </c>
    </row>
    <row r="495" spans="1:7">
      <c r="A495" s="400" t="s">
        <v>483</v>
      </c>
      <c r="B495" s="400" t="s">
        <v>483</v>
      </c>
      <c r="C495" s="400" t="s">
        <v>483</v>
      </c>
      <c r="D495" s="400" t="s">
        <v>483</v>
      </c>
      <c r="E495" s="401" t="s">
        <v>483</v>
      </c>
      <c r="F495" s="400" t="s">
        <v>483</v>
      </c>
      <c r="G495" s="401" t="s">
        <v>483</v>
      </c>
    </row>
    <row r="496" spans="1:7">
      <c r="A496" s="3" t="s">
        <v>484</v>
      </c>
      <c r="B496" s="3" t="s">
        <v>518</v>
      </c>
      <c r="C496" s="3" t="s">
        <v>519</v>
      </c>
      <c r="D496" s="3" t="s">
        <v>72</v>
      </c>
      <c r="E496" s="262">
        <f>ROUND(APA!$G$137,0)</f>
        <v>860966</v>
      </c>
      <c r="F496" s="6">
        <v>0.02</v>
      </c>
      <c r="G496" s="35">
        <f t="shared" ref="G496:G502" si="12">ROUND(E496*F496,0)</f>
        <v>17219</v>
      </c>
    </row>
    <row r="497" spans="1:7" ht="24">
      <c r="A497" s="3" t="s">
        <v>484</v>
      </c>
      <c r="B497" s="3" t="s">
        <v>520</v>
      </c>
      <c r="C497" s="3" t="s">
        <v>521</v>
      </c>
      <c r="D497" s="3" t="s">
        <v>522</v>
      </c>
      <c r="E497" s="262">
        <f>ROUND(INSUMOS!$E$17,0)</f>
        <v>25783</v>
      </c>
      <c r="F497" s="6">
        <v>0.15</v>
      </c>
      <c r="G497" s="35">
        <f t="shared" si="12"/>
        <v>3867</v>
      </c>
    </row>
    <row r="498" spans="1:7">
      <c r="A498" s="3" t="s">
        <v>484</v>
      </c>
      <c r="B498" s="3" t="s">
        <v>523</v>
      </c>
      <c r="C498" s="3" t="s">
        <v>524</v>
      </c>
      <c r="D498" s="3" t="s">
        <v>492</v>
      </c>
      <c r="E498" s="262">
        <f>ROUND(INSUMOS!$E$18,0)</f>
        <v>6248</v>
      </c>
      <c r="F498" s="6">
        <v>0.02</v>
      </c>
      <c r="G498" s="35">
        <f t="shared" si="12"/>
        <v>125</v>
      </c>
    </row>
    <row r="499" spans="1:7">
      <c r="A499" s="3" t="s">
        <v>484</v>
      </c>
      <c r="B499" s="3" t="s">
        <v>530</v>
      </c>
      <c r="C499" s="3" t="s">
        <v>531</v>
      </c>
      <c r="D499" s="3" t="s">
        <v>68</v>
      </c>
      <c r="E499" s="262">
        <f>ROUND(INSUMOS!$E$21,0)</f>
        <v>9917</v>
      </c>
      <c r="F499" s="6">
        <v>0.4</v>
      </c>
      <c r="G499" s="35">
        <f t="shared" si="12"/>
        <v>3967</v>
      </c>
    </row>
    <row r="500" spans="1:7">
      <c r="A500" s="3" t="s">
        <v>484</v>
      </c>
      <c r="B500" s="3" t="s">
        <v>532</v>
      </c>
      <c r="C500" s="3" t="s">
        <v>533</v>
      </c>
      <c r="D500" s="3" t="s">
        <v>68</v>
      </c>
      <c r="E500" s="262">
        <f>ROUND(INSUMOS!$E$22,0)</f>
        <v>2643</v>
      </c>
      <c r="F500" s="6">
        <v>0.3</v>
      </c>
      <c r="G500" s="35">
        <f t="shared" si="12"/>
        <v>793</v>
      </c>
    </row>
    <row r="501" spans="1:7">
      <c r="A501" s="3" t="s">
        <v>484</v>
      </c>
      <c r="B501" s="3" t="s">
        <v>557</v>
      </c>
      <c r="C501" s="3" t="s">
        <v>558</v>
      </c>
      <c r="D501" s="3" t="s">
        <v>68</v>
      </c>
      <c r="E501" s="262">
        <f>ROUND(INSUMOS!$E$32,0)</f>
        <v>10591</v>
      </c>
      <c r="F501" s="6">
        <v>2.1</v>
      </c>
      <c r="G501" s="35">
        <f t="shared" si="12"/>
        <v>22241</v>
      </c>
    </row>
    <row r="502" spans="1:7">
      <c r="A502" s="3" t="s">
        <v>484</v>
      </c>
      <c r="B502" s="3" t="s">
        <v>544</v>
      </c>
      <c r="C502" s="3" t="s">
        <v>545</v>
      </c>
      <c r="D502" s="3" t="s">
        <v>120</v>
      </c>
      <c r="E502" s="262">
        <f>ROUND(INSUMOS!$E$27,0)</f>
        <v>7522</v>
      </c>
      <c r="F502" s="6">
        <v>3.0000000000000004</v>
      </c>
      <c r="G502" s="35">
        <f t="shared" si="12"/>
        <v>22566</v>
      </c>
    </row>
    <row r="503" spans="1:7">
      <c r="A503" s="402" t="s">
        <v>495</v>
      </c>
      <c r="B503" s="402" t="s">
        <v>495</v>
      </c>
      <c r="C503" s="402" t="s">
        <v>495</v>
      </c>
      <c r="D503" s="402" t="s">
        <v>495</v>
      </c>
      <c r="E503" s="403" t="s">
        <v>495</v>
      </c>
      <c r="F503" s="402" t="s">
        <v>495</v>
      </c>
      <c r="G503" s="55">
        <f>ROUND(SUM(G496:G502),0)</f>
        <v>70778</v>
      </c>
    </row>
    <row r="504" spans="1:7">
      <c r="A504" s="400" t="s">
        <v>496</v>
      </c>
      <c r="B504" s="400" t="s">
        <v>496</v>
      </c>
      <c r="C504" s="400" t="s">
        <v>496</v>
      </c>
      <c r="D504" s="400" t="s">
        <v>496</v>
      </c>
      <c r="E504" s="401" t="s">
        <v>496</v>
      </c>
      <c r="F504" s="400" t="s">
        <v>496</v>
      </c>
      <c r="G504" s="401" t="s">
        <v>496</v>
      </c>
    </row>
    <row r="505" spans="1:7">
      <c r="A505" s="3" t="s">
        <v>496</v>
      </c>
      <c r="B505" s="3" t="s">
        <v>509</v>
      </c>
      <c r="C505" s="3" t="s">
        <v>510</v>
      </c>
      <c r="D505" s="3" t="s">
        <v>478</v>
      </c>
      <c r="E505" s="262">
        <f>ROUND('MANO DE OBRA'!$E$12,0)</f>
        <v>177075</v>
      </c>
      <c r="F505" s="6">
        <v>0.08</v>
      </c>
      <c r="G505" s="35">
        <f>ROUND(E505*F505,0)</f>
        <v>14166</v>
      </c>
    </row>
    <row r="506" spans="1:7">
      <c r="A506" s="3" t="s">
        <v>496</v>
      </c>
      <c r="B506" s="3" t="s">
        <v>501</v>
      </c>
      <c r="C506" s="3" t="s">
        <v>502</v>
      </c>
      <c r="D506" s="3" t="s">
        <v>478</v>
      </c>
      <c r="E506" s="262">
        <f>ROUND('MANO DE OBRA'!$E$11,0)</f>
        <v>107973</v>
      </c>
      <c r="F506" s="6">
        <v>0.08</v>
      </c>
      <c r="G506" s="35">
        <f>ROUND(E506*F506,0)</f>
        <v>8638</v>
      </c>
    </row>
    <row r="507" spans="1:7" ht="12.75" thickBot="1">
      <c r="A507" s="402" t="s">
        <v>503</v>
      </c>
      <c r="B507" s="402" t="s">
        <v>503</v>
      </c>
      <c r="C507" s="402" t="s">
        <v>503</v>
      </c>
      <c r="D507" s="402" t="s">
        <v>503</v>
      </c>
      <c r="E507" s="403" t="s">
        <v>503</v>
      </c>
      <c r="F507" s="402" t="s">
        <v>503</v>
      </c>
      <c r="G507" s="55">
        <f>ROUND(SUM(G505:G506),0)</f>
        <v>22804</v>
      </c>
    </row>
    <row r="508" spans="1:7" ht="12.75" thickBot="1">
      <c r="A508" s="404" t="s">
        <v>60</v>
      </c>
      <c r="B508" s="405" t="s">
        <v>504</v>
      </c>
      <c r="C508" s="405" t="s">
        <v>504</v>
      </c>
      <c r="D508" s="405" t="s">
        <v>504</v>
      </c>
      <c r="E508" s="406" t="s">
        <v>504</v>
      </c>
      <c r="F508" s="8"/>
      <c r="G508" s="56">
        <f>ROUND(SUM(G494,G503,G507),0)</f>
        <v>94722</v>
      </c>
    </row>
    <row r="509" spans="1:7">
      <c r="A509" s="1"/>
      <c r="B509" s="1"/>
      <c r="C509" s="1"/>
      <c r="D509" s="1"/>
      <c r="E509" s="52"/>
      <c r="F509" s="1"/>
      <c r="G509" s="52"/>
    </row>
    <row r="510" spans="1:7" ht="42" customHeight="1">
      <c r="A510" s="5" t="s">
        <v>343</v>
      </c>
      <c r="B510" s="5" t="s">
        <v>130</v>
      </c>
      <c r="C510" s="407" t="s">
        <v>131</v>
      </c>
      <c r="D510" s="407"/>
      <c r="E510" s="408"/>
      <c r="F510" s="407"/>
      <c r="G510" s="53" t="s">
        <v>65</v>
      </c>
    </row>
    <row r="511" spans="1:7">
      <c r="A511" s="2" t="s">
        <v>470</v>
      </c>
      <c r="B511" s="2" t="s">
        <v>471</v>
      </c>
      <c r="C511" s="2" t="s">
        <v>4</v>
      </c>
      <c r="D511" s="2" t="s">
        <v>58</v>
      </c>
      <c r="E511" s="54" t="s">
        <v>472</v>
      </c>
      <c r="F511" s="2" t="s">
        <v>473</v>
      </c>
      <c r="G511" s="54" t="s">
        <v>264</v>
      </c>
    </row>
    <row r="512" spans="1:7">
      <c r="A512" s="400" t="s">
        <v>474</v>
      </c>
      <c r="B512" s="400" t="s">
        <v>474</v>
      </c>
      <c r="C512" s="400" t="s">
        <v>474</v>
      </c>
      <c r="D512" s="400" t="s">
        <v>474</v>
      </c>
      <c r="E512" s="401" t="s">
        <v>474</v>
      </c>
      <c r="F512" s="400" t="s">
        <v>474</v>
      </c>
      <c r="G512" s="401" t="s">
        <v>474</v>
      </c>
    </row>
    <row r="513" spans="1:7">
      <c r="A513" s="3" t="s">
        <v>475</v>
      </c>
      <c r="B513" s="3" t="s">
        <v>479</v>
      </c>
      <c r="C513" s="3" t="s">
        <v>480</v>
      </c>
      <c r="D513" s="3" t="s">
        <v>481</v>
      </c>
      <c r="E513" s="262">
        <f>ROUND($G$522,0)</f>
        <v>28505</v>
      </c>
      <c r="F513" s="7">
        <v>0.05</v>
      </c>
      <c r="G513" s="35">
        <f>ROUND(E513*F513,0)</f>
        <v>1425</v>
      </c>
    </row>
    <row r="514" spans="1:7">
      <c r="A514" s="402" t="s">
        <v>482</v>
      </c>
      <c r="B514" s="402" t="s">
        <v>482</v>
      </c>
      <c r="C514" s="402" t="s">
        <v>482</v>
      </c>
      <c r="D514" s="402" t="s">
        <v>482</v>
      </c>
      <c r="E514" s="403" t="s">
        <v>482</v>
      </c>
      <c r="F514" s="402" t="s">
        <v>482</v>
      </c>
      <c r="G514" s="55">
        <f>ROUND(SUM(G513:G513),0)</f>
        <v>1425</v>
      </c>
    </row>
    <row r="515" spans="1:7">
      <c r="A515" s="400" t="s">
        <v>483</v>
      </c>
      <c r="B515" s="400" t="s">
        <v>483</v>
      </c>
      <c r="C515" s="400" t="s">
        <v>483</v>
      </c>
      <c r="D515" s="400" t="s">
        <v>483</v>
      </c>
      <c r="E515" s="401" t="s">
        <v>483</v>
      </c>
      <c r="F515" s="400" t="s">
        <v>483</v>
      </c>
      <c r="G515" s="401" t="s">
        <v>483</v>
      </c>
    </row>
    <row r="516" spans="1:7">
      <c r="A516" s="3" t="s">
        <v>484</v>
      </c>
      <c r="B516" s="3" t="s">
        <v>559</v>
      </c>
      <c r="C516" s="3" t="s">
        <v>560</v>
      </c>
      <c r="D516" s="3" t="s">
        <v>72</v>
      </c>
      <c r="E516" s="262">
        <f>ROUND(APA!$G$47,0)</f>
        <v>863726</v>
      </c>
      <c r="F516" s="6">
        <v>8.2000000000000007E-3</v>
      </c>
      <c r="G516" s="35">
        <f>ROUND(E516*F516,0)</f>
        <v>7083</v>
      </c>
    </row>
    <row r="517" spans="1:7">
      <c r="A517" s="3" t="s">
        <v>484</v>
      </c>
      <c r="B517" s="3" t="s">
        <v>561</v>
      </c>
      <c r="C517" s="3" t="s">
        <v>562</v>
      </c>
      <c r="D517" s="3" t="s">
        <v>103</v>
      </c>
      <c r="E517" s="262">
        <f>ROUND(INSUMOS!$E$33,0)</f>
        <v>4165</v>
      </c>
      <c r="F517" s="6">
        <v>21</v>
      </c>
      <c r="G517" s="35">
        <f>ROUND(E517*F517,0)</f>
        <v>87465</v>
      </c>
    </row>
    <row r="518" spans="1:7">
      <c r="A518" s="402" t="s">
        <v>495</v>
      </c>
      <c r="B518" s="402" t="s">
        <v>495</v>
      </c>
      <c r="C518" s="402" t="s">
        <v>495</v>
      </c>
      <c r="D518" s="402" t="s">
        <v>495</v>
      </c>
      <c r="E518" s="403" t="s">
        <v>495</v>
      </c>
      <c r="F518" s="402" t="s">
        <v>495</v>
      </c>
      <c r="G518" s="55">
        <f>ROUND(SUM(G516:G517),0)</f>
        <v>94548</v>
      </c>
    </row>
    <row r="519" spans="1:7">
      <c r="A519" s="400" t="s">
        <v>496</v>
      </c>
      <c r="B519" s="400" t="s">
        <v>496</v>
      </c>
      <c r="C519" s="400" t="s">
        <v>496</v>
      </c>
      <c r="D519" s="400" t="s">
        <v>496</v>
      </c>
      <c r="E519" s="401" t="s">
        <v>496</v>
      </c>
      <c r="F519" s="400" t="s">
        <v>496</v>
      </c>
      <c r="G519" s="401" t="s">
        <v>496</v>
      </c>
    </row>
    <row r="520" spans="1:7">
      <c r="A520" s="3" t="s">
        <v>496</v>
      </c>
      <c r="B520" s="3" t="s">
        <v>509</v>
      </c>
      <c r="C520" s="3" t="s">
        <v>510</v>
      </c>
      <c r="D520" s="3" t="s">
        <v>478</v>
      </c>
      <c r="E520" s="262">
        <f>ROUND('MANO DE OBRA'!$E$12,0)</f>
        <v>177075</v>
      </c>
      <c r="F520" s="6">
        <v>0.1</v>
      </c>
      <c r="G520" s="35">
        <f>ROUND(E520*F520,0)</f>
        <v>17708</v>
      </c>
    </row>
    <row r="521" spans="1:7">
      <c r="A521" s="3" t="s">
        <v>496</v>
      </c>
      <c r="B521" s="3" t="s">
        <v>501</v>
      </c>
      <c r="C521" s="3" t="s">
        <v>502</v>
      </c>
      <c r="D521" s="3" t="s">
        <v>478</v>
      </c>
      <c r="E521" s="262">
        <f>ROUND('MANO DE OBRA'!$E$11,0)</f>
        <v>107973</v>
      </c>
      <c r="F521" s="6">
        <v>0.1</v>
      </c>
      <c r="G521" s="35">
        <f>ROUND(E521*F521,0)</f>
        <v>10797</v>
      </c>
    </row>
    <row r="522" spans="1:7" ht="12.75" thickBot="1">
      <c r="A522" s="402" t="s">
        <v>503</v>
      </c>
      <c r="B522" s="402" t="s">
        <v>503</v>
      </c>
      <c r="C522" s="402" t="s">
        <v>503</v>
      </c>
      <c r="D522" s="402" t="s">
        <v>503</v>
      </c>
      <c r="E522" s="403" t="s">
        <v>503</v>
      </c>
      <c r="F522" s="402" t="s">
        <v>503</v>
      </c>
      <c r="G522" s="55">
        <f>ROUND(SUM(G520:G521),0)</f>
        <v>28505</v>
      </c>
    </row>
    <row r="523" spans="1:7" ht="12.75" thickBot="1">
      <c r="A523" s="404" t="s">
        <v>60</v>
      </c>
      <c r="B523" s="405" t="s">
        <v>504</v>
      </c>
      <c r="C523" s="405" t="s">
        <v>504</v>
      </c>
      <c r="D523" s="405" t="s">
        <v>504</v>
      </c>
      <c r="E523" s="406" t="s">
        <v>504</v>
      </c>
      <c r="F523" s="8"/>
      <c r="G523" s="56">
        <f>ROUND(SUM(G514,G518,G522),0)</f>
        <v>124478</v>
      </c>
    </row>
    <row r="524" spans="1:7">
      <c r="A524" s="1"/>
      <c r="B524" s="1"/>
      <c r="C524" s="1"/>
      <c r="D524" s="1"/>
      <c r="E524" s="52"/>
      <c r="F524" s="1"/>
      <c r="G524" s="52"/>
    </row>
    <row r="525" spans="1:7" ht="42" customHeight="1">
      <c r="A525" s="5" t="s">
        <v>344</v>
      </c>
      <c r="B525" s="5" t="s">
        <v>132</v>
      </c>
      <c r="C525" s="407" t="s">
        <v>133</v>
      </c>
      <c r="D525" s="407"/>
      <c r="E525" s="408"/>
      <c r="F525" s="407"/>
      <c r="G525" s="53" t="s">
        <v>65</v>
      </c>
    </row>
    <row r="526" spans="1:7">
      <c r="A526" s="2" t="s">
        <v>470</v>
      </c>
      <c r="B526" s="2" t="s">
        <v>471</v>
      </c>
      <c r="C526" s="2" t="s">
        <v>4</v>
      </c>
      <c r="D526" s="2" t="s">
        <v>58</v>
      </c>
      <c r="E526" s="54" t="s">
        <v>472</v>
      </c>
      <c r="F526" s="2" t="s">
        <v>473</v>
      </c>
      <c r="G526" s="54" t="s">
        <v>264</v>
      </c>
    </row>
    <row r="527" spans="1:7">
      <c r="A527" s="400" t="s">
        <v>474</v>
      </c>
      <c r="B527" s="400" t="s">
        <v>474</v>
      </c>
      <c r="C527" s="400" t="s">
        <v>474</v>
      </c>
      <c r="D527" s="400" t="s">
        <v>474</v>
      </c>
      <c r="E527" s="401" t="s">
        <v>474</v>
      </c>
      <c r="F527" s="400" t="s">
        <v>474</v>
      </c>
      <c r="G527" s="401" t="s">
        <v>474</v>
      </c>
    </row>
    <row r="528" spans="1:7">
      <c r="A528" s="3" t="s">
        <v>475</v>
      </c>
      <c r="B528" s="3" t="s">
        <v>479</v>
      </c>
      <c r="C528" s="3" t="s">
        <v>480</v>
      </c>
      <c r="D528" s="3" t="s">
        <v>481</v>
      </c>
      <c r="E528" s="262">
        <f>ROUND($G$536,0)</f>
        <v>19953</v>
      </c>
      <c r="F528" s="7">
        <v>0.05</v>
      </c>
      <c r="G528" s="35">
        <f>ROUND(E528*F528,0)</f>
        <v>998</v>
      </c>
    </row>
    <row r="529" spans="1:7">
      <c r="A529" s="402" t="s">
        <v>482</v>
      </c>
      <c r="B529" s="402" t="s">
        <v>482</v>
      </c>
      <c r="C529" s="402" t="s">
        <v>482</v>
      </c>
      <c r="D529" s="402" t="s">
        <v>482</v>
      </c>
      <c r="E529" s="403" t="s">
        <v>482</v>
      </c>
      <c r="F529" s="402" t="s">
        <v>482</v>
      </c>
      <c r="G529" s="55">
        <f>ROUND(SUM(G528:G528),0)</f>
        <v>998</v>
      </c>
    </row>
    <row r="530" spans="1:7">
      <c r="A530" s="400" t="s">
        <v>483</v>
      </c>
      <c r="B530" s="400" t="s">
        <v>483</v>
      </c>
      <c r="C530" s="400" t="s">
        <v>483</v>
      </c>
      <c r="D530" s="400" t="s">
        <v>483</v>
      </c>
      <c r="E530" s="401" t="s">
        <v>483</v>
      </c>
      <c r="F530" s="400" t="s">
        <v>483</v>
      </c>
      <c r="G530" s="401" t="s">
        <v>483</v>
      </c>
    </row>
    <row r="531" spans="1:7">
      <c r="A531" s="3" t="s">
        <v>484</v>
      </c>
      <c r="B531" s="3" t="s">
        <v>553</v>
      </c>
      <c r="C531" s="3" t="s">
        <v>554</v>
      </c>
      <c r="D531" s="3" t="s">
        <v>72</v>
      </c>
      <c r="E531" s="262">
        <f>ROUND(APA!$G$68,0)</f>
        <v>861540</v>
      </c>
      <c r="F531" s="6">
        <v>2.1000000000000001E-2</v>
      </c>
      <c r="G531" s="35">
        <f>ROUND(E531*F531,0)</f>
        <v>18092</v>
      </c>
    </row>
    <row r="532" spans="1:7">
      <c r="A532" s="402" t="s">
        <v>495</v>
      </c>
      <c r="B532" s="402" t="s">
        <v>495</v>
      </c>
      <c r="C532" s="402" t="s">
        <v>495</v>
      </c>
      <c r="D532" s="402" t="s">
        <v>495</v>
      </c>
      <c r="E532" s="403" t="s">
        <v>495</v>
      </c>
      <c r="F532" s="402" t="s">
        <v>495</v>
      </c>
      <c r="G532" s="55">
        <f>ROUND(SUM(G531:G531),0)</f>
        <v>18092</v>
      </c>
    </row>
    <row r="533" spans="1:7">
      <c r="A533" s="400" t="s">
        <v>496</v>
      </c>
      <c r="B533" s="400" t="s">
        <v>496</v>
      </c>
      <c r="C533" s="400" t="s">
        <v>496</v>
      </c>
      <c r="D533" s="400" t="s">
        <v>496</v>
      </c>
      <c r="E533" s="401" t="s">
        <v>496</v>
      </c>
      <c r="F533" s="400" t="s">
        <v>496</v>
      </c>
      <c r="G533" s="401" t="s">
        <v>496</v>
      </c>
    </row>
    <row r="534" spans="1:7">
      <c r="A534" s="3" t="s">
        <v>496</v>
      </c>
      <c r="B534" s="3" t="s">
        <v>509</v>
      </c>
      <c r="C534" s="3" t="s">
        <v>510</v>
      </c>
      <c r="D534" s="3" t="s">
        <v>478</v>
      </c>
      <c r="E534" s="262">
        <f>ROUND('MANO DE OBRA'!$E$12,0)</f>
        <v>177075</v>
      </c>
      <c r="F534" s="6">
        <v>7.0000000000000007E-2</v>
      </c>
      <c r="G534" s="35">
        <f>ROUND(E534*F534,0)</f>
        <v>12395</v>
      </c>
    </row>
    <row r="535" spans="1:7">
      <c r="A535" s="3" t="s">
        <v>496</v>
      </c>
      <c r="B535" s="3" t="s">
        <v>501</v>
      </c>
      <c r="C535" s="3" t="s">
        <v>502</v>
      </c>
      <c r="D535" s="3" t="s">
        <v>478</v>
      </c>
      <c r="E535" s="262">
        <f>ROUND('MANO DE OBRA'!$E$11,0)</f>
        <v>107973</v>
      </c>
      <c r="F535" s="6">
        <v>7.0000000000000007E-2</v>
      </c>
      <c r="G535" s="35">
        <f>ROUND(E535*F535,0)</f>
        <v>7558</v>
      </c>
    </row>
    <row r="536" spans="1:7" ht="12.75" thickBot="1">
      <c r="A536" s="402" t="s">
        <v>503</v>
      </c>
      <c r="B536" s="402" t="s">
        <v>503</v>
      </c>
      <c r="C536" s="402" t="s">
        <v>503</v>
      </c>
      <c r="D536" s="402" t="s">
        <v>503</v>
      </c>
      <c r="E536" s="403" t="s">
        <v>503</v>
      </c>
      <c r="F536" s="402" t="s">
        <v>503</v>
      </c>
      <c r="G536" s="55">
        <f>ROUND(SUM(G534:G535),0)</f>
        <v>19953</v>
      </c>
    </row>
    <row r="537" spans="1:7" ht="12.75" thickBot="1">
      <c r="A537" s="404" t="s">
        <v>60</v>
      </c>
      <c r="B537" s="405" t="s">
        <v>504</v>
      </c>
      <c r="C537" s="405" t="s">
        <v>504</v>
      </c>
      <c r="D537" s="405" t="s">
        <v>504</v>
      </c>
      <c r="E537" s="406" t="s">
        <v>504</v>
      </c>
      <c r="F537" s="8"/>
      <c r="G537" s="56">
        <f>ROUND(SUM(G529,G532,G536),0)</f>
        <v>39043</v>
      </c>
    </row>
    <row r="538" spans="1:7">
      <c r="A538" s="1"/>
      <c r="B538" s="1"/>
      <c r="C538" s="1"/>
      <c r="D538" s="1"/>
      <c r="E538" s="52"/>
      <c r="F538" s="1"/>
      <c r="G538" s="52"/>
    </row>
    <row r="539" spans="1:7" ht="42" customHeight="1">
      <c r="A539" s="5" t="s">
        <v>346</v>
      </c>
      <c r="B539" s="5" t="s">
        <v>35</v>
      </c>
      <c r="C539" s="407" t="s">
        <v>135</v>
      </c>
      <c r="D539" s="407"/>
      <c r="E539" s="408"/>
      <c r="F539" s="407"/>
      <c r="G539" s="53" t="s">
        <v>120</v>
      </c>
    </row>
    <row r="540" spans="1:7">
      <c r="A540" s="2" t="s">
        <v>470</v>
      </c>
      <c r="B540" s="2" t="s">
        <v>471</v>
      </c>
      <c r="C540" s="2" t="s">
        <v>4</v>
      </c>
      <c r="D540" s="2" t="s">
        <v>58</v>
      </c>
      <c r="E540" s="54" t="s">
        <v>472</v>
      </c>
      <c r="F540" s="2" t="s">
        <v>473</v>
      </c>
      <c r="G540" s="54" t="s">
        <v>264</v>
      </c>
    </row>
    <row r="541" spans="1:7">
      <c r="A541" s="400" t="s">
        <v>474</v>
      </c>
      <c r="B541" s="400" t="s">
        <v>474</v>
      </c>
      <c r="C541" s="400" t="s">
        <v>474</v>
      </c>
      <c r="D541" s="400" t="s">
        <v>474</v>
      </c>
      <c r="E541" s="401" t="s">
        <v>474</v>
      </c>
      <c r="F541" s="400" t="s">
        <v>474</v>
      </c>
      <c r="G541" s="401" t="s">
        <v>474</v>
      </c>
    </row>
    <row r="542" spans="1:7">
      <c r="A542" s="3" t="s">
        <v>475</v>
      </c>
      <c r="B542" s="3" t="s">
        <v>563</v>
      </c>
      <c r="C542" s="3" t="s">
        <v>564</v>
      </c>
      <c r="D542" s="3" t="s">
        <v>478</v>
      </c>
      <c r="E542" s="262">
        <f>ROUND(EQUIPOS!$E$11,0)</f>
        <v>57120</v>
      </c>
      <c r="F542" s="6">
        <v>0.02</v>
      </c>
      <c r="G542" s="35">
        <f>ROUND(E542*F542,0)</f>
        <v>1142</v>
      </c>
    </row>
    <row r="543" spans="1:7">
      <c r="A543" s="3" t="s">
        <v>475</v>
      </c>
      <c r="B543" s="3" t="s">
        <v>479</v>
      </c>
      <c r="C543" s="3" t="s">
        <v>480</v>
      </c>
      <c r="D543" s="3" t="s">
        <v>481</v>
      </c>
      <c r="E543" s="262">
        <f>ROUND($G$555,0)</f>
        <v>5701</v>
      </c>
      <c r="F543" s="7">
        <v>0.05</v>
      </c>
      <c r="G543" s="35">
        <f>ROUND(E543*F543,0)</f>
        <v>285</v>
      </c>
    </row>
    <row r="544" spans="1:7">
      <c r="A544" s="402" t="s">
        <v>482</v>
      </c>
      <c r="B544" s="402" t="s">
        <v>482</v>
      </c>
      <c r="C544" s="402" t="s">
        <v>482</v>
      </c>
      <c r="D544" s="402" t="s">
        <v>482</v>
      </c>
      <c r="E544" s="403" t="s">
        <v>482</v>
      </c>
      <c r="F544" s="402" t="s">
        <v>482</v>
      </c>
      <c r="G544" s="55">
        <f>ROUND(SUM(G542:G543),0)</f>
        <v>1427</v>
      </c>
    </row>
    <row r="545" spans="1:7">
      <c r="A545" s="400" t="s">
        <v>483</v>
      </c>
      <c r="B545" s="400" t="s">
        <v>483</v>
      </c>
      <c r="C545" s="400" t="s">
        <v>483</v>
      </c>
      <c r="D545" s="400" t="s">
        <v>483</v>
      </c>
      <c r="E545" s="401" t="s">
        <v>483</v>
      </c>
      <c r="F545" s="400" t="s">
        <v>483</v>
      </c>
      <c r="G545" s="401" t="s">
        <v>483</v>
      </c>
    </row>
    <row r="546" spans="1:7">
      <c r="A546" s="3" t="s">
        <v>484</v>
      </c>
      <c r="B546" s="3" t="s">
        <v>565</v>
      </c>
      <c r="C546" s="3" t="s">
        <v>566</v>
      </c>
      <c r="D546" s="3" t="s">
        <v>120</v>
      </c>
      <c r="E546" s="262">
        <f>ROUND(INSUMOS!$E$111,0)</f>
        <v>11305</v>
      </c>
      <c r="F546" s="6">
        <v>1</v>
      </c>
      <c r="G546" s="35">
        <f>ROUND(E546*F546,0)</f>
        <v>11305</v>
      </c>
    </row>
    <row r="547" spans="1:7">
      <c r="A547" s="3" t="s">
        <v>484</v>
      </c>
      <c r="B547" s="3" t="s">
        <v>567</v>
      </c>
      <c r="C547" s="3" t="s">
        <v>568</v>
      </c>
      <c r="D547" s="3" t="s">
        <v>120</v>
      </c>
      <c r="E547" s="262">
        <f>ROUND(INSUMOS!$E$35,0)</f>
        <v>14732</v>
      </c>
      <c r="F547" s="6">
        <v>0.1</v>
      </c>
      <c r="G547" s="35">
        <f>ROUND(E547*F547,0)</f>
        <v>1473</v>
      </c>
    </row>
    <row r="548" spans="1:7">
      <c r="A548" s="3" t="s">
        <v>484</v>
      </c>
      <c r="B548" s="3" t="s">
        <v>569</v>
      </c>
      <c r="C548" s="3" t="s">
        <v>29</v>
      </c>
      <c r="D548" s="3" t="s">
        <v>489</v>
      </c>
      <c r="E548" s="262">
        <f>ROUND(INSUMOS!$E$36,0)</f>
        <v>101031</v>
      </c>
      <c r="F548" s="6">
        <v>0.02</v>
      </c>
      <c r="G548" s="35">
        <f>ROUND(E548*F548,0)</f>
        <v>2021</v>
      </c>
    </row>
    <row r="549" spans="1:7">
      <c r="A549" s="3" t="s">
        <v>484</v>
      </c>
      <c r="B549" s="3" t="s">
        <v>570</v>
      </c>
      <c r="C549" s="3" t="s">
        <v>571</v>
      </c>
      <c r="D549" s="3" t="s">
        <v>103</v>
      </c>
      <c r="E549" s="262">
        <f>ROUND(INSUMOS!$E$37,0)</f>
        <v>2261</v>
      </c>
      <c r="F549" s="6">
        <v>0.2</v>
      </c>
      <c r="G549" s="35">
        <f>ROUND(E549*F549,0)</f>
        <v>452</v>
      </c>
    </row>
    <row r="550" spans="1:7">
      <c r="A550" s="3" t="s">
        <v>484</v>
      </c>
      <c r="B550" s="3" t="s">
        <v>572</v>
      </c>
      <c r="C550" s="3" t="s">
        <v>573</v>
      </c>
      <c r="D550" s="3" t="s">
        <v>489</v>
      </c>
      <c r="E550" s="262">
        <f>ROUND(INSUMOS!$E$38,0)</f>
        <v>89131</v>
      </c>
      <c r="F550" s="6">
        <v>0.02</v>
      </c>
      <c r="G550" s="35">
        <f>ROUND(E550*F550,0)</f>
        <v>1783</v>
      </c>
    </row>
    <row r="551" spans="1:7">
      <c r="A551" s="402" t="s">
        <v>495</v>
      </c>
      <c r="B551" s="402" t="s">
        <v>495</v>
      </c>
      <c r="C551" s="402" t="s">
        <v>495</v>
      </c>
      <c r="D551" s="402" t="s">
        <v>495</v>
      </c>
      <c r="E551" s="403" t="s">
        <v>495</v>
      </c>
      <c r="F551" s="402" t="s">
        <v>495</v>
      </c>
      <c r="G551" s="55">
        <f>ROUND(SUM(G546:G550),0)</f>
        <v>17034</v>
      </c>
    </row>
    <row r="552" spans="1:7">
      <c r="A552" s="400" t="s">
        <v>496</v>
      </c>
      <c r="B552" s="400" t="s">
        <v>496</v>
      </c>
      <c r="C552" s="400" t="s">
        <v>496</v>
      </c>
      <c r="D552" s="400" t="s">
        <v>496</v>
      </c>
      <c r="E552" s="401" t="s">
        <v>496</v>
      </c>
      <c r="F552" s="400" t="s">
        <v>496</v>
      </c>
      <c r="G552" s="401" t="s">
        <v>496</v>
      </c>
    </row>
    <row r="553" spans="1:7">
      <c r="A553" s="3" t="s">
        <v>496</v>
      </c>
      <c r="B553" s="3" t="s">
        <v>574</v>
      </c>
      <c r="C553" s="3" t="s">
        <v>575</v>
      </c>
      <c r="D553" s="3" t="s">
        <v>478</v>
      </c>
      <c r="E553" s="262">
        <f>ROUND('MANO DE OBRA'!$E$13,0)</f>
        <v>177075</v>
      </c>
      <c r="F553" s="6">
        <v>0.02</v>
      </c>
      <c r="G553" s="35">
        <f>ROUND(E553*F553,0)</f>
        <v>3542</v>
      </c>
    </row>
    <row r="554" spans="1:7">
      <c r="A554" s="3" t="s">
        <v>496</v>
      </c>
      <c r="B554" s="3" t="s">
        <v>576</v>
      </c>
      <c r="C554" s="3" t="s">
        <v>577</v>
      </c>
      <c r="D554" s="3" t="s">
        <v>478</v>
      </c>
      <c r="E554" s="262">
        <f>ROUND('MANO DE OBRA'!$E$14,0)</f>
        <v>107973</v>
      </c>
      <c r="F554" s="6">
        <v>0.02</v>
      </c>
      <c r="G554" s="35">
        <f>ROUND(E554*F554,0)</f>
        <v>2159</v>
      </c>
    </row>
    <row r="555" spans="1:7" ht="12.75" thickBot="1">
      <c r="A555" s="402" t="s">
        <v>503</v>
      </c>
      <c r="B555" s="402" t="s">
        <v>503</v>
      </c>
      <c r="C555" s="402" t="s">
        <v>503</v>
      </c>
      <c r="D555" s="402" t="s">
        <v>503</v>
      </c>
      <c r="E555" s="403" t="s">
        <v>503</v>
      </c>
      <c r="F555" s="402" t="s">
        <v>503</v>
      </c>
      <c r="G555" s="55">
        <f>ROUND(SUM(G553:G554),0)</f>
        <v>5701</v>
      </c>
    </row>
    <row r="556" spans="1:7" ht="12.75" thickBot="1">
      <c r="A556" s="404" t="s">
        <v>60</v>
      </c>
      <c r="B556" s="405" t="s">
        <v>504</v>
      </c>
      <c r="C556" s="405" t="s">
        <v>504</v>
      </c>
      <c r="D556" s="405" t="s">
        <v>504</v>
      </c>
      <c r="E556" s="406" t="s">
        <v>504</v>
      </c>
      <c r="F556" s="8"/>
      <c r="G556" s="56">
        <f>ROUND(SUM(G544,G551,G555),0)</f>
        <v>24162</v>
      </c>
    </row>
    <row r="557" spans="1:7">
      <c r="A557" s="1"/>
      <c r="B557" s="1"/>
      <c r="C557" s="1"/>
      <c r="D557" s="1"/>
      <c r="E557" s="52"/>
      <c r="F557" s="1"/>
      <c r="G557" s="52"/>
    </row>
    <row r="558" spans="1:7" ht="42" customHeight="1">
      <c r="A558" s="5" t="s">
        <v>350</v>
      </c>
      <c r="B558" s="5" t="s">
        <v>37</v>
      </c>
      <c r="C558" s="407" t="s">
        <v>136</v>
      </c>
      <c r="D558" s="407"/>
      <c r="E558" s="408"/>
      <c r="F558" s="407"/>
      <c r="G558" s="53" t="s">
        <v>68</v>
      </c>
    </row>
    <row r="559" spans="1:7">
      <c r="A559" s="2" t="s">
        <v>470</v>
      </c>
      <c r="B559" s="2" t="s">
        <v>471</v>
      </c>
      <c r="C559" s="2" t="s">
        <v>4</v>
      </c>
      <c r="D559" s="2" t="s">
        <v>58</v>
      </c>
      <c r="E559" s="54" t="s">
        <v>472</v>
      </c>
      <c r="F559" s="2" t="s">
        <v>473</v>
      </c>
      <c r="G559" s="54" t="s">
        <v>264</v>
      </c>
    </row>
    <row r="560" spans="1:7">
      <c r="A560" s="400" t="s">
        <v>474</v>
      </c>
      <c r="B560" s="400" t="s">
        <v>474</v>
      </c>
      <c r="C560" s="400" t="s">
        <v>474</v>
      </c>
      <c r="D560" s="400" t="s">
        <v>474</v>
      </c>
      <c r="E560" s="401" t="s">
        <v>474</v>
      </c>
      <c r="F560" s="400" t="s">
        <v>474</v>
      </c>
      <c r="G560" s="401" t="s">
        <v>474</v>
      </c>
    </row>
    <row r="561" spans="1:7">
      <c r="A561" s="3" t="s">
        <v>475</v>
      </c>
      <c r="B561" s="3" t="s">
        <v>563</v>
      </c>
      <c r="C561" s="3" t="s">
        <v>564</v>
      </c>
      <c r="D561" s="3" t="s">
        <v>478</v>
      </c>
      <c r="E561" s="262">
        <f>ROUND(EQUIPOS!$E$11,0)</f>
        <v>57120</v>
      </c>
      <c r="F561" s="6">
        <v>0.08</v>
      </c>
      <c r="G561" s="35">
        <f>ROUND(E561*F561,0)</f>
        <v>4570</v>
      </c>
    </row>
    <row r="562" spans="1:7">
      <c r="A562" s="3" t="s">
        <v>475</v>
      </c>
      <c r="B562" s="3" t="s">
        <v>578</v>
      </c>
      <c r="C562" s="3" t="s">
        <v>579</v>
      </c>
      <c r="D562" s="3" t="s">
        <v>478</v>
      </c>
      <c r="E562" s="262">
        <f>ROUND(EQUIPOS!$E$12,0)</f>
        <v>35000</v>
      </c>
      <c r="F562" s="6">
        <v>0.08</v>
      </c>
      <c r="G562" s="35">
        <f>ROUND(E562*F562,0)</f>
        <v>2800</v>
      </c>
    </row>
    <row r="563" spans="1:7">
      <c r="A563" s="3" t="s">
        <v>475</v>
      </c>
      <c r="B563" s="3" t="s">
        <v>479</v>
      </c>
      <c r="C563" s="3" t="s">
        <v>480</v>
      </c>
      <c r="D563" s="3" t="s">
        <v>481</v>
      </c>
      <c r="E563" s="262">
        <f>ROUND($G$576,0)</f>
        <v>5701</v>
      </c>
      <c r="F563" s="7">
        <v>0.05</v>
      </c>
      <c r="G563" s="35">
        <f>ROUND(E563*F563,0)</f>
        <v>285</v>
      </c>
    </row>
    <row r="564" spans="1:7">
      <c r="A564" s="402" t="s">
        <v>482</v>
      </c>
      <c r="B564" s="402" t="s">
        <v>482</v>
      </c>
      <c r="C564" s="402" t="s">
        <v>482</v>
      </c>
      <c r="D564" s="402" t="s">
        <v>482</v>
      </c>
      <c r="E564" s="403" t="s">
        <v>482</v>
      </c>
      <c r="F564" s="402" t="s">
        <v>482</v>
      </c>
      <c r="G564" s="55">
        <f>ROUND(SUM(G561:G563),0)</f>
        <v>7655</v>
      </c>
    </row>
    <row r="565" spans="1:7">
      <c r="A565" s="400" t="s">
        <v>483</v>
      </c>
      <c r="B565" s="400" t="s">
        <v>483</v>
      </c>
      <c r="C565" s="400" t="s">
        <v>483</v>
      </c>
      <c r="D565" s="400" t="s">
        <v>483</v>
      </c>
      <c r="E565" s="401" t="s">
        <v>483</v>
      </c>
      <c r="F565" s="400" t="s">
        <v>483</v>
      </c>
      <c r="G565" s="401" t="s">
        <v>483</v>
      </c>
    </row>
    <row r="566" spans="1:7">
      <c r="A566" s="3" t="s">
        <v>484</v>
      </c>
      <c r="B566" s="3" t="s">
        <v>580</v>
      </c>
      <c r="C566" s="3" t="s">
        <v>581</v>
      </c>
      <c r="D566" s="3" t="s">
        <v>68</v>
      </c>
      <c r="E566" s="262">
        <f>ROUND(INSUMOS!$E$39,0)</f>
        <v>29857</v>
      </c>
      <c r="F566" s="6">
        <v>0.4</v>
      </c>
      <c r="G566" s="35">
        <f t="shared" ref="G566:G571" si="13">ROUND(E566*F566,0)</f>
        <v>11943</v>
      </c>
    </row>
    <row r="567" spans="1:7">
      <c r="A567" s="3" t="s">
        <v>484</v>
      </c>
      <c r="B567" s="3" t="s">
        <v>567</v>
      </c>
      <c r="C567" s="3" t="s">
        <v>568</v>
      </c>
      <c r="D567" s="3" t="s">
        <v>120</v>
      </c>
      <c r="E567" s="262">
        <f>ROUND(INSUMOS!$E$35,0)</f>
        <v>14732</v>
      </c>
      <c r="F567" s="6">
        <v>0.08</v>
      </c>
      <c r="G567" s="35">
        <f t="shared" si="13"/>
        <v>1179</v>
      </c>
    </row>
    <row r="568" spans="1:7">
      <c r="A568" s="3" t="s">
        <v>484</v>
      </c>
      <c r="B568" s="3" t="s">
        <v>569</v>
      </c>
      <c r="C568" s="3" t="s">
        <v>29</v>
      </c>
      <c r="D568" s="3" t="s">
        <v>489</v>
      </c>
      <c r="E568" s="262">
        <f>ROUND(INSUMOS!$E$36,0)</f>
        <v>101031</v>
      </c>
      <c r="F568" s="6">
        <v>0.08</v>
      </c>
      <c r="G568" s="35">
        <f t="shared" si="13"/>
        <v>8082</v>
      </c>
    </row>
    <row r="569" spans="1:7">
      <c r="A569" s="3" t="s">
        <v>484</v>
      </c>
      <c r="B569" s="3" t="s">
        <v>570</v>
      </c>
      <c r="C569" s="3" t="s">
        <v>571</v>
      </c>
      <c r="D569" s="3" t="s">
        <v>103</v>
      </c>
      <c r="E569" s="262">
        <f>ROUND(INSUMOS!$E$37,0)</f>
        <v>2261</v>
      </c>
      <c r="F569" s="6">
        <v>0.02</v>
      </c>
      <c r="G569" s="35">
        <f t="shared" si="13"/>
        <v>45</v>
      </c>
    </row>
    <row r="570" spans="1:7">
      <c r="A570" s="3" t="s">
        <v>484</v>
      </c>
      <c r="B570" s="3" t="s">
        <v>572</v>
      </c>
      <c r="C570" s="3" t="s">
        <v>573</v>
      </c>
      <c r="D570" s="3" t="s">
        <v>489</v>
      </c>
      <c r="E570" s="262">
        <f>ROUND(INSUMOS!$E$38,0)</f>
        <v>89131</v>
      </c>
      <c r="F570" s="6">
        <v>0.02</v>
      </c>
      <c r="G570" s="35">
        <f t="shared" si="13"/>
        <v>1783</v>
      </c>
    </row>
    <row r="571" spans="1:7">
      <c r="A571" s="3" t="s">
        <v>484</v>
      </c>
      <c r="B571" s="3" t="s">
        <v>582</v>
      </c>
      <c r="C571" s="3" t="s">
        <v>583</v>
      </c>
      <c r="D571" s="3" t="s">
        <v>68</v>
      </c>
      <c r="E571" s="262">
        <f>ROUND(INSUMOS!$E$40,0)</f>
        <v>8034</v>
      </c>
      <c r="F571" s="6">
        <v>1</v>
      </c>
      <c r="G571" s="35">
        <f t="shared" si="13"/>
        <v>8034</v>
      </c>
    </row>
    <row r="572" spans="1:7">
      <c r="A572" s="402" t="s">
        <v>495</v>
      </c>
      <c r="B572" s="402" t="s">
        <v>495</v>
      </c>
      <c r="C572" s="402" t="s">
        <v>495</v>
      </c>
      <c r="D572" s="402" t="s">
        <v>495</v>
      </c>
      <c r="E572" s="403" t="s">
        <v>495</v>
      </c>
      <c r="F572" s="402" t="s">
        <v>495</v>
      </c>
      <c r="G572" s="55">
        <f>ROUND(SUM(G566:G571),0)</f>
        <v>31066</v>
      </c>
    </row>
    <row r="573" spans="1:7">
      <c r="A573" s="400" t="s">
        <v>496</v>
      </c>
      <c r="B573" s="400" t="s">
        <v>496</v>
      </c>
      <c r="C573" s="400" t="s">
        <v>496</v>
      </c>
      <c r="D573" s="400" t="s">
        <v>496</v>
      </c>
      <c r="E573" s="401" t="s">
        <v>496</v>
      </c>
      <c r="F573" s="400" t="s">
        <v>496</v>
      </c>
      <c r="G573" s="401" t="s">
        <v>496</v>
      </c>
    </row>
    <row r="574" spans="1:7">
      <c r="A574" s="3" t="s">
        <v>496</v>
      </c>
      <c r="B574" s="3" t="s">
        <v>574</v>
      </c>
      <c r="C574" s="3" t="s">
        <v>575</v>
      </c>
      <c r="D574" s="3" t="s">
        <v>478</v>
      </c>
      <c r="E574" s="262">
        <f>ROUND('MANO DE OBRA'!$E$13,0)</f>
        <v>177075</v>
      </c>
      <c r="F574" s="6">
        <v>0.02</v>
      </c>
      <c r="G574" s="35">
        <f>ROUND(E574*F574,0)</f>
        <v>3542</v>
      </c>
    </row>
    <row r="575" spans="1:7">
      <c r="A575" s="3" t="s">
        <v>496</v>
      </c>
      <c r="B575" s="3" t="s">
        <v>576</v>
      </c>
      <c r="C575" s="3" t="s">
        <v>577</v>
      </c>
      <c r="D575" s="3" t="s">
        <v>478</v>
      </c>
      <c r="E575" s="262">
        <f>ROUND('MANO DE OBRA'!$E$14,0)</f>
        <v>107973</v>
      </c>
      <c r="F575" s="6">
        <v>0.02</v>
      </c>
      <c r="G575" s="35">
        <f>ROUND(E575*F575,0)</f>
        <v>2159</v>
      </c>
    </row>
    <row r="576" spans="1:7" ht="12.75" thickBot="1">
      <c r="A576" s="402" t="s">
        <v>503</v>
      </c>
      <c r="B576" s="402" t="s">
        <v>503</v>
      </c>
      <c r="C576" s="402" t="s">
        <v>503</v>
      </c>
      <c r="D576" s="402" t="s">
        <v>503</v>
      </c>
      <c r="E576" s="403" t="s">
        <v>503</v>
      </c>
      <c r="F576" s="402" t="s">
        <v>503</v>
      </c>
      <c r="G576" s="55">
        <f>ROUND(SUM(G574:G575),0)</f>
        <v>5701</v>
      </c>
    </row>
    <row r="577" spans="1:7" ht="12.75" thickBot="1">
      <c r="A577" s="404" t="s">
        <v>60</v>
      </c>
      <c r="B577" s="405" t="s">
        <v>504</v>
      </c>
      <c r="C577" s="405" t="s">
        <v>504</v>
      </c>
      <c r="D577" s="405" t="s">
        <v>504</v>
      </c>
      <c r="E577" s="406" t="s">
        <v>504</v>
      </c>
      <c r="F577" s="8"/>
      <c r="G577" s="56">
        <f>ROUND(SUM(G564,G572,G576),0)</f>
        <v>44422</v>
      </c>
    </row>
    <row r="578" spans="1:7">
      <c r="A578" s="1"/>
      <c r="B578" s="1"/>
      <c r="C578" s="1"/>
      <c r="D578" s="1"/>
      <c r="E578" s="52"/>
      <c r="F578" s="1"/>
      <c r="G578" s="52"/>
    </row>
    <row r="579" spans="1:7" ht="42" customHeight="1">
      <c r="A579" s="5" t="s">
        <v>352</v>
      </c>
      <c r="B579" s="5" t="s">
        <v>137</v>
      </c>
      <c r="C579" s="407" t="s">
        <v>138</v>
      </c>
      <c r="D579" s="407"/>
      <c r="E579" s="408"/>
      <c r="F579" s="407"/>
      <c r="G579" s="53" t="s">
        <v>65</v>
      </c>
    </row>
    <row r="580" spans="1:7">
      <c r="A580" s="2" t="s">
        <v>470</v>
      </c>
      <c r="B580" s="2" t="s">
        <v>471</v>
      </c>
      <c r="C580" s="2" t="s">
        <v>4</v>
      </c>
      <c r="D580" s="2" t="s">
        <v>58</v>
      </c>
      <c r="E580" s="54" t="s">
        <v>472</v>
      </c>
      <c r="F580" s="2" t="s">
        <v>473</v>
      </c>
      <c r="G580" s="54" t="s">
        <v>264</v>
      </c>
    </row>
    <row r="581" spans="1:7">
      <c r="A581" s="400" t="s">
        <v>474</v>
      </c>
      <c r="B581" s="400" t="s">
        <v>474</v>
      </c>
      <c r="C581" s="400" t="s">
        <v>474</v>
      </c>
      <c r="D581" s="400" t="s">
        <v>474</v>
      </c>
      <c r="E581" s="401" t="s">
        <v>474</v>
      </c>
      <c r="F581" s="400" t="s">
        <v>474</v>
      </c>
      <c r="G581" s="401" t="s">
        <v>474</v>
      </c>
    </row>
    <row r="582" spans="1:7">
      <c r="A582" s="3" t="s">
        <v>475</v>
      </c>
      <c r="B582" s="3" t="s">
        <v>563</v>
      </c>
      <c r="C582" s="3" t="s">
        <v>564</v>
      </c>
      <c r="D582" s="3" t="s">
        <v>478</v>
      </c>
      <c r="E582" s="262">
        <f>ROUND(EQUIPOS!$E$11,0)</f>
        <v>57120</v>
      </c>
      <c r="F582" s="6">
        <v>0.08</v>
      </c>
      <c r="G582" s="35">
        <f>ROUND(E582*F582,0)</f>
        <v>4570</v>
      </c>
    </row>
    <row r="583" spans="1:7">
      <c r="A583" s="3" t="s">
        <v>475</v>
      </c>
      <c r="B583" s="3" t="s">
        <v>578</v>
      </c>
      <c r="C583" s="3" t="s">
        <v>579</v>
      </c>
      <c r="D583" s="3" t="s">
        <v>478</v>
      </c>
      <c r="E583" s="262">
        <f>ROUND(EQUIPOS!$E$12,0)</f>
        <v>35000</v>
      </c>
      <c r="F583" s="6">
        <v>0.08</v>
      </c>
      <c r="G583" s="35">
        <f>ROUND(E583*F583,0)</f>
        <v>2800</v>
      </c>
    </row>
    <row r="584" spans="1:7">
      <c r="A584" s="3" t="s">
        <v>475</v>
      </c>
      <c r="B584" s="3" t="s">
        <v>479</v>
      </c>
      <c r="C584" s="3" t="s">
        <v>480</v>
      </c>
      <c r="D584" s="3" t="s">
        <v>481</v>
      </c>
      <c r="E584" s="262">
        <f>ROUND($G$592,0)</f>
        <v>19003</v>
      </c>
      <c r="F584" s="7">
        <v>0.05</v>
      </c>
      <c r="G584" s="35">
        <f>ROUND(E584*F584,0)</f>
        <v>950</v>
      </c>
    </row>
    <row r="585" spans="1:7">
      <c r="A585" s="402" t="s">
        <v>482</v>
      </c>
      <c r="B585" s="402" t="s">
        <v>482</v>
      </c>
      <c r="C585" s="402" t="s">
        <v>482</v>
      </c>
      <c r="D585" s="402" t="s">
        <v>482</v>
      </c>
      <c r="E585" s="403" t="s">
        <v>482</v>
      </c>
      <c r="F585" s="402" t="s">
        <v>482</v>
      </c>
      <c r="G585" s="55">
        <f>ROUND(SUM(G582:G584),0)</f>
        <v>8320</v>
      </c>
    </row>
    <row r="586" spans="1:7">
      <c r="A586" s="400" t="s">
        <v>483</v>
      </c>
      <c r="B586" s="400" t="s">
        <v>483</v>
      </c>
      <c r="C586" s="400" t="s">
        <v>483</v>
      </c>
      <c r="D586" s="400" t="s">
        <v>483</v>
      </c>
      <c r="E586" s="401" t="s">
        <v>483</v>
      </c>
      <c r="F586" s="400" t="s">
        <v>483</v>
      </c>
      <c r="G586" s="401" t="s">
        <v>483</v>
      </c>
    </row>
    <row r="587" spans="1:7" ht="24">
      <c r="A587" s="3" t="s">
        <v>484</v>
      </c>
      <c r="B587" s="3" t="s">
        <v>584</v>
      </c>
      <c r="C587" s="3" t="s">
        <v>585</v>
      </c>
      <c r="D587" s="3" t="s">
        <v>65</v>
      </c>
      <c r="E587" s="262">
        <f>ROUND(INSUMOS!$E$41,0)</f>
        <v>290127</v>
      </c>
      <c r="F587" s="6">
        <v>1.05</v>
      </c>
      <c r="G587" s="35">
        <f>ROUND(E587*F587,0)</f>
        <v>304633</v>
      </c>
    </row>
    <row r="588" spans="1:7">
      <c r="A588" s="402" t="s">
        <v>586</v>
      </c>
      <c r="B588" s="402" t="s">
        <v>586</v>
      </c>
      <c r="C588" s="402" t="s">
        <v>586</v>
      </c>
      <c r="D588" s="402" t="s">
        <v>586</v>
      </c>
      <c r="E588" s="403" t="s">
        <v>586</v>
      </c>
      <c r="F588" s="402" t="s">
        <v>586</v>
      </c>
      <c r="G588" s="55">
        <f>ROUND(SUM(G587)+TRANSPORTE!$E$12,0)</f>
        <v>329633</v>
      </c>
    </row>
    <row r="589" spans="1:7">
      <c r="A589" s="400" t="s">
        <v>496</v>
      </c>
      <c r="B589" s="400" t="s">
        <v>496</v>
      </c>
      <c r="C589" s="400" t="s">
        <v>496</v>
      </c>
      <c r="D589" s="400" t="s">
        <v>496</v>
      </c>
      <c r="E589" s="401" t="s">
        <v>496</v>
      </c>
      <c r="F589" s="400" t="s">
        <v>496</v>
      </c>
      <c r="G589" s="401" t="s">
        <v>496</v>
      </c>
    </row>
    <row r="590" spans="1:7">
      <c r="A590" s="3" t="s">
        <v>496</v>
      </c>
      <c r="B590" s="3" t="s">
        <v>574</v>
      </c>
      <c r="C590" s="3" t="s">
        <v>575</v>
      </c>
      <c r="D590" s="3" t="s">
        <v>478</v>
      </c>
      <c r="E590" s="262">
        <f>ROUND('MANO DE OBRA'!$E$13,0)</f>
        <v>177075</v>
      </c>
      <c r="F590" s="6">
        <f>1/15</f>
        <v>6.6666666666666666E-2</v>
      </c>
      <c r="G590" s="35">
        <f>ROUND(E590*F590,0)</f>
        <v>11805</v>
      </c>
    </row>
    <row r="591" spans="1:7">
      <c r="A591" s="3" t="s">
        <v>496</v>
      </c>
      <c r="B591" s="3" t="s">
        <v>576</v>
      </c>
      <c r="C591" s="3" t="s">
        <v>577</v>
      </c>
      <c r="D591" s="3" t="s">
        <v>478</v>
      </c>
      <c r="E591" s="262">
        <f>ROUND('MANO DE OBRA'!$E$14,0)</f>
        <v>107973</v>
      </c>
      <c r="F591" s="6">
        <f>1/15</f>
        <v>6.6666666666666666E-2</v>
      </c>
      <c r="G591" s="35">
        <f>ROUND(E591*F591,0)</f>
        <v>7198</v>
      </c>
    </row>
    <row r="592" spans="1:7" ht="12.75" thickBot="1">
      <c r="A592" s="402" t="s">
        <v>503</v>
      </c>
      <c r="B592" s="402" t="s">
        <v>503</v>
      </c>
      <c r="C592" s="402" t="s">
        <v>503</v>
      </c>
      <c r="D592" s="402" t="s">
        <v>503</v>
      </c>
      <c r="E592" s="403" t="s">
        <v>503</v>
      </c>
      <c r="F592" s="402" t="s">
        <v>503</v>
      </c>
      <c r="G592" s="55">
        <f>ROUND(SUM(G590:G591),0)</f>
        <v>19003</v>
      </c>
    </row>
    <row r="593" spans="1:7" ht="12.75" thickBot="1">
      <c r="A593" s="404" t="s">
        <v>60</v>
      </c>
      <c r="B593" s="405" t="s">
        <v>504</v>
      </c>
      <c r="C593" s="405" t="s">
        <v>504</v>
      </c>
      <c r="D593" s="405" t="s">
        <v>504</v>
      </c>
      <c r="E593" s="406" t="s">
        <v>504</v>
      </c>
      <c r="F593" s="8"/>
      <c r="G593" s="56">
        <f>ROUND(SUM(G585,G588,G592),0)</f>
        <v>356956</v>
      </c>
    </row>
    <row r="594" spans="1:7">
      <c r="A594" s="1"/>
      <c r="B594" s="1"/>
      <c r="C594" s="1"/>
      <c r="D594" s="1"/>
      <c r="E594" s="52"/>
      <c r="F594" s="1"/>
      <c r="G594" s="52"/>
    </row>
    <row r="595" spans="1:7" ht="42" customHeight="1">
      <c r="A595" s="5" t="s">
        <v>354</v>
      </c>
      <c r="B595" s="5" t="s">
        <v>140</v>
      </c>
      <c r="C595" s="407" t="s">
        <v>141</v>
      </c>
      <c r="D595" s="407"/>
      <c r="E595" s="408"/>
      <c r="F595" s="407"/>
      <c r="G595" s="53" t="s">
        <v>65</v>
      </c>
    </row>
    <row r="596" spans="1:7">
      <c r="A596" s="2" t="s">
        <v>470</v>
      </c>
      <c r="B596" s="2" t="s">
        <v>471</v>
      </c>
      <c r="C596" s="2" t="s">
        <v>4</v>
      </c>
      <c r="D596" s="2" t="s">
        <v>58</v>
      </c>
      <c r="E596" s="54" t="s">
        <v>472</v>
      </c>
      <c r="F596" s="2" t="s">
        <v>473</v>
      </c>
      <c r="G596" s="54" t="s">
        <v>264</v>
      </c>
    </row>
    <row r="597" spans="1:7">
      <c r="A597" s="400" t="s">
        <v>474</v>
      </c>
      <c r="B597" s="400" t="s">
        <v>474</v>
      </c>
      <c r="C597" s="400" t="s">
        <v>474</v>
      </c>
      <c r="D597" s="400" t="s">
        <v>474</v>
      </c>
      <c r="E597" s="401" t="s">
        <v>474</v>
      </c>
      <c r="F597" s="400" t="s">
        <v>474</v>
      </c>
      <c r="G597" s="401" t="s">
        <v>474</v>
      </c>
    </row>
    <row r="598" spans="1:7">
      <c r="A598" s="3" t="s">
        <v>475</v>
      </c>
      <c r="B598" s="3" t="s">
        <v>479</v>
      </c>
      <c r="C598" s="3" t="s">
        <v>480</v>
      </c>
      <c r="D598" s="3" t="s">
        <v>481</v>
      </c>
      <c r="E598" s="262">
        <f>ROUND($G$606,0)</f>
        <v>57010</v>
      </c>
      <c r="F598" s="7">
        <v>0.05</v>
      </c>
      <c r="G598" s="35">
        <f>ROUND(E598*F598,0)</f>
        <v>2851</v>
      </c>
    </row>
    <row r="599" spans="1:7">
      <c r="A599" s="402" t="s">
        <v>482</v>
      </c>
      <c r="B599" s="402" t="s">
        <v>482</v>
      </c>
      <c r="C599" s="402" t="s">
        <v>482</v>
      </c>
      <c r="D599" s="402" t="s">
        <v>482</v>
      </c>
      <c r="E599" s="403" t="s">
        <v>482</v>
      </c>
      <c r="F599" s="402" t="s">
        <v>482</v>
      </c>
      <c r="G599" s="55">
        <f>ROUND(SUM(G598:G598),0)</f>
        <v>2851</v>
      </c>
    </row>
    <row r="600" spans="1:7">
      <c r="A600" s="400" t="s">
        <v>483</v>
      </c>
      <c r="B600" s="400" t="s">
        <v>483</v>
      </c>
      <c r="C600" s="400" t="s">
        <v>483</v>
      </c>
      <c r="D600" s="400" t="s">
        <v>483</v>
      </c>
      <c r="E600" s="401" t="s">
        <v>483</v>
      </c>
      <c r="F600" s="400" t="s">
        <v>483</v>
      </c>
      <c r="G600" s="401" t="s">
        <v>483</v>
      </c>
    </row>
    <row r="601" spans="1:7">
      <c r="A601" s="3" t="s">
        <v>484</v>
      </c>
      <c r="B601" s="3" t="s">
        <v>587</v>
      </c>
      <c r="C601" s="3" t="s">
        <v>588</v>
      </c>
      <c r="D601" s="3" t="s">
        <v>489</v>
      </c>
      <c r="E601" s="262">
        <f>ROUND(INSUMOS!$E$42,0)</f>
        <v>91980</v>
      </c>
      <c r="F601" s="6">
        <v>0.5</v>
      </c>
      <c r="G601" s="35">
        <f>ROUND(E601*F601,0)</f>
        <v>45990</v>
      </c>
    </row>
    <row r="602" spans="1:7">
      <c r="A602" s="402" t="s">
        <v>495</v>
      </c>
      <c r="B602" s="402" t="s">
        <v>495</v>
      </c>
      <c r="C602" s="402" t="s">
        <v>495</v>
      </c>
      <c r="D602" s="402" t="s">
        <v>495</v>
      </c>
      <c r="E602" s="403" t="s">
        <v>495</v>
      </c>
      <c r="F602" s="402" t="s">
        <v>495</v>
      </c>
      <c r="G602" s="55">
        <f>ROUND(SUM(G601:G601),0)</f>
        <v>45990</v>
      </c>
    </row>
    <row r="603" spans="1:7">
      <c r="A603" s="400" t="s">
        <v>496</v>
      </c>
      <c r="B603" s="400" t="s">
        <v>496</v>
      </c>
      <c r="C603" s="400" t="s">
        <v>496</v>
      </c>
      <c r="D603" s="400" t="s">
        <v>496</v>
      </c>
      <c r="E603" s="401" t="s">
        <v>496</v>
      </c>
      <c r="F603" s="400" t="s">
        <v>496</v>
      </c>
      <c r="G603" s="401" t="s">
        <v>496</v>
      </c>
    </row>
    <row r="604" spans="1:7">
      <c r="A604" s="3" t="s">
        <v>496</v>
      </c>
      <c r="B604" s="3" t="s">
        <v>574</v>
      </c>
      <c r="C604" s="3" t="s">
        <v>575</v>
      </c>
      <c r="D604" s="3" t="s">
        <v>478</v>
      </c>
      <c r="E604" s="262">
        <f>ROUND('MANO DE OBRA'!$E$13,0)</f>
        <v>177075</v>
      </c>
      <c r="F604" s="6">
        <v>0.2</v>
      </c>
      <c r="G604" s="35">
        <f>ROUND(E604*F604,0)</f>
        <v>35415</v>
      </c>
    </row>
    <row r="605" spans="1:7">
      <c r="A605" s="3" t="s">
        <v>496</v>
      </c>
      <c r="B605" s="3" t="s">
        <v>576</v>
      </c>
      <c r="C605" s="3" t="s">
        <v>577</v>
      </c>
      <c r="D605" s="3" t="s">
        <v>478</v>
      </c>
      <c r="E605" s="262">
        <f>ROUND('MANO DE OBRA'!$E$14,0)</f>
        <v>107973</v>
      </c>
      <c r="F605" s="6">
        <v>0.2</v>
      </c>
      <c r="G605" s="35">
        <f>ROUND(E605*F605,0)</f>
        <v>21595</v>
      </c>
    </row>
    <row r="606" spans="1:7" ht="12.75" thickBot="1">
      <c r="A606" s="402" t="s">
        <v>503</v>
      </c>
      <c r="B606" s="402" t="s">
        <v>503</v>
      </c>
      <c r="C606" s="402" t="s">
        <v>503</v>
      </c>
      <c r="D606" s="402" t="s">
        <v>503</v>
      </c>
      <c r="E606" s="403" t="s">
        <v>503</v>
      </c>
      <c r="F606" s="402" t="s">
        <v>503</v>
      </c>
      <c r="G606" s="55">
        <f>ROUND(SUM(G604:G605),0)</f>
        <v>57010</v>
      </c>
    </row>
    <row r="607" spans="1:7" ht="12.75" thickBot="1">
      <c r="A607" s="404" t="s">
        <v>60</v>
      </c>
      <c r="B607" s="405" t="s">
        <v>504</v>
      </c>
      <c r="C607" s="405" t="s">
        <v>504</v>
      </c>
      <c r="D607" s="405" t="s">
        <v>504</v>
      </c>
      <c r="E607" s="406" t="s">
        <v>504</v>
      </c>
      <c r="F607" s="8"/>
      <c r="G607" s="56">
        <f>ROUND(SUM(G599,G602,G606),0)</f>
        <v>105851</v>
      </c>
    </row>
    <row r="608" spans="1:7">
      <c r="A608" s="1"/>
      <c r="B608" s="1"/>
      <c r="C608" s="1"/>
      <c r="D608" s="1"/>
      <c r="E608" s="52"/>
      <c r="F608" s="1"/>
      <c r="G608" s="52"/>
    </row>
    <row r="609" spans="1:7" ht="42" customHeight="1">
      <c r="A609" s="5" t="s">
        <v>355</v>
      </c>
      <c r="B609" s="5" t="s">
        <v>143</v>
      </c>
      <c r="C609" s="407" t="s">
        <v>144</v>
      </c>
      <c r="D609" s="407"/>
      <c r="E609" s="408"/>
      <c r="F609" s="407"/>
      <c r="G609" s="53" t="s">
        <v>103</v>
      </c>
    </row>
    <row r="610" spans="1:7">
      <c r="A610" s="2" t="s">
        <v>470</v>
      </c>
      <c r="B610" s="2" t="s">
        <v>471</v>
      </c>
      <c r="C610" s="2" t="s">
        <v>4</v>
      </c>
      <c r="D610" s="2" t="s">
        <v>58</v>
      </c>
      <c r="E610" s="54" t="s">
        <v>472</v>
      </c>
      <c r="F610" s="2" t="s">
        <v>473</v>
      </c>
      <c r="G610" s="54" t="s">
        <v>264</v>
      </c>
    </row>
    <row r="611" spans="1:7">
      <c r="A611" s="400" t="s">
        <v>474</v>
      </c>
      <c r="B611" s="400" t="s">
        <v>474</v>
      </c>
      <c r="C611" s="400" t="s">
        <v>474</v>
      </c>
      <c r="D611" s="400" t="s">
        <v>474</v>
      </c>
      <c r="E611" s="401" t="s">
        <v>474</v>
      </c>
      <c r="F611" s="400" t="s">
        <v>474</v>
      </c>
      <c r="G611" s="401" t="s">
        <v>474</v>
      </c>
    </row>
    <row r="612" spans="1:7">
      <c r="A612" s="3" t="s">
        <v>475</v>
      </c>
      <c r="B612" s="3" t="s">
        <v>589</v>
      </c>
      <c r="C612" s="3" t="s">
        <v>590</v>
      </c>
      <c r="D612" s="3" t="s">
        <v>478</v>
      </c>
      <c r="E612" s="262">
        <f>ROUND(EQUIPOS!$E$13,0)</f>
        <v>388</v>
      </c>
      <c r="F612" s="6">
        <v>0.2</v>
      </c>
      <c r="G612" s="35">
        <f>ROUND(E612*F612,0)</f>
        <v>78</v>
      </c>
    </row>
    <row r="613" spans="1:7">
      <c r="A613" s="3" t="s">
        <v>475</v>
      </c>
      <c r="B613" s="3" t="s">
        <v>476</v>
      </c>
      <c r="C613" s="3" t="s">
        <v>477</v>
      </c>
      <c r="D613" s="3" t="s">
        <v>478</v>
      </c>
      <c r="E613" s="262">
        <f>ROUND(EQUIPOS!$E$7,0)</f>
        <v>15000</v>
      </c>
      <c r="F613" s="6">
        <v>0.2</v>
      </c>
      <c r="G613" s="35">
        <f>ROUND(E613*F613,0)</f>
        <v>3000</v>
      </c>
    </row>
    <row r="614" spans="1:7">
      <c r="A614" s="3" t="s">
        <v>475</v>
      </c>
      <c r="B614" s="3" t="s">
        <v>578</v>
      </c>
      <c r="C614" s="3" t="s">
        <v>579</v>
      </c>
      <c r="D614" s="3" t="s">
        <v>478</v>
      </c>
      <c r="E614" s="262">
        <f>ROUND(EQUIPOS!$E$12,0)</f>
        <v>35000</v>
      </c>
      <c r="F614" s="6">
        <v>0.2</v>
      </c>
      <c r="G614" s="35">
        <f>ROUND(E614*F614,0)</f>
        <v>7000</v>
      </c>
    </row>
    <row r="615" spans="1:7">
      <c r="A615" s="3" t="s">
        <v>475</v>
      </c>
      <c r="B615" s="3" t="s">
        <v>479</v>
      </c>
      <c r="C615" s="3" t="s">
        <v>480</v>
      </c>
      <c r="D615" s="3" t="s">
        <v>481</v>
      </c>
      <c r="E615" s="262">
        <f>ROUND($G$635,0)</f>
        <v>99399</v>
      </c>
      <c r="F615" s="7">
        <v>0.05</v>
      </c>
      <c r="G615" s="35">
        <f>ROUND(E615*F615,0)</f>
        <v>4970</v>
      </c>
    </row>
    <row r="616" spans="1:7">
      <c r="A616" s="402" t="s">
        <v>482</v>
      </c>
      <c r="B616" s="402" t="s">
        <v>482</v>
      </c>
      <c r="C616" s="402" t="s">
        <v>482</v>
      </c>
      <c r="D616" s="402" t="s">
        <v>482</v>
      </c>
      <c r="E616" s="403" t="s">
        <v>482</v>
      </c>
      <c r="F616" s="402" t="s">
        <v>482</v>
      </c>
      <c r="G616" s="55">
        <f>ROUND(SUM(G612:G615),0)</f>
        <v>15048</v>
      </c>
    </row>
    <row r="617" spans="1:7">
      <c r="A617" s="400" t="s">
        <v>483</v>
      </c>
      <c r="B617" s="400" t="s">
        <v>483</v>
      </c>
      <c r="C617" s="400" t="s">
        <v>483</v>
      </c>
      <c r="D617" s="400" t="s">
        <v>483</v>
      </c>
      <c r="E617" s="401" t="s">
        <v>483</v>
      </c>
      <c r="F617" s="400" t="s">
        <v>483</v>
      </c>
      <c r="G617" s="401" t="s">
        <v>483</v>
      </c>
    </row>
    <row r="618" spans="1:7">
      <c r="A618" s="3" t="s">
        <v>484</v>
      </c>
      <c r="B618" s="3" t="s">
        <v>591</v>
      </c>
      <c r="C618" s="3" t="s">
        <v>592</v>
      </c>
      <c r="D618" s="3" t="s">
        <v>103</v>
      </c>
      <c r="E618" s="262">
        <f>ROUND(INSUMOS!$E$43,0)</f>
        <v>2717</v>
      </c>
      <c r="F618" s="6">
        <v>1</v>
      </c>
      <c r="G618" s="35">
        <f t="shared" ref="G618:G630" si="14">ROUND(E618*F618,0)</f>
        <v>2717</v>
      </c>
    </row>
    <row r="619" spans="1:7">
      <c r="A619" s="3" t="s">
        <v>484</v>
      </c>
      <c r="B619" s="3" t="s">
        <v>593</v>
      </c>
      <c r="C619" s="3" t="s">
        <v>594</v>
      </c>
      <c r="D619" s="3" t="s">
        <v>68</v>
      </c>
      <c r="E619" s="262">
        <f>ROUND(INSUMOS!$E$44,0)</f>
        <v>1733</v>
      </c>
      <c r="F619" s="6">
        <v>3</v>
      </c>
      <c r="G619" s="35">
        <f t="shared" si="14"/>
        <v>5199</v>
      </c>
    </row>
    <row r="620" spans="1:7">
      <c r="A620" s="3" t="s">
        <v>484</v>
      </c>
      <c r="B620" s="3" t="s">
        <v>595</v>
      </c>
      <c r="C620" s="3" t="s">
        <v>596</v>
      </c>
      <c r="D620" s="3" t="s">
        <v>103</v>
      </c>
      <c r="E620" s="262">
        <f>ROUND(INSUMOS!$E$45,0)</f>
        <v>34177</v>
      </c>
      <c r="F620" s="6">
        <v>0.03</v>
      </c>
      <c r="G620" s="35">
        <f t="shared" si="14"/>
        <v>1025</v>
      </c>
    </row>
    <row r="621" spans="1:7">
      <c r="A621" s="3" t="s">
        <v>484</v>
      </c>
      <c r="B621" s="3" t="s">
        <v>597</v>
      </c>
      <c r="C621" s="3" t="s">
        <v>598</v>
      </c>
      <c r="D621" s="3" t="s">
        <v>68</v>
      </c>
      <c r="E621" s="262">
        <f>ROUND(INSUMOS!$E$46,0)</f>
        <v>3708</v>
      </c>
      <c r="F621" s="6">
        <v>24</v>
      </c>
      <c r="G621" s="35">
        <f t="shared" si="14"/>
        <v>88992</v>
      </c>
    </row>
    <row r="622" spans="1:7">
      <c r="A622" s="3" t="s">
        <v>484</v>
      </c>
      <c r="B622" s="3" t="s">
        <v>599</v>
      </c>
      <c r="C622" s="3" t="s">
        <v>600</v>
      </c>
      <c r="D622" s="3" t="s">
        <v>103</v>
      </c>
      <c r="E622" s="262">
        <f>ROUND(INSUMOS!$E$47,0)</f>
        <v>764</v>
      </c>
      <c r="F622" s="6">
        <v>1</v>
      </c>
      <c r="G622" s="35">
        <f t="shared" si="14"/>
        <v>764</v>
      </c>
    </row>
    <row r="623" spans="1:7">
      <c r="A623" s="3" t="s">
        <v>484</v>
      </c>
      <c r="B623" s="3" t="s">
        <v>601</v>
      </c>
      <c r="C623" s="3" t="s">
        <v>602</v>
      </c>
      <c r="D623" s="3" t="s">
        <v>103</v>
      </c>
      <c r="E623" s="262">
        <f>ROUND(INSUMOS!$E$48,0)</f>
        <v>900</v>
      </c>
      <c r="F623" s="6">
        <v>1</v>
      </c>
      <c r="G623" s="35">
        <f t="shared" si="14"/>
        <v>900</v>
      </c>
    </row>
    <row r="624" spans="1:7">
      <c r="A624" s="3" t="s">
        <v>484</v>
      </c>
      <c r="B624" s="3" t="s">
        <v>603</v>
      </c>
      <c r="C624" s="3" t="s">
        <v>604</v>
      </c>
      <c r="D624" s="3" t="s">
        <v>103</v>
      </c>
      <c r="E624" s="262">
        <f>ROUND(INSUMOS!$E$49,0)</f>
        <v>2200</v>
      </c>
      <c r="F624" s="6">
        <v>1</v>
      </c>
      <c r="G624" s="35">
        <f t="shared" si="14"/>
        <v>2200</v>
      </c>
    </row>
    <row r="625" spans="1:7">
      <c r="A625" s="3" t="s">
        <v>484</v>
      </c>
      <c r="B625" s="3" t="s">
        <v>605</v>
      </c>
      <c r="C625" s="3" t="s">
        <v>606</v>
      </c>
      <c r="D625" s="3" t="s">
        <v>103</v>
      </c>
      <c r="E625" s="262">
        <f>ROUND(INSUMOS!$E$50,0)</f>
        <v>1200</v>
      </c>
      <c r="F625" s="6">
        <v>0.1</v>
      </c>
      <c r="G625" s="35">
        <f t="shared" si="14"/>
        <v>120</v>
      </c>
    </row>
    <row r="626" spans="1:7">
      <c r="A626" s="3" t="s">
        <v>484</v>
      </c>
      <c r="B626" s="3" t="s">
        <v>607</v>
      </c>
      <c r="C626" s="3" t="s">
        <v>608</v>
      </c>
      <c r="D626" s="3" t="s">
        <v>103</v>
      </c>
      <c r="E626" s="262">
        <f>ROUND(INSUMOS!$E$51,0)</f>
        <v>1200</v>
      </c>
      <c r="F626" s="6">
        <v>1</v>
      </c>
      <c r="G626" s="35">
        <f t="shared" si="14"/>
        <v>1200</v>
      </c>
    </row>
    <row r="627" spans="1:7">
      <c r="A627" s="3" t="s">
        <v>484</v>
      </c>
      <c r="B627" s="3" t="s">
        <v>609</v>
      </c>
      <c r="C627" s="3" t="s">
        <v>610</v>
      </c>
      <c r="D627" s="3" t="s">
        <v>103</v>
      </c>
      <c r="E627" s="262">
        <f>ROUND(INSUMOS!$E$52,0)</f>
        <v>2100</v>
      </c>
      <c r="F627" s="6">
        <v>3</v>
      </c>
      <c r="G627" s="35">
        <f t="shared" si="14"/>
        <v>6300</v>
      </c>
    </row>
    <row r="628" spans="1:7">
      <c r="A628" s="3" t="s">
        <v>484</v>
      </c>
      <c r="B628" s="3" t="s">
        <v>611</v>
      </c>
      <c r="C628" s="3" t="s">
        <v>612</v>
      </c>
      <c r="D628" s="3" t="s">
        <v>103</v>
      </c>
      <c r="E628" s="262">
        <f>ROUND(INSUMOS!$E$53,0)</f>
        <v>22295</v>
      </c>
      <c r="F628" s="6">
        <v>1</v>
      </c>
      <c r="G628" s="35">
        <f t="shared" si="14"/>
        <v>22295</v>
      </c>
    </row>
    <row r="629" spans="1:7">
      <c r="A629" s="3" t="s">
        <v>484</v>
      </c>
      <c r="B629" s="3" t="s">
        <v>613</v>
      </c>
      <c r="C629" s="3" t="s">
        <v>614</v>
      </c>
      <c r="D629" s="3" t="s">
        <v>103</v>
      </c>
      <c r="E629" s="262">
        <f>ROUND(INSUMOS!$E$54,0)</f>
        <v>33866</v>
      </c>
      <c r="F629" s="6">
        <v>1E-3</v>
      </c>
      <c r="G629" s="35">
        <f t="shared" si="14"/>
        <v>34</v>
      </c>
    </row>
    <row r="630" spans="1:7">
      <c r="A630" s="3" t="s">
        <v>484</v>
      </c>
      <c r="B630" s="3" t="s">
        <v>615</v>
      </c>
      <c r="C630" s="3" t="s">
        <v>616</v>
      </c>
      <c r="D630" s="3" t="s">
        <v>103</v>
      </c>
      <c r="E630" s="262">
        <f>ROUND(INSUMOS!$E$55,0)</f>
        <v>9225</v>
      </c>
      <c r="F630" s="6">
        <v>1</v>
      </c>
      <c r="G630" s="35">
        <f t="shared" si="14"/>
        <v>9225</v>
      </c>
    </row>
    <row r="631" spans="1:7">
      <c r="A631" s="402" t="s">
        <v>495</v>
      </c>
      <c r="B631" s="402" t="s">
        <v>495</v>
      </c>
      <c r="C631" s="402" t="s">
        <v>495</v>
      </c>
      <c r="D631" s="402" t="s">
        <v>495</v>
      </c>
      <c r="E631" s="403" t="s">
        <v>495</v>
      </c>
      <c r="F631" s="402" t="s">
        <v>495</v>
      </c>
      <c r="G631" s="55">
        <f>ROUND(SUM(G618:G630),0)</f>
        <v>140971</v>
      </c>
    </row>
    <row r="632" spans="1:7">
      <c r="A632" s="400" t="s">
        <v>496</v>
      </c>
      <c r="B632" s="400" t="s">
        <v>496</v>
      </c>
      <c r="C632" s="400" t="s">
        <v>496</v>
      </c>
      <c r="D632" s="400" t="s">
        <v>496</v>
      </c>
      <c r="E632" s="401" t="s">
        <v>496</v>
      </c>
      <c r="F632" s="400" t="s">
        <v>496</v>
      </c>
      <c r="G632" s="401" t="s">
        <v>496</v>
      </c>
    </row>
    <row r="633" spans="1:7">
      <c r="A633" s="3" t="s">
        <v>496</v>
      </c>
      <c r="B633" s="3" t="s">
        <v>617</v>
      </c>
      <c r="C633" s="3" t="s">
        <v>618</v>
      </c>
      <c r="D633" s="3" t="s">
        <v>478</v>
      </c>
      <c r="E633" s="262">
        <f>ROUND('MANO DE OBRA'!$E$15,0)</f>
        <v>164541</v>
      </c>
      <c r="F633" s="6">
        <v>0.4</v>
      </c>
      <c r="G633" s="35">
        <f>ROUND(E633*F633,0)</f>
        <v>65816</v>
      </c>
    </row>
    <row r="634" spans="1:7">
      <c r="A634" s="3" t="s">
        <v>496</v>
      </c>
      <c r="B634" s="3" t="s">
        <v>619</v>
      </c>
      <c r="C634" s="3" t="s">
        <v>620</v>
      </c>
      <c r="D634" s="3" t="s">
        <v>478</v>
      </c>
      <c r="E634" s="262">
        <f>ROUND('MANO DE OBRA'!$E$16,0)</f>
        <v>83958</v>
      </c>
      <c r="F634" s="6">
        <v>0.4</v>
      </c>
      <c r="G634" s="35">
        <f>ROUND(E634*F634,0)</f>
        <v>33583</v>
      </c>
    </row>
    <row r="635" spans="1:7">
      <c r="A635" s="402" t="s">
        <v>503</v>
      </c>
      <c r="B635" s="402" t="s">
        <v>503</v>
      </c>
      <c r="C635" s="402" t="s">
        <v>503</v>
      </c>
      <c r="D635" s="402" t="s">
        <v>503</v>
      </c>
      <c r="E635" s="403" t="s">
        <v>503</v>
      </c>
      <c r="F635" s="402" t="s">
        <v>503</v>
      </c>
      <c r="G635" s="55">
        <f>ROUND(SUM(G633:G634),0)</f>
        <v>99399</v>
      </c>
    </row>
    <row r="636" spans="1:7">
      <c r="A636" s="400" t="s">
        <v>621</v>
      </c>
      <c r="B636" s="400" t="s">
        <v>621</v>
      </c>
      <c r="C636" s="400" t="s">
        <v>621</v>
      </c>
      <c r="D636" s="400" t="s">
        <v>621</v>
      </c>
      <c r="E636" s="401" t="s">
        <v>621</v>
      </c>
      <c r="F636" s="400" t="s">
        <v>621</v>
      </c>
      <c r="G636" s="401" t="s">
        <v>621</v>
      </c>
    </row>
    <row r="637" spans="1:7">
      <c r="A637" s="3" t="s">
        <v>621</v>
      </c>
      <c r="B637" s="3" t="s">
        <v>622</v>
      </c>
      <c r="C637" s="3" t="s">
        <v>623</v>
      </c>
      <c r="D637" s="3" t="s">
        <v>478</v>
      </c>
      <c r="E637" s="262">
        <f>ROUND(TRANSPORTE!$E$9,0)</f>
        <v>126000</v>
      </c>
      <c r="F637" s="6">
        <v>0.01</v>
      </c>
      <c r="G637" s="35">
        <f>ROUND(E637*F637,0)</f>
        <v>1260</v>
      </c>
    </row>
    <row r="638" spans="1:7" ht="12.75" thickBot="1">
      <c r="A638" s="402" t="s">
        <v>624</v>
      </c>
      <c r="B638" s="402" t="s">
        <v>624</v>
      </c>
      <c r="C638" s="402" t="s">
        <v>624</v>
      </c>
      <c r="D638" s="402" t="s">
        <v>624</v>
      </c>
      <c r="E638" s="403" t="s">
        <v>624</v>
      </c>
      <c r="F638" s="402" t="s">
        <v>624</v>
      </c>
      <c r="G638" s="55">
        <f>ROUND(SUM(G637:G637),0)</f>
        <v>1260</v>
      </c>
    </row>
    <row r="639" spans="1:7" ht="12.75" thickBot="1">
      <c r="A639" s="404" t="s">
        <v>60</v>
      </c>
      <c r="B639" s="405" t="s">
        <v>504</v>
      </c>
      <c r="C639" s="405" t="s">
        <v>504</v>
      </c>
      <c r="D639" s="405" t="s">
        <v>504</v>
      </c>
      <c r="E639" s="406" t="s">
        <v>504</v>
      </c>
      <c r="F639" s="8"/>
      <c r="G639" s="56">
        <f>ROUND(SUM(G616,G631,G635,G638),0)</f>
        <v>256678</v>
      </c>
    </row>
    <row r="640" spans="1:7">
      <c r="A640" s="1"/>
      <c r="B640" s="1"/>
      <c r="C640" s="1"/>
      <c r="D640" s="1"/>
      <c r="E640" s="52"/>
      <c r="F640" s="1"/>
      <c r="G640" s="52"/>
    </row>
    <row r="641" spans="1:7" ht="42" customHeight="1">
      <c r="A641" s="5" t="s">
        <v>357</v>
      </c>
      <c r="B641" s="5" t="s">
        <v>145</v>
      </c>
      <c r="C641" s="407" t="s">
        <v>146</v>
      </c>
      <c r="D641" s="407"/>
      <c r="E641" s="408"/>
      <c r="F641" s="407"/>
      <c r="G641" s="53" t="s">
        <v>103</v>
      </c>
    </row>
    <row r="642" spans="1:7">
      <c r="A642" s="2" t="s">
        <v>470</v>
      </c>
      <c r="B642" s="2" t="s">
        <v>471</v>
      </c>
      <c r="C642" s="2" t="s">
        <v>4</v>
      </c>
      <c r="D642" s="2" t="s">
        <v>58</v>
      </c>
      <c r="E642" s="54" t="s">
        <v>472</v>
      </c>
      <c r="F642" s="2" t="s">
        <v>473</v>
      </c>
      <c r="G642" s="54" t="s">
        <v>264</v>
      </c>
    </row>
    <row r="643" spans="1:7">
      <c r="A643" s="400" t="s">
        <v>474</v>
      </c>
      <c r="B643" s="400" t="s">
        <v>474</v>
      </c>
      <c r="C643" s="400" t="s">
        <v>474</v>
      </c>
      <c r="D643" s="400" t="s">
        <v>474</v>
      </c>
      <c r="E643" s="401" t="s">
        <v>474</v>
      </c>
      <c r="F643" s="400" t="s">
        <v>474</v>
      </c>
      <c r="G643" s="401" t="s">
        <v>474</v>
      </c>
    </row>
    <row r="644" spans="1:7">
      <c r="A644" s="3" t="s">
        <v>475</v>
      </c>
      <c r="B644" s="3" t="s">
        <v>589</v>
      </c>
      <c r="C644" s="3" t="s">
        <v>590</v>
      </c>
      <c r="D644" s="3" t="s">
        <v>478</v>
      </c>
      <c r="E644" s="262">
        <f>ROUND(EQUIPOS!$E$13,0)</f>
        <v>388</v>
      </c>
      <c r="F644" s="6">
        <v>0.2</v>
      </c>
      <c r="G644" s="35">
        <f>ROUND(E644*F644,0)</f>
        <v>78</v>
      </c>
    </row>
    <row r="645" spans="1:7">
      <c r="A645" s="3" t="s">
        <v>475</v>
      </c>
      <c r="B645" s="3" t="s">
        <v>476</v>
      </c>
      <c r="C645" s="3" t="s">
        <v>477</v>
      </c>
      <c r="D645" s="3" t="s">
        <v>478</v>
      </c>
      <c r="E645" s="262">
        <f>ROUND(EQUIPOS!$E$7,0)</f>
        <v>15000</v>
      </c>
      <c r="F645" s="6">
        <v>0.2</v>
      </c>
      <c r="G645" s="35">
        <f>ROUND(E645*F645,0)</f>
        <v>3000</v>
      </c>
    </row>
    <row r="646" spans="1:7">
      <c r="A646" s="3" t="s">
        <v>475</v>
      </c>
      <c r="B646" s="3" t="s">
        <v>578</v>
      </c>
      <c r="C646" s="3" t="s">
        <v>579</v>
      </c>
      <c r="D646" s="3" t="s">
        <v>478</v>
      </c>
      <c r="E646" s="262">
        <f>ROUND(EQUIPOS!$E$12,0)</f>
        <v>35000</v>
      </c>
      <c r="F646" s="6">
        <v>0.2</v>
      </c>
      <c r="G646" s="35">
        <f>ROUND(E646*F646,0)</f>
        <v>7000</v>
      </c>
    </row>
    <row r="647" spans="1:7">
      <c r="A647" s="3" t="s">
        <v>475</v>
      </c>
      <c r="B647" s="3" t="s">
        <v>479</v>
      </c>
      <c r="C647" s="3" t="s">
        <v>480</v>
      </c>
      <c r="D647" s="3" t="s">
        <v>481</v>
      </c>
      <c r="E647" s="262">
        <f>ROUND($G$667,0)</f>
        <v>99399</v>
      </c>
      <c r="F647" s="7">
        <v>0.05</v>
      </c>
      <c r="G647" s="35">
        <f>ROUND(E647*F647,0)</f>
        <v>4970</v>
      </c>
    </row>
    <row r="648" spans="1:7">
      <c r="A648" s="402" t="s">
        <v>482</v>
      </c>
      <c r="B648" s="402" t="s">
        <v>482</v>
      </c>
      <c r="C648" s="402" t="s">
        <v>482</v>
      </c>
      <c r="D648" s="402" t="s">
        <v>482</v>
      </c>
      <c r="E648" s="403" t="s">
        <v>482</v>
      </c>
      <c r="F648" s="402" t="s">
        <v>482</v>
      </c>
      <c r="G648" s="55">
        <f>ROUND(SUM(G644:G647),0)</f>
        <v>15048</v>
      </c>
    </row>
    <row r="649" spans="1:7">
      <c r="A649" s="400" t="s">
        <v>483</v>
      </c>
      <c r="B649" s="400" t="s">
        <v>483</v>
      </c>
      <c r="C649" s="400" t="s">
        <v>483</v>
      </c>
      <c r="D649" s="400" t="s">
        <v>483</v>
      </c>
      <c r="E649" s="401" t="s">
        <v>483</v>
      </c>
      <c r="F649" s="400" t="s">
        <v>483</v>
      </c>
      <c r="G649" s="401" t="s">
        <v>483</v>
      </c>
    </row>
    <row r="650" spans="1:7">
      <c r="A650" s="3" t="s">
        <v>484</v>
      </c>
      <c r="B650" s="3" t="s">
        <v>591</v>
      </c>
      <c r="C650" s="3" t="s">
        <v>592</v>
      </c>
      <c r="D650" s="3" t="s">
        <v>103</v>
      </c>
      <c r="E650" s="262">
        <f>ROUND(INSUMOS!$E$43,0)</f>
        <v>2717</v>
      </c>
      <c r="F650" s="6">
        <v>1</v>
      </c>
      <c r="G650" s="35">
        <f t="shared" ref="G650:G662" si="15">ROUND(E650*F650,0)</f>
        <v>2717</v>
      </c>
    </row>
    <row r="651" spans="1:7">
      <c r="A651" s="3" t="s">
        <v>484</v>
      </c>
      <c r="B651" s="3" t="s">
        <v>595</v>
      </c>
      <c r="C651" s="3" t="s">
        <v>596</v>
      </c>
      <c r="D651" s="3" t="s">
        <v>103</v>
      </c>
      <c r="E651" s="262">
        <f>ROUND(INSUMOS!$E$45,0)</f>
        <v>34177</v>
      </c>
      <c r="F651" s="6">
        <v>0.01</v>
      </c>
      <c r="G651" s="35">
        <f t="shared" si="15"/>
        <v>342</v>
      </c>
    </row>
    <row r="652" spans="1:7">
      <c r="A652" s="3" t="s">
        <v>484</v>
      </c>
      <c r="B652" s="3" t="s">
        <v>593</v>
      </c>
      <c r="C652" s="3" t="s">
        <v>594</v>
      </c>
      <c r="D652" s="3" t="s">
        <v>68</v>
      </c>
      <c r="E652" s="262">
        <f>ROUND(INSUMOS!$E$44,0)</f>
        <v>1733</v>
      </c>
      <c r="F652" s="6">
        <v>3</v>
      </c>
      <c r="G652" s="35">
        <f t="shared" si="15"/>
        <v>5199</v>
      </c>
    </row>
    <row r="653" spans="1:7">
      <c r="A653" s="3" t="s">
        <v>484</v>
      </c>
      <c r="B653" s="3" t="s">
        <v>597</v>
      </c>
      <c r="C653" s="3" t="s">
        <v>598</v>
      </c>
      <c r="D653" s="3" t="s">
        <v>68</v>
      </c>
      <c r="E653" s="262">
        <f>ROUND(INSUMOS!$E$46,0)</f>
        <v>3708</v>
      </c>
      <c r="F653" s="6">
        <v>24</v>
      </c>
      <c r="G653" s="35">
        <f t="shared" si="15"/>
        <v>88992</v>
      </c>
    </row>
    <row r="654" spans="1:7">
      <c r="A654" s="3" t="s">
        <v>484</v>
      </c>
      <c r="B654" s="3" t="s">
        <v>599</v>
      </c>
      <c r="C654" s="3" t="s">
        <v>600</v>
      </c>
      <c r="D654" s="3" t="s">
        <v>103</v>
      </c>
      <c r="E654" s="262">
        <f>ROUND(INSUMOS!$E$47,0)</f>
        <v>764</v>
      </c>
      <c r="F654" s="6">
        <v>3</v>
      </c>
      <c r="G654" s="35">
        <f t="shared" si="15"/>
        <v>2292</v>
      </c>
    </row>
    <row r="655" spans="1:7">
      <c r="A655" s="3" t="s">
        <v>484</v>
      </c>
      <c r="B655" s="3" t="s">
        <v>601</v>
      </c>
      <c r="C655" s="3" t="s">
        <v>602</v>
      </c>
      <c r="D655" s="3" t="s">
        <v>103</v>
      </c>
      <c r="E655" s="262">
        <f>ROUND(INSUMOS!$E$48,0)</f>
        <v>900</v>
      </c>
      <c r="F655" s="6">
        <v>2</v>
      </c>
      <c r="G655" s="35">
        <f t="shared" si="15"/>
        <v>1800</v>
      </c>
    </row>
    <row r="656" spans="1:7">
      <c r="A656" s="3" t="s">
        <v>484</v>
      </c>
      <c r="B656" s="3" t="s">
        <v>603</v>
      </c>
      <c r="C656" s="3" t="s">
        <v>604</v>
      </c>
      <c r="D656" s="3" t="s">
        <v>103</v>
      </c>
      <c r="E656" s="262">
        <f>ROUND(INSUMOS!$E$49,0)</f>
        <v>2200</v>
      </c>
      <c r="F656" s="6">
        <v>1</v>
      </c>
      <c r="G656" s="35">
        <f t="shared" si="15"/>
        <v>2200</v>
      </c>
    </row>
    <row r="657" spans="1:7">
      <c r="A657" s="3" t="s">
        <v>484</v>
      </c>
      <c r="B657" s="3" t="s">
        <v>605</v>
      </c>
      <c r="C657" s="3" t="s">
        <v>606</v>
      </c>
      <c r="D657" s="3" t="s">
        <v>103</v>
      </c>
      <c r="E657" s="262">
        <f>ROUND(INSUMOS!$E$50,0)</f>
        <v>1200</v>
      </c>
      <c r="F657" s="6">
        <v>0.1</v>
      </c>
      <c r="G657" s="35">
        <f t="shared" si="15"/>
        <v>120</v>
      </c>
    </row>
    <row r="658" spans="1:7">
      <c r="A658" s="3" t="s">
        <v>484</v>
      </c>
      <c r="B658" s="3" t="s">
        <v>607</v>
      </c>
      <c r="C658" s="3" t="s">
        <v>608</v>
      </c>
      <c r="D658" s="3" t="s">
        <v>103</v>
      </c>
      <c r="E658" s="262">
        <f>ROUND(INSUMOS!$E$51,0)</f>
        <v>1200</v>
      </c>
      <c r="F658" s="6">
        <v>1</v>
      </c>
      <c r="G658" s="35">
        <f t="shared" si="15"/>
        <v>1200</v>
      </c>
    </row>
    <row r="659" spans="1:7">
      <c r="A659" s="3" t="s">
        <v>484</v>
      </c>
      <c r="B659" s="3" t="s">
        <v>609</v>
      </c>
      <c r="C659" s="3" t="s">
        <v>610</v>
      </c>
      <c r="D659" s="3" t="s">
        <v>103</v>
      </c>
      <c r="E659" s="262">
        <f>ROUND(INSUMOS!$E$52,0)</f>
        <v>2100</v>
      </c>
      <c r="F659" s="6">
        <v>3</v>
      </c>
      <c r="G659" s="35">
        <f t="shared" si="15"/>
        <v>6300</v>
      </c>
    </row>
    <row r="660" spans="1:7">
      <c r="A660" s="3" t="s">
        <v>484</v>
      </c>
      <c r="B660" s="3" t="s">
        <v>611</v>
      </c>
      <c r="C660" s="3" t="s">
        <v>612</v>
      </c>
      <c r="D660" s="3" t="s">
        <v>103</v>
      </c>
      <c r="E660" s="262">
        <f>ROUND(INSUMOS!$E$53,0)</f>
        <v>22295</v>
      </c>
      <c r="F660" s="6">
        <v>1</v>
      </c>
      <c r="G660" s="35">
        <f t="shared" si="15"/>
        <v>22295</v>
      </c>
    </row>
    <row r="661" spans="1:7">
      <c r="A661" s="3" t="s">
        <v>484</v>
      </c>
      <c r="B661" s="3" t="s">
        <v>613</v>
      </c>
      <c r="C661" s="3" t="s">
        <v>614</v>
      </c>
      <c r="D661" s="3" t="s">
        <v>103</v>
      </c>
      <c r="E661" s="262">
        <f>ROUND(INSUMOS!$E$54,0)</f>
        <v>33866</v>
      </c>
      <c r="F661" s="6">
        <v>1E-3</v>
      </c>
      <c r="G661" s="35">
        <f t="shared" si="15"/>
        <v>34</v>
      </c>
    </row>
    <row r="662" spans="1:7">
      <c r="A662" s="3" t="s">
        <v>484</v>
      </c>
      <c r="B662" s="3" t="s">
        <v>615</v>
      </c>
      <c r="C662" s="3" t="s">
        <v>616</v>
      </c>
      <c r="D662" s="3" t="s">
        <v>103</v>
      </c>
      <c r="E662" s="262">
        <f>ROUND(INSUMOS!$E$55,0)</f>
        <v>9225</v>
      </c>
      <c r="F662" s="6">
        <v>1</v>
      </c>
      <c r="G662" s="35">
        <f t="shared" si="15"/>
        <v>9225</v>
      </c>
    </row>
    <row r="663" spans="1:7">
      <c r="A663" s="402" t="s">
        <v>495</v>
      </c>
      <c r="B663" s="402" t="s">
        <v>495</v>
      </c>
      <c r="C663" s="402" t="s">
        <v>495</v>
      </c>
      <c r="D663" s="402" t="s">
        <v>495</v>
      </c>
      <c r="E663" s="403" t="s">
        <v>495</v>
      </c>
      <c r="F663" s="402" t="s">
        <v>495</v>
      </c>
      <c r="G663" s="55">
        <f>ROUND(SUM(G650:G662),0)</f>
        <v>142716</v>
      </c>
    </row>
    <row r="664" spans="1:7">
      <c r="A664" s="400" t="s">
        <v>496</v>
      </c>
      <c r="B664" s="400" t="s">
        <v>496</v>
      </c>
      <c r="C664" s="400" t="s">
        <v>496</v>
      </c>
      <c r="D664" s="400" t="s">
        <v>496</v>
      </c>
      <c r="E664" s="401" t="s">
        <v>496</v>
      </c>
      <c r="F664" s="400" t="s">
        <v>496</v>
      </c>
      <c r="G664" s="401" t="s">
        <v>496</v>
      </c>
    </row>
    <row r="665" spans="1:7">
      <c r="A665" s="3" t="s">
        <v>496</v>
      </c>
      <c r="B665" s="3" t="s">
        <v>617</v>
      </c>
      <c r="C665" s="3" t="s">
        <v>618</v>
      </c>
      <c r="D665" s="3" t="s">
        <v>478</v>
      </c>
      <c r="E665" s="262">
        <f>ROUND('MANO DE OBRA'!$E$15,0)</f>
        <v>164541</v>
      </c>
      <c r="F665" s="6">
        <v>0.4</v>
      </c>
      <c r="G665" s="35">
        <f>ROUND(E665*F665,0)</f>
        <v>65816</v>
      </c>
    </row>
    <row r="666" spans="1:7">
      <c r="A666" s="3" t="s">
        <v>496</v>
      </c>
      <c r="B666" s="3" t="s">
        <v>619</v>
      </c>
      <c r="C666" s="3" t="s">
        <v>620</v>
      </c>
      <c r="D666" s="3" t="s">
        <v>478</v>
      </c>
      <c r="E666" s="262">
        <f>ROUND('MANO DE OBRA'!$E$16,0)</f>
        <v>83958</v>
      </c>
      <c r="F666" s="6">
        <v>0.4</v>
      </c>
      <c r="G666" s="35">
        <f>ROUND(E666*F666,0)</f>
        <v>33583</v>
      </c>
    </row>
    <row r="667" spans="1:7">
      <c r="A667" s="402" t="s">
        <v>503</v>
      </c>
      <c r="B667" s="402" t="s">
        <v>503</v>
      </c>
      <c r="C667" s="402" t="s">
        <v>503</v>
      </c>
      <c r="D667" s="402" t="s">
        <v>503</v>
      </c>
      <c r="E667" s="403" t="s">
        <v>503</v>
      </c>
      <c r="F667" s="402" t="s">
        <v>503</v>
      </c>
      <c r="G667" s="55">
        <f>ROUND(SUM(G665:G666),0)</f>
        <v>99399</v>
      </c>
    </row>
    <row r="668" spans="1:7">
      <c r="A668" s="400" t="s">
        <v>621</v>
      </c>
      <c r="B668" s="400" t="s">
        <v>621</v>
      </c>
      <c r="C668" s="400" t="s">
        <v>621</v>
      </c>
      <c r="D668" s="400" t="s">
        <v>621</v>
      </c>
      <c r="E668" s="401" t="s">
        <v>621</v>
      </c>
      <c r="F668" s="400" t="s">
        <v>621</v>
      </c>
      <c r="G668" s="401" t="s">
        <v>621</v>
      </c>
    </row>
    <row r="669" spans="1:7">
      <c r="A669" s="3" t="s">
        <v>621</v>
      </c>
      <c r="B669" s="3" t="s">
        <v>622</v>
      </c>
      <c r="C669" s="3" t="s">
        <v>623</v>
      </c>
      <c r="D669" s="3" t="s">
        <v>478</v>
      </c>
      <c r="E669" s="262">
        <f>ROUND(TRANSPORTE!$E$9,0)</f>
        <v>126000</v>
      </c>
      <c r="F669" s="6">
        <v>0.01</v>
      </c>
      <c r="G669" s="35">
        <f>ROUND(E669*F669,0)</f>
        <v>1260</v>
      </c>
    </row>
    <row r="670" spans="1:7" ht="12.75" thickBot="1">
      <c r="A670" s="402" t="s">
        <v>624</v>
      </c>
      <c r="B670" s="402" t="s">
        <v>624</v>
      </c>
      <c r="C670" s="402" t="s">
        <v>624</v>
      </c>
      <c r="D670" s="402" t="s">
        <v>624</v>
      </c>
      <c r="E670" s="403" t="s">
        <v>624</v>
      </c>
      <c r="F670" s="402" t="s">
        <v>624</v>
      </c>
      <c r="G670" s="55">
        <f>ROUND(SUM(G669:G669),0)</f>
        <v>1260</v>
      </c>
    </row>
    <row r="671" spans="1:7" ht="12.75" thickBot="1">
      <c r="A671" s="404" t="s">
        <v>60</v>
      </c>
      <c r="B671" s="405" t="s">
        <v>504</v>
      </c>
      <c r="C671" s="405" t="s">
        <v>504</v>
      </c>
      <c r="D671" s="405" t="s">
        <v>504</v>
      </c>
      <c r="E671" s="406" t="s">
        <v>504</v>
      </c>
      <c r="F671" s="8"/>
      <c r="G671" s="56">
        <f>ROUND(SUM(G648,G663,G667,G670),0)</f>
        <v>258423</v>
      </c>
    </row>
    <row r="672" spans="1:7">
      <c r="A672" s="1"/>
      <c r="B672" s="1"/>
      <c r="C672" s="1"/>
      <c r="D672" s="1"/>
      <c r="E672" s="52"/>
      <c r="F672" s="1"/>
      <c r="G672" s="52"/>
    </row>
    <row r="673" spans="1:7" ht="42" customHeight="1">
      <c r="A673" s="5" t="s">
        <v>359</v>
      </c>
      <c r="B673" s="5" t="s">
        <v>147</v>
      </c>
      <c r="C673" s="407" t="s">
        <v>148</v>
      </c>
      <c r="D673" s="407"/>
      <c r="E673" s="408"/>
      <c r="F673" s="407"/>
      <c r="G673" s="53" t="s">
        <v>103</v>
      </c>
    </row>
    <row r="674" spans="1:7">
      <c r="A674" s="2" t="s">
        <v>470</v>
      </c>
      <c r="B674" s="2" t="s">
        <v>471</v>
      </c>
      <c r="C674" s="2" t="s">
        <v>4</v>
      </c>
      <c r="D674" s="2" t="s">
        <v>58</v>
      </c>
      <c r="E674" s="54" t="s">
        <v>472</v>
      </c>
      <c r="F674" s="2" t="s">
        <v>473</v>
      </c>
      <c r="G674" s="54" t="s">
        <v>264</v>
      </c>
    </row>
    <row r="675" spans="1:7">
      <c r="A675" s="400" t="s">
        <v>474</v>
      </c>
      <c r="B675" s="400" t="s">
        <v>474</v>
      </c>
      <c r="C675" s="400" t="s">
        <v>474</v>
      </c>
      <c r="D675" s="400" t="s">
        <v>474</v>
      </c>
      <c r="E675" s="401" t="s">
        <v>474</v>
      </c>
      <c r="F675" s="400" t="s">
        <v>474</v>
      </c>
      <c r="G675" s="401" t="s">
        <v>474</v>
      </c>
    </row>
    <row r="676" spans="1:7">
      <c r="A676" s="3" t="s">
        <v>475</v>
      </c>
      <c r="B676" s="3" t="s">
        <v>589</v>
      </c>
      <c r="C676" s="3" t="s">
        <v>590</v>
      </c>
      <c r="D676" s="3" t="s">
        <v>478</v>
      </c>
      <c r="E676" s="262">
        <f>ROUND(EQUIPOS!$E$13,0)</f>
        <v>388</v>
      </c>
      <c r="F676" s="6">
        <v>0.2</v>
      </c>
      <c r="G676" s="35">
        <f>ROUND(E676*F676,0)</f>
        <v>78</v>
      </c>
    </row>
    <row r="677" spans="1:7">
      <c r="A677" s="3" t="s">
        <v>475</v>
      </c>
      <c r="B677" s="3" t="s">
        <v>476</v>
      </c>
      <c r="C677" s="3" t="s">
        <v>477</v>
      </c>
      <c r="D677" s="3" t="s">
        <v>478</v>
      </c>
      <c r="E677" s="262">
        <f>ROUND(EQUIPOS!$E$7,0)</f>
        <v>15000</v>
      </c>
      <c r="F677" s="6">
        <v>0.2</v>
      </c>
      <c r="G677" s="35">
        <f>ROUND(E677*F677,0)</f>
        <v>3000</v>
      </c>
    </row>
    <row r="678" spans="1:7">
      <c r="A678" s="3" t="s">
        <v>475</v>
      </c>
      <c r="B678" s="3" t="s">
        <v>578</v>
      </c>
      <c r="C678" s="3" t="s">
        <v>579</v>
      </c>
      <c r="D678" s="3" t="s">
        <v>478</v>
      </c>
      <c r="E678" s="262">
        <f>ROUND(EQUIPOS!$E$12,0)</f>
        <v>35000</v>
      </c>
      <c r="F678" s="6">
        <v>0.2</v>
      </c>
      <c r="G678" s="35">
        <f>ROUND(E678*F678,0)</f>
        <v>7000</v>
      </c>
    </row>
    <row r="679" spans="1:7">
      <c r="A679" s="3" t="s">
        <v>475</v>
      </c>
      <c r="B679" s="3" t="s">
        <v>479</v>
      </c>
      <c r="C679" s="3" t="s">
        <v>480</v>
      </c>
      <c r="D679" s="3" t="s">
        <v>481</v>
      </c>
      <c r="E679" s="262">
        <f>ROUND($G$695,0)</f>
        <v>99399</v>
      </c>
      <c r="F679" s="7">
        <v>0.05</v>
      </c>
      <c r="G679" s="35">
        <f>ROUND(E679*F679,0)</f>
        <v>4970</v>
      </c>
    </row>
    <row r="680" spans="1:7">
      <c r="A680" s="402" t="s">
        <v>482</v>
      </c>
      <c r="B680" s="402" t="s">
        <v>482</v>
      </c>
      <c r="C680" s="402" t="s">
        <v>482</v>
      </c>
      <c r="D680" s="402" t="s">
        <v>482</v>
      </c>
      <c r="E680" s="403" t="s">
        <v>482</v>
      </c>
      <c r="F680" s="402" t="s">
        <v>482</v>
      </c>
      <c r="G680" s="55">
        <f>ROUND(SUM(G676:G679),0)</f>
        <v>15048</v>
      </c>
    </row>
    <row r="681" spans="1:7">
      <c r="A681" s="400" t="s">
        <v>483</v>
      </c>
      <c r="B681" s="400" t="s">
        <v>483</v>
      </c>
      <c r="C681" s="400" t="s">
        <v>483</v>
      </c>
      <c r="D681" s="400" t="s">
        <v>483</v>
      </c>
      <c r="E681" s="401" t="s">
        <v>483</v>
      </c>
      <c r="F681" s="400" t="s">
        <v>483</v>
      </c>
      <c r="G681" s="401" t="s">
        <v>483</v>
      </c>
    </row>
    <row r="682" spans="1:7">
      <c r="A682" s="3" t="s">
        <v>484</v>
      </c>
      <c r="B682" s="3" t="s">
        <v>599</v>
      </c>
      <c r="C682" s="3" t="s">
        <v>600</v>
      </c>
      <c r="D682" s="3" t="s">
        <v>103</v>
      </c>
      <c r="E682" s="262">
        <f>ROUND(INSUMOS!$E$47,0)</f>
        <v>764</v>
      </c>
      <c r="F682" s="6">
        <v>3</v>
      </c>
      <c r="G682" s="35">
        <f t="shared" ref="G682:G690" si="16">ROUND(E682*F682,0)</f>
        <v>2292</v>
      </c>
    </row>
    <row r="683" spans="1:7">
      <c r="A683" s="3" t="s">
        <v>484</v>
      </c>
      <c r="B683" s="3" t="s">
        <v>597</v>
      </c>
      <c r="C683" s="3" t="s">
        <v>598</v>
      </c>
      <c r="D683" s="3" t="s">
        <v>68</v>
      </c>
      <c r="E683" s="262">
        <f>ROUND(INSUMOS!$E$46,0)</f>
        <v>3708</v>
      </c>
      <c r="F683" s="6">
        <v>24</v>
      </c>
      <c r="G683" s="35">
        <f t="shared" si="16"/>
        <v>88992</v>
      </c>
    </row>
    <row r="684" spans="1:7">
      <c r="A684" s="3" t="s">
        <v>484</v>
      </c>
      <c r="B684" s="3" t="s">
        <v>625</v>
      </c>
      <c r="C684" s="3" t="s">
        <v>626</v>
      </c>
      <c r="D684" s="3" t="s">
        <v>68</v>
      </c>
      <c r="E684" s="262">
        <f>ROUND(INSUMOS!$E$56,0)</f>
        <v>4378</v>
      </c>
      <c r="F684" s="6">
        <v>1</v>
      </c>
      <c r="G684" s="35">
        <f t="shared" si="16"/>
        <v>4378</v>
      </c>
    </row>
    <row r="685" spans="1:7">
      <c r="A685" s="3" t="s">
        <v>484</v>
      </c>
      <c r="B685" s="3" t="s">
        <v>603</v>
      </c>
      <c r="C685" s="3" t="s">
        <v>604</v>
      </c>
      <c r="D685" s="3" t="s">
        <v>103</v>
      </c>
      <c r="E685" s="262">
        <f>ROUND(INSUMOS!$E$49,0)</f>
        <v>2200</v>
      </c>
      <c r="F685" s="6">
        <v>1</v>
      </c>
      <c r="G685" s="35">
        <f t="shared" si="16"/>
        <v>2200</v>
      </c>
    </row>
    <row r="686" spans="1:7">
      <c r="A686" s="3" t="s">
        <v>484</v>
      </c>
      <c r="B686" s="3" t="s">
        <v>627</v>
      </c>
      <c r="C686" s="3" t="s">
        <v>628</v>
      </c>
      <c r="D686" s="3" t="s">
        <v>103</v>
      </c>
      <c r="E686" s="262">
        <f>ROUND(INSUMOS!$E$57,0)</f>
        <v>2990</v>
      </c>
      <c r="F686" s="6">
        <v>1</v>
      </c>
      <c r="G686" s="35">
        <f t="shared" si="16"/>
        <v>2990</v>
      </c>
    </row>
    <row r="687" spans="1:7">
      <c r="A687" s="3" t="s">
        <v>484</v>
      </c>
      <c r="B687" s="3" t="s">
        <v>629</v>
      </c>
      <c r="C687" s="3" t="s">
        <v>630</v>
      </c>
      <c r="D687" s="3" t="s">
        <v>103</v>
      </c>
      <c r="E687" s="262">
        <f>ROUND(INSUMOS!$E$58,0)</f>
        <v>14170</v>
      </c>
      <c r="F687" s="6">
        <v>5</v>
      </c>
      <c r="G687" s="35">
        <f t="shared" si="16"/>
        <v>70850</v>
      </c>
    </row>
    <row r="688" spans="1:7">
      <c r="A688" s="3" t="s">
        <v>484</v>
      </c>
      <c r="B688" s="3" t="s">
        <v>609</v>
      </c>
      <c r="C688" s="3" t="s">
        <v>610</v>
      </c>
      <c r="D688" s="3" t="s">
        <v>103</v>
      </c>
      <c r="E688" s="262">
        <f>ROUND(INSUMOS!$E$52,0)</f>
        <v>2100</v>
      </c>
      <c r="F688" s="6">
        <v>3</v>
      </c>
      <c r="G688" s="35">
        <f t="shared" si="16"/>
        <v>6300</v>
      </c>
    </row>
    <row r="689" spans="1:7">
      <c r="A689" s="3" t="s">
        <v>484</v>
      </c>
      <c r="B689" s="3" t="s">
        <v>631</v>
      </c>
      <c r="C689" s="3" t="s">
        <v>632</v>
      </c>
      <c r="D689" s="3" t="s">
        <v>103</v>
      </c>
      <c r="E689" s="262">
        <f>ROUND(INSUMOS!$E$59,0)</f>
        <v>28090</v>
      </c>
      <c r="F689" s="6">
        <v>0.16129032258064516</v>
      </c>
      <c r="G689" s="35">
        <f t="shared" si="16"/>
        <v>4531</v>
      </c>
    </row>
    <row r="690" spans="1:7">
      <c r="A690" s="3" t="s">
        <v>484</v>
      </c>
      <c r="B690" s="3" t="s">
        <v>615</v>
      </c>
      <c r="C690" s="3" t="s">
        <v>616</v>
      </c>
      <c r="D690" s="3" t="s">
        <v>103</v>
      </c>
      <c r="E690" s="262">
        <f>ROUND(INSUMOS!$E$55,0)</f>
        <v>9225</v>
      </c>
      <c r="F690" s="6">
        <v>1</v>
      </c>
      <c r="G690" s="35">
        <f t="shared" si="16"/>
        <v>9225</v>
      </c>
    </row>
    <row r="691" spans="1:7">
      <c r="A691" s="402" t="s">
        <v>495</v>
      </c>
      <c r="B691" s="402" t="s">
        <v>495</v>
      </c>
      <c r="C691" s="402" t="s">
        <v>495</v>
      </c>
      <c r="D691" s="402" t="s">
        <v>495</v>
      </c>
      <c r="E691" s="403" t="s">
        <v>495</v>
      </c>
      <c r="F691" s="402" t="s">
        <v>495</v>
      </c>
      <c r="G691" s="55">
        <f>ROUND(SUM(G682:G690),0)</f>
        <v>191758</v>
      </c>
    </row>
    <row r="692" spans="1:7">
      <c r="A692" s="400" t="s">
        <v>496</v>
      </c>
      <c r="B692" s="400" t="s">
        <v>496</v>
      </c>
      <c r="C692" s="400" t="s">
        <v>496</v>
      </c>
      <c r="D692" s="400" t="s">
        <v>496</v>
      </c>
      <c r="E692" s="401" t="s">
        <v>496</v>
      </c>
      <c r="F692" s="400" t="s">
        <v>496</v>
      </c>
      <c r="G692" s="401" t="s">
        <v>496</v>
      </c>
    </row>
    <row r="693" spans="1:7">
      <c r="A693" s="3" t="s">
        <v>496</v>
      </c>
      <c r="B693" s="3" t="s">
        <v>617</v>
      </c>
      <c r="C693" s="3" t="s">
        <v>618</v>
      </c>
      <c r="D693" s="3" t="s">
        <v>478</v>
      </c>
      <c r="E693" s="262">
        <f>ROUND('MANO DE OBRA'!$E$15,0)</f>
        <v>164541</v>
      </c>
      <c r="F693" s="6">
        <v>0.4</v>
      </c>
      <c r="G693" s="35">
        <f>ROUND(E693*F693,0)</f>
        <v>65816</v>
      </c>
    </row>
    <row r="694" spans="1:7">
      <c r="A694" s="3" t="s">
        <v>496</v>
      </c>
      <c r="B694" s="3" t="s">
        <v>619</v>
      </c>
      <c r="C694" s="3" t="s">
        <v>620</v>
      </c>
      <c r="D694" s="3" t="s">
        <v>478</v>
      </c>
      <c r="E694" s="262">
        <f>ROUND('MANO DE OBRA'!$E$16,0)</f>
        <v>83958</v>
      </c>
      <c r="F694" s="6">
        <v>0.4</v>
      </c>
      <c r="G694" s="35">
        <f>ROUND(E694*F694,0)</f>
        <v>33583</v>
      </c>
    </row>
    <row r="695" spans="1:7">
      <c r="A695" s="402" t="s">
        <v>503</v>
      </c>
      <c r="B695" s="402" t="s">
        <v>503</v>
      </c>
      <c r="C695" s="402" t="s">
        <v>503</v>
      </c>
      <c r="D695" s="402" t="s">
        <v>503</v>
      </c>
      <c r="E695" s="403" t="s">
        <v>503</v>
      </c>
      <c r="F695" s="402" t="s">
        <v>503</v>
      </c>
      <c r="G695" s="55">
        <f>ROUND(SUM(G693:G694),0)</f>
        <v>99399</v>
      </c>
    </row>
    <row r="696" spans="1:7">
      <c r="A696" s="400" t="s">
        <v>621</v>
      </c>
      <c r="B696" s="400" t="s">
        <v>621</v>
      </c>
      <c r="C696" s="400" t="s">
        <v>621</v>
      </c>
      <c r="D696" s="400" t="s">
        <v>621</v>
      </c>
      <c r="E696" s="401" t="s">
        <v>621</v>
      </c>
      <c r="F696" s="400" t="s">
        <v>621</v>
      </c>
      <c r="G696" s="401" t="s">
        <v>621</v>
      </c>
    </row>
    <row r="697" spans="1:7">
      <c r="A697" s="3" t="s">
        <v>621</v>
      </c>
      <c r="B697" s="3" t="s">
        <v>622</v>
      </c>
      <c r="C697" s="3" t="s">
        <v>623</v>
      </c>
      <c r="D697" s="3" t="s">
        <v>478</v>
      </c>
      <c r="E697" s="262">
        <f>ROUND(TRANSPORTE!$E$9,0)</f>
        <v>126000</v>
      </c>
      <c r="F697" s="6">
        <v>0.01</v>
      </c>
      <c r="G697" s="35">
        <f>ROUND(E697*F697,0)</f>
        <v>1260</v>
      </c>
    </row>
    <row r="698" spans="1:7">
      <c r="A698" s="3" t="s">
        <v>621</v>
      </c>
      <c r="B698" s="3" t="s">
        <v>633</v>
      </c>
      <c r="C698" s="3" t="s">
        <v>634</v>
      </c>
      <c r="D698" s="3" t="s">
        <v>478</v>
      </c>
      <c r="E698" s="262">
        <f>ROUND(TRANSPORTE!$E$10,0)</f>
        <v>653</v>
      </c>
      <c r="F698" s="6">
        <v>1</v>
      </c>
      <c r="G698" s="35">
        <f>ROUND(E698*F698,0)</f>
        <v>653</v>
      </c>
    </row>
    <row r="699" spans="1:7">
      <c r="A699" s="3" t="s">
        <v>621</v>
      </c>
      <c r="B699" s="3" t="s">
        <v>635</v>
      </c>
      <c r="C699" s="3" t="s">
        <v>636</v>
      </c>
      <c r="D699" s="3" t="s">
        <v>478</v>
      </c>
      <c r="E699" s="262">
        <f>ROUND(TRANSPORTE!$E$11,0)</f>
        <v>653</v>
      </c>
      <c r="F699" s="6">
        <v>1</v>
      </c>
      <c r="G699" s="35">
        <f>ROUND(E699*F699,0)</f>
        <v>653</v>
      </c>
    </row>
    <row r="700" spans="1:7" ht="12.75" thickBot="1">
      <c r="A700" s="402" t="s">
        <v>624</v>
      </c>
      <c r="B700" s="402" t="s">
        <v>624</v>
      </c>
      <c r="C700" s="402" t="s">
        <v>624</v>
      </c>
      <c r="D700" s="402" t="s">
        <v>624</v>
      </c>
      <c r="E700" s="403" t="s">
        <v>624</v>
      </c>
      <c r="F700" s="402" t="s">
        <v>624</v>
      </c>
      <c r="G700" s="55">
        <f>ROUND(SUM(G697:G699),0)</f>
        <v>2566</v>
      </c>
    </row>
    <row r="701" spans="1:7" ht="12.75" thickBot="1">
      <c r="A701" s="404" t="s">
        <v>60</v>
      </c>
      <c r="B701" s="405" t="s">
        <v>504</v>
      </c>
      <c r="C701" s="405" t="s">
        <v>504</v>
      </c>
      <c r="D701" s="405" t="s">
        <v>504</v>
      </c>
      <c r="E701" s="406" t="s">
        <v>504</v>
      </c>
      <c r="F701" s="8"/>
      <c r="G701" s="56">
        <f>ROUND(SUM(G680,G691,G695,G700),0)</f>
        <v>308771</v>
      </c>
    </row>
    <row r="702" spans="1:7">
      <c r="A702" s="1"/>
      <c r="B702" s="1"/>
      <c r="C702" s="1"/>
      <c r="D702" s="1"/>
      <c r="E702" s="52"/>
      <c r="F702" s="1"/>
      <c r="G702" s="52"/>
    </row>
    <row r="703" spans="1:7" ht="42" customHeight="1">
      <c r="A703" s="5" t="s">
        <v>361</v>
      </c>
      <c r="B703" s="5" t="s">
        <v>149</v>
      </c>
      <c r="C703" s="407" t="s">
        <v>150</v>
      </c>
      <c r="D703" s="407"/>
      <c r="E703" s="408"/>
      <c r="F703" s="407"/>
      <c r="G703" s="53" t="s">
        <v>68</v>
      </c>
    </row>
    <row r="704" spans="1:7">
      <c r="A704" s="2" t="s">
        <v>470</v>
      </c>
      <c r="B704" s="2" t="s">
        <v>471</v>
      </c>
      <c r="C704" s="2" t="s">
        <v>4</v>
      </c>
      <c r="D704" s="2" t="s">
        <v>58</v>
      </c>
      <c r="E704" s="54" t="s">
        <v>472</v>
      </c>
      <c r="F704" s="2" t="s">
        <v>473</v>
      </c>
      <c r="G704" s="54" t="s">
        <v>264</v>
      </c>
    </row>
    <row r="705" spans="1:7">
      <c r="A705" s="400" t="s">
        <v>474</v>
      </c>
      <c r="B705" s="400" t="s">
        <v>474</v>
      </c>
      <c r="C705" s="400" t="s">
        <v>474</v>
      </c>
      <c r="D705" s="400" t="s">
        <v>474</v>
      </c>
      <c r="E705" s="401" t="s">
        <v>474</v>
      </c>
      <c r="F705" s="400" t="s">
        <v>474</v>
      </c>
      <c r="G705" s="401" t="s">
        <v>474</v>
      </c>
    </row>
    <row r="706" spans="1:7">
      <c r="A706" s="3" t="s">
        <v>475</v>
      </c>
      <c r="B706" s="3" t="s">
        <v>589</v>
      </c>
      <c r="C706" s="3" t="s">
        <v>590</v>
      </c>
      <c r="D706" s="3" t="s">
        <v>478</v>
      </c>
      <c r="E706" s="262">
        <f>ROUND(EQUIPOS!$E$13,0)</f>
        <v>388</v>
      </c>
      <c r="F706" s="6">
        <v>6.6666666666666666E-2</v>
      </c>
      <c r="G706" s="35">
        <f>ROUND(E706*F706,0)</f>
        <v>26</v>
      </c>
    </row>
    <row r="707" spans="1:7">
      <c r="A707" s="3" t="s">
        <v>475</v>
      </c>
      <c r="B707" s="3" t="s">
        <v>637</v>
      </c>
      <c r="C707" s="3" t="s">
        <v>638</v>
      </c>
      <c r="D707" s="3" t="s">
        <v>478</v>
      </c>
      <c r="E707" s="262">
        <f>ROUND(EQUIPOS!$E$14,0)</f>
        <v>105</v>
      </c>
      <c r="F707" s="6">
        <v>6.6666666666666666E-2</v>
      </c>
      <c r="G707" s="35">
        <f>ROUND(E707*F707,0)</f>
        <v>7</v>
      </c>
    </row>
    <row r="708" spans="1:7">
      <c r="A708" s="3" t="s">
        <v>475</v>
      </c>
      <c r="B708" s="3" t="s">
        <v>639</v>
      </c>
      <c r="C708" s="3" t="s">
        <v>640</v>
      </c>
      <c r="D708" s="3" t="s">
        <v>478</v>
      </c>
      <c r="E708" s="262">
        <f>ROUND(EQUIPOS!$E$15,0)</f>
        <v>75</v>
      </c>
      <c r="F708" s="6">
        <v>6.6666666666666666E-2</v>
      </c>
      <c r="G708" s="35">
        <f>ROUND(E708*F708,0)</f>
        <v>5</v>
      </c>
    </row>
    <row r="709" spans="1:7">
      <c r="A709" s="3" t="s">
        <v>475</v>
      </c>
      <c r="B709" s="3" t="s">
        <v>479</v>
      </c>
      <c r="C709" s="3" t="s">
        <v>480</v>
      </c>
      <c r="D709" s="3" t="s">
        <v>481</v>
      </c>
      <c r="E709" s="262">
        <f>ROUND($G$724,0)</f>
        <v>24850</v>
      </c>
      <c r="F709" s="7">
        <v>0.05</v>
      </c>
      <c r="G709" s="35">
        <f>ROUND(E709*F709,0)</f>
        <v>1243</v>
      </c>
    </row>
    <row r="710" spans="1:7">
      <c r="A710" s="402" t="s">
        <v>482</v>
      </c>
      <c r="B710" s="402" t="s">
        <v>482</v>
      </c>
      <c r="C710" s="402" t="s">
        <v>482</v>
      </c>
      <c r="D710" s="402" t="s">
        <v>482</v>
      </c>
      <c r="E710" s="403" t="s">
        <v>482</v>
      </c>
      <c r="F710" s="402" t="s">
        <v>482</v>
      </c>
      <c r="G710" s="55">
        <f>ROUND(SUM(G706:G709),0)</f>
        <v>1281</v>
      </c>
    </row>
    <row r="711" spans="1:7">
      <c r="A711" s="400" t="s">
        <v>483</v>
      </c>
      <c r="B711" s="400" t="s">
        <v>483</v>
      </c>
      <c r="C711" s="400" t="s">
        <v>483</v>
      </c>
      <c r="D711" s="400" t="s">
        <v>483</v>
      </c>
      <c r="E711" s="401" t="s">
        <v>483</v>
      </c>
      <c r="F711" s="400" t="s">
        <v>483</v>
      </c>
      <c r="G711" s="401" t="s">
        <v>483</v>
      </c>
    </row>
    <row r="712" spans="1:7">
      <c r="A712" s="3" t="s">
        <v>484</v>
      </c>
      <c r="B712" s="3" t="s">
        <v>641</v>
      </c>
      <c r="C712" s="3" t="s">
        <v>642</v>
      </c>
      <c r="D712" s="3" t="s">
        <v>103</v>
      </c>
      <c r="E712" s="262">
        <f>ROUND(INSUMOS!$E$60,0)</f>
        <v>8450</v>
      </c>
      <c r="F712" s="6">
        <v>3</v>
      </c>
      <c r="G712" s="35">
        <f t="shared" ref="G712:G719" si="17">ROUND(E712*F712,0)</f>
        <v>25350</v>
      </c>
    </row>
    <row r="713" spans="1:7">
      <c r="A713" s="3" t="s">
        <v>484</v>
      </c>
      <c r="B713" s="3" t="s">
        <v>643</v>
      </c>
      <c r="C713" s="3" t="s">
        <v>644</v>
      </c>
      <c r="D713" s="3" t="s">
        <v>103</v>
      </c>
      <c r="E713" s="262">
        <f>ROUND(INSUMOS!$E$61,0)</f>
        <v>5499</v>
      </c>
      <c r="F713" s="6">
        <v>1</v>
      </c>
      <c r="G713" s="35">
        <f t="shared" si="17"/>
        <v>5499</v>
      </c>
    </row>
    <row r="714" spans="1:7">
      <c r="A714" s="3" t="s">
        <v>484</v>
      </c>
      <c r="B714" s="3" t="s">
        <v>645</v>
      </c>
      <c r="C714" s="3" t="s">
        <v>646</v>
      </c>
      <c r="D714" s="3" t="s">
        <v>103</v>
      </c>
      <c r="E714" s="262">
        <f>ROUND(INSUMOS!$E$62,0)</f>
        <v>5800</v>
      </c>
      <c r="F714" s="6">
        <v>0.13333333333333333</v>
      </c>
      <c r="G714" s="35">
        <f t="shared" si="17"/>
        <v>773</v>
      </c>
    </row>
    <row r="715" spans="1:7">
      <c r="A715" s="3" t="s">
        <v>484</v>
      </c>
      <c r="B715" s="3" t="s">
        <v>647</v>
      </c>
      <c r="C715" s="3" t="s">
        <v>648</v>
      </c>
      <c r="D715" s="3" t="s">
        <v>103</v>
      </c>
      <c r="E715" s="262">
        <f>ROUND(INSUMOS!$E$63,0)</f>
        <v>2900</v>
      </c>
      <c r="F715" s="6">
        <v>3.3333333333333333E-2</v>
      </c>
      <c r="G715" s="35">
        <f t="shared" si="17"/>
        <v>97</v>
      </c>
    </row>
    <row r="716" spans="1:7">
      <c r="A716" s="3" t="s">
        <v>484</v>
      </c>
      <c r="B716" s="3" t="s">
        <v>649</v>
      </c>
      <c r="C716" s="3" t="s">
        <v>650</v>
      </c>
      <c r="D716" s="3" t="s">
        <v>103</v>
      </c>
      <c r="E716" s="262">
        <f>ROUND(INSUMOS!$E$64,0)</f>
        <v>3250</v>
      </c>
      <c r="F716" s="6">
        <v>2.5157232704402517E-2</v>
      </c>
      <c r="G716" s="35">
        <f t="shared" si="17"/>
        <v>82</v>
      </c>
    </row>
    <row r="717" spans="1:7">
      <c r="A717" s="3" t="s">
        <v>484</v>
      </c>
      <c r="B717" s="3" t="s">
        <v>651</v>
      </c>
      <c r="C717" s="3" t="s">
        <v>652</v>
      </c>
      <c r="D717" s="3" t="s">
        <v>103</v>
      </c>
      <c r="E717" s="262">
        <f>ROUND(INSUMOS!$E$65,0)</f>
        <v>14170</v>
      </c>
      <c r="F717" s="6">
        <v>1</v>
      </c>
      <c r="G717" s="35">
        <f t="shared" si="17"/>
        <v>14170</v>
      </c>
    </row>
    <row r="718" spans="1:7">
      <c r="A718" s="3" t="s">
        <v>484</v>
      </c>
      <c r="B718" s="3" t="s">
        <v>653</v>
      </c>
      <c r="C718" s="3" t="s">
        <v>654</v>
      </c>
      <c r="D718" s="3" t="s">
        <v>103</v>
      </c>
      <c r="E718" s="262">
        <f>ROUND(INSUMOS!$E$66,0)</f>
        <v>7540</v>
      </c>
      <c r="F718" s="6">
        <v>2.5157232704402517E-2</v>
      </c>
      <c r="G718" s="35">
        <f t="shared" si="17"/>
        <v>190</v>
      </c>
    </row>
    <row r="719" spans="1:7">
      <c r="A719" s="3" t="s">
        <v>484</v>
      </c>
      <c r="B719" s="3" t="s">
        <v>615</v>
      </c>
      <c r="C719" s="3" t="s">
        <v>616</v>
      </c>
      <c r="D719" s="3" t="s">
        <v>103</v>
      </c>
      <c r="E719" s="262">
        <f>ROUND(INSUMOS!$E$55,0)</f>
        <v>9225</v>
      </c>
      <c r="F719" s="6">
        <v>0.1</v>
      </c>
      <c r="G719" s="35">
        <f t="shared" si="17"/>
        <v>923</v>
      </c>
    </row>
    <row r="720" spans="1:7">
      <c r="A720" s="402" t="s">
        <v>495</v>
      </c>
      <c r="B720" s="402" t="s">
        <v>495</v>
      </c>
      <c r="C720" s="402" t="s">
        <v>495</v>
      </c>
      <c r="D720" s="402" t="s">
        <v>495</v>
      </c>
      <c r="E720" s="403" t="s">
        <v>495</v>
      </c>
      <c r="F720" s="402" t="s">
        <v>495</v>
      </c>
      <c r="G720" s="55">
        <f>ROUND(SUM(G712:G719),0)</f>
        <v>47084</v>
      </c>
    </row>
    <row r="721" spans="1:7">
      <c r="A721" s="400" t="s">
        <v>496</v>
      </c>
      <c r="B721" s="400" t="s">
        <v>496</v>
      </c>
      <c r="C721" s="400" t="s">
        <v>496</v>
      </c>
      <c r="D721" s="400" t="s">
        <v>496</v>
      </c>
      <c r="E721" s="401" t="s">
        <v>496</v>
      </c>
      <c r="F721" s="400" t="s">
        <v>496</v>
      </c>
      <c r="G721" s="401" t="s">
        <v>496</v>
      </c>
    </row>
    <row r="722" spans="1:7">
      <c r="A722" s="3" t="s">
        <v>496</v>
      </c>
      <c r="B722" s="3" t="s">
        <v>617</v>
      </c>
      <c r="C722" s="3" t="s">
        <v>618</v>
      </c>
      <c r="D722" s="3" t="s">
        <v>478</v>
      </c>
      <c r="E722" s="262">
        <f>ROUND('MANO DE OBRA'!$E$15,0)</f>
        <v>164541</v>
      </c>
      <c r="F722" s="6">
        <v>0.1</v>
      </c>
      <c r="G722" s="35">
        <f>ROUND(E722*F722,0)</f>
        <v>16454</v>
      </c>
    </row>
    <row r="723" spans="1:7">
      <c r="A723" s="3" t="s">
        <v>496</v>
      </c>
      <c r="B723" s="3" t="s">
        <v>619</v>
      </c>
      <c r="C723" s="3" t="s">
        <v>620</v>
      </c>
      <c r="D723" s="3" t="s">
        <v>478</v>
      </c>
      <c r="E723" s="262">
        <f>ROUND('MANO DE OBRA'!$E$16,0)</f>
        <v>83958</v>
      </c>
      <c r="F723" s="6">
        <v>0.1</v>
      </c>
      <c r="G723" s="35">
        <f>ROUND(E723*F723,0)</f>
        <v>8396</v>
      </c>
    </row>
    <row r="724" spans="1:7">
      <c r="A724" s="402" t="s">
        <v>503</v>
      </c>
      <c r="B724" s="402" t="s">
        <v>503</v>
      </c>
      <c r="C724" s="402" t="s">
        <v>503</v>
      </c>
      <c r="D724" s="402" t="s">
        <v>503</v>
      </c>
      <c r="E724" s="403" t="s">
        <v>503</v>
      </c>
      <c r="F724" s="402" t="s">
        <v>503</v>
      </c>
      <c r="G724" s="55">
        <f>ROUND(SUM(G722:G723),0)</f>
        <v>24850</v>
      </c>
    </row>
    <row r="725" spans="1:7">
      <c r="A725" s="400" t="s">
        <v>621</v>
      </c>
      <c r="B725" s="400" t="s">
        <v>621</v>
      </c>
      <c r="C725" s="400" t="s">
        <v>621</v>
      </c>
      <c r="D725" s="400" t="s">
        <v>621</v>
      </c>
      <c r="E725" s="401" t="s">
        <v>621</v>
      </c>
      <c r="F725" s="400" t="s">
        <v>621</v>
      </c>
      <c r="G725" s="401" t="s">
        <v>621</v>
      </c>
    </row>
    <row r="726" spans="1:7">
      <c r="A726" s="3" t="s">
        <v>621</v>
      </c>
      <c r="B726" s="3" t="s">
        <v>622</v>
      </c>
      <c r="C726" s="3" t="s">
        <v>623</v>
      </c>
      <c r="D726" s="3" t="s">
        <v>478</v>
      </c>
      <c r="E726" s="262">
        <f>ROUND(TRANSPORTE!$E$9,0)</f>
        <v>126000</v>
      </c>
      <c r="F726" s="6">
        <v>2E-3</v>
      </c>
      <c r="G726" s="35">
        <f>ROUND(E726*F726,0)</f>
        <v>252</v>
      </c>
    </row>
    <row r="727" spans="1:7" ht="12.75" thickBot="1">
      <c r="A727" s="402" t="s">
        <v>624</v>
      </c>
      <c r="B727" s="402" t="s">
        <v>624</v>
      </c>
      <c r="C727" s="402" t="s">
        <v>624</v>
      </c>
      <c r="D727" s="402" t="s">
        <v>624</v>
      </c>
      <c r="E727" s="403" t="s">
        <v>624</v>
      </c>
      <c r="F727" s="402" t="s">
        <v>624</v>
      </c>
      <c r="G727" s="55">
        <f>ROUND(SUM(G726:G726),0)</f>
        <v>252</v>
      </c>
    </row>
    <row r="728" spans="1:7" ht="12.75" thickBot="1">
      <c r="A728" s="404" t="s">
        <v>60</v>
      </c>
      <c r="B728" s="405" t="s">
        <v>504</v>
      </c>
      <c r="C728" s="405" t="s">
        <v>504</v>
      </c>
      <c r="D728" s="405" t="s">
        <v>504</v>
      </c>
      <c r="E728" s="406" t="s">
        <v>504</v>
      </c>
      <c r="F728" s="8"/>
      <c r="G728" s="56">
        <f>ROUND(SUM(G710,G720,G724,G727),0)</f>
        <v>73467</v>
      </c>
    </row>
    <row r="729" spans="1:7">
      <c r="A729" s="1"/>
      <c r="B729" s="1"/>
      <c r="C729" s="1"/>
      <c r="D729" s="1"/>
      <c r="E729" s="52"/>
      <c r="F729" s="1"/>
      <c r="G729" s="52"/>
    </row>
    <row r="730" spans="1:7" ht="42" customHeight="1">
      <c r="A730" s="5" t="s">
        <v>363</v>
      </c>
      <c r="B730" s="5" t="s">
        <v>151</v>
      </c>
      <c r="C730" s="407" t="s">
        <v>152</v>
      </c>
      <c r="D730" s="407"/>
      <c r="E730" s="408"/>
      <c r="F730" s="407"/>
      <c r="G730" s="53" t="s">
        <v>103</v>
      </c>
    </row>
    <row r="731" spans="1:7">
      <c r="A731" s="2" t="s">
        <v>470</v>
      </c>
      <c r="B731" s="2" t="s">
        <v>471</v>
      </c>
      <c r="C731" s="2" t="s">
        <v>4</v>
      </c>
      <c r="D731" s="2" t="s">
        <v>58</v>
      </c>
      <c r="E731" s="54" t="s">
        <v>472</v>
      </c>
      <c r="F731" s="2" t="s">
        <v>473</v>
      </c>
      <c r="G731" s="54" t="s">
        <v>264</v>
      </c>
    </row>
    <row r="732" spans="1:7">
      <c r="A732" s="400" t="s">
        <v>474</v>
      </c>
      <c r="B732" s="400" t="s">
        <v>474</v>
      </c>
      <c r="C732" s="400" t="s">
        <v>474</v>
      </c>
      <c r="D732" s="400" t="s">
        <v>474</v>
      </c>
      <c r="E732" s="401" t="s">
        <v>474</v>
      </c>
      <c r="F732" s="400" t="s">
        <v>474</v>
      </c>
      <c r="G732" s="401" t="s">
        <v>474</v>
      </c>
    </row>
    <row r="733" spans="1:7">
      <c r="A733" s="3" t="s">
        <v>475</v>
      </c>
      <c r="B733" s="3" t="s">
        <v>589</v>
      </c>
      <c r="C733" s="3" t="s">
        <v>590</v>
      </c>
      <c r="D733" s="3" t="s">
        <v>478</v>
      </c>
      <c r="E733" s="262">
        <f>ROUND(EQUIPOS!$E$13,0)</f>
        <v>388</v>
      </c>
      <c r="F733" s="6">
        <v>0.2</v>
      </c>
      <c r="G733" s="35">
        <f>ROUND(E733*F733,0)</f>
        <v>78</v>
      </c>
    </row>
    <row r="734" spans="1:7">
      <c r="A734" s="3" t="s">
        <v>475</v>
      </c>
      <c r="B734" s="3" t="s">
        <v>476</v>
      </c>
      <c r="C734" s="3" t="s">
        <v>477</v>
      </c>
      <c r="D734" s="3" t="s">
        <v>478</v>
      </c>
      <c r="E734" s="262">
        <f>ROUND(EQUIPOS!$E$7,0)</f>
        <v>15000</v>
      </c>
      <c r="F734" s="6">
        <v>0.2</v>
      </c>
      <c r="G734" s="35">
        <f>ROUND(E734*F734,0)</f>
        <v>3000</v>
      </c>
    </row>
    <row r="735" spans="1:7">
      <c r="A735" s="3" t="s">
        <v>475</v>
      </c>
      <c r="B735" s="3" t="s">
        <v>578</v>
      </c>
      <c r="C735" s="3" t="s">
        <v>579</v>
      </c>
      <c r="D735" s="3" t="s">
        <v>478</v>
      </c>
      <c r="E735" s="262">
        <f>ROUND(EQUIPOS!$E$12,0)</f>
        <v>35000</v>
      </c>
      <c r="F735" s="6">
        <v>0.2</v>
      </c>
      <c r="G735" s="35">
        <f>ROUND(E735*F735,0)</f>
        <v>7000</v>
      </c>
    </row>
    <row r="736" spans="1:7">
      <c r="A736" s="3" t="s">
        <v>475</v>
      </c>
      <c r="B736" s="3" t="s">
        <v>479</v>
      </c>
      <c r="C736" s="3" t="s">
        <v>480</v>
      </c>
      <c r="D736" s="3" t="s">
        <v>481</v>
      </c>
      <c r="E736" s="262">
        <f>ROUND($G$745,0)</f>
        <v>124250</v>
      </c>
      <c r="F736" s="7">
        <v>0.05</v>
      </c>
      <c r="G736" s="35">
        <f>ROUND(E736*F736,0)</f>
        <v>6213</v>
      </c>
    </row>
    <row r="737" spans="1:7">
      <c r="A737" s="402" t="s">
        <v>482</v>
      </c>
      <c r="B737" s="402" t="s">
        <v>482</v>
      </c>
      <c r="C737" s="402" t="s">
        <v>482</v>
      </c>
      <c r="D737" s="402" t="s">
        <v>482</v>
      </c>
      <c r="E737" s="403" t="s">
        <v>482</v>
      </c>
      <c r="F737" s="402" t="s">
        <v>482</v>
      </c>
      <c r="G737" s="55">
        <f>ROUND(SUM(G733:G736),0)</f>
        <v>16291</v>
      </c>
    </row>
    <row r="738" spans="1:7">
      <c r="A738" s="400" t="s">
        <v>483</v>
      </c>
      <c r="B738" s="400" t="s">
        <v>483</v>
      </c>
      <c r="C738" s="400" t="s">
        <v>483</v>
      </c>
      <c r="D738" s="400" t="s">
        <v>483</v>
      </c>
      <c r="E738" s="401" t="s">
        <v>483</v>
      </c>
      <c r="F738" s="400" t="s">
        <v>483</v>
      </c>
      <c r="G738" s="401" t="s">
        <v>483</v>
      </c>
    </row>
    <row r="739" spans="1:7">
      <c r="A739" s="3" t="s">
        <v>484</v>
      </c>
      <c r="B739" s="3" t="s">
        <v>655</v>
      </c>
      <c r="C739" s="3" t="s">
        <v>656</v>
      </c>
      <c r="D739" s="3" t="s">
        <v>103</v>
      </c>
      <c r="E739" s="262">
        <f>ROUND(INSUMOS!$E$67,0)</f>
        <v>175826</v>
      </c>
      <c r="F739" s="6">
        <v>1</v>
      </c>
      <c r="G739" s="35">
        <f>ROUND(E739*F739,0)</f>
        <v>175826</v>
      </c>
    </row>
    <row r="740" spans="1:7">
      <c r="A740" s="3" t="s">
        <v>484</v>
      </c>
      <c r="B740" s="3" t="s">
        <v>615</v>
      </c>
      <c r="C740" s="3" t="s">
        <v>616</v>
      </c>
      <c r="D740" s="3" t="s">
        <v>103</v>
      </c>
      <c r="E740" s="262">
        <f>ROUND(INSUMOS!$E$55,0)</f>
        <v>9225</v>
      </c>
      <c r="F740" s="6">
        <v>2</v>
      </c>
      <c r="G740" s="35">
        <f>ROUND(E740*F740,0)</f>
        <v>18450</v>
      </c>
    </row>
    <row r="741" spans="1:7">
      <c r="A741" s="402" t="s">
        <v>495</v>
      </c>
      <c r="B741" s="402" t="s">
        <v>495</v>
      </c>
      <c r="C741" s="402" t="s">
        <v>495</v>
      </c>
      <c r="D741" s="402" t="s">
        <v>495</v>
      </c>
      <c r="E741" s="403" t="s">
        <v>495</v>
      </c>
      <c r="F741" s="402" t="s">
        <v>495</v>
      </c>
      <c r="G741" s="55">
        <f>ROUND(SUM(G739:G740),0)</f>
        <v>194276</v>
      </c>
    </row>
    <row r="742" spans="1:7">
      <c r="A742" s="400" t="s">
        <v>496</v>
      </c>
      <c r="B742" s="400" t="s">
        <v>496</v>
      </c>
      <c r="C742" s="400" t="s">
        <v>496</v>
      </c>
      <c r="D742" s="400" t="s">
        <v>496</v>
      </c>
      <c r="E742" s="401" t="s">
        <v>496</v>
      </c>
      <c r="F742" s="400" t="s">
        <v>496</v>
      </c>
      <c r="G742" s="401" t="s">
        <v>496</v>
      </c>
    </row>
    <row r="743" spans="1:7">
      <c r="A743" s="3" t="s">
        <v>496</v>
      </c>
      <c r="B743" s="3" t="s">
        <v>617</v>
      </c>
      <c r="C743" s="3" t="s">
        <v>618</v>
      </c>
      <c r="D743" s="3" t="s">
        <v>478</v>
      </c>
      <c r="E743" s="262">
        <f>ROUND('MANO DE OBRA'!$E$15,0)</f>
        <v>164541</v>
      </c>
      <c r="F743" s="6">
        <v>0.5</v>
      </c>
      <c r="G743" s="35">
        <f>ROUND(E743*F743,0)</f>
        <v>82271</v>
      </c>
    </row>
    <row r="744" spans="1:7">
      <c r="A744" s="3" t="s">
        <v>496</v>
      </c>
      <c r="B744" s="3" t="s">
        <v>619</v>
      </c>
      <c r="C744" s="3" t="s">
        <v>620</v>
      </c>
      <c r="D744" s="3" t="s">
        <v>478</v>
      </c>
      <c r="E744" s="262">
        <f>ROUND('MANO DE OBRA'!$E$16,0)</f>
        <v>83958</v>
      </c>
      <c r="F744" s="6">
        <v>0.5</v>
      </c>
      <c r="G744" s="35">
        <f>ROUND(E744*F744,0)</f>
        <v>41979</v>
      </c>
    </row>
    <row r="745" spans="1:7">
      <c r="A745" s="402" t="s">
        <v>503</v>
      </c>
      <c r="B745" s="402" t="s">
        <v>503</v>
      </c>
      <c r="C745" s="402" t="s">
        <v>503</v>
      </c>
      <c r="D745" s="402" t="s">
        <v>503</v>
      </c>
      <c r="E745" s="403" t="s">
        <v>503</v>
      </c>
      <c r="F745" s="402" t="s">
        <v>503</v>
      </c>
      <c r="G745" s="55">
        <f>ROUND(SUM(G743:G744),0)</f>
        <v>124250</v>
      </c>
    </row>
    <row r="746" spans="1:7">
      <c r="A746" s="400" t="s">
        <v>621</v>
      </c>
      <c r="B746" s="400" t="s">
        <v>621</v>
      </c>
      <c r="C746" s="400" t="s">
        <v>621</v>
      </c>
      <c r="D746" s="400" t="s">
        <v>621</v>
      </c>
      <c r="E746" s="401" t="s">
        <v>621</v>
      </c>
      <c r="F746" s="400" t="s">
        <v>621</v>
      </c>
      <c r="G746" s="401" t="s">
        <v>621</v>
      </c>
    </row>
    <row r="747" spans="1:7">
      <c r="A747" s="3" t="s">
        <v>621</v>
      </c>
      <c r="B747" s="3" t="s">
        <v>622</v>
      </c>
      <c r="C747" s="3" t="s">
        <v>623</v>
      </c>
      <c r="D747" s="3" t="s">
        <v>478</v>
      </c>
      <c r="E747" s="262">
        <f>ROUND(TRANSPORTE!$E$9,0)</f>
        <v>126000</v>
      </c>
      <c r="F747" s="6">
        <v>2E-3</v>
      </c>
      <c r="G747" s="35">
        <f>ROUND(E747*F747,0)</f>
        <v>252</v>
      </c>
    </row>
    <row r="748" spans="1:7" ht="12.75" thickBot="1">
      <c r="A748" s="402" t="s">
        <v>624</v>
      </c>
      <c r="B748" s="402" t="s">
        <v>624</v>
      </c>
      <c r="C748" s="402" t="s">
        <v>624</v>
      </c>
      <c r="D748" s="402" t="s">
        <v>624</v>
      </c>
      <c r="E748" s="403" t="s">
        <v>624</v>
      </c>
      <c r="F748" s="402" t="s">
        <v>624</v>
      </c>
      <c r="G748" s="55">
        <f>ROUND(SUM(G747:G747),0)</f>
        <v>252</v>
      </c>
    </row>
    <row r="749" spans="1:7" ht="12.75" thickBot="1">
      <c r="A749" s="404" t="s">
        <v>60</v>
      </c>
      <c r="B749" s="405" t="s">
        <v>504</v>
      </c>
      <c r="C749" s="405" t="s">
        <v>504</v>
      </c>
      <c r="D749" s="405" t="s">
        <v>504</v>
      </c>
      <c r="E749" s="406" t="s">
        <v>504</v>
      </c>
      <c r="F749" s="8"/>
      <c r="G749" s="56">
        <f>ROUND(SUM(G737,G741,G745,G748),0)</f>
        <v>335069</v>
      </c>
    </row>
    <row r="750" spans="1:7">
      <c r="A750" s="1"/>
      <c r="B750" s="1"/>
      <c r="C750" s="1"/>
      <c r="D750" s="1"/>
      <c r="E750" s="52"/>
      <c r="F750" s="1"/>
      <c r="G750" s="52"/>
    </row>
    <row r="751" spans="1:7" ht="42" customHeight="1">
      <c r="A751" s="5" t="s">
        <v>364</v>
      </c>
      <c r="B751" s="5" t="s">
        <v>153</v>
      </c>
      <c r="C751" s="407" t="s">
        <v>154</v>
      </c>
      <c r="D751" s="407"/>
      <c r="E751" s="408"/>
      <c r="F751" s="407"/>
      <c r="G751" s="53" t="s">
        <v>103</v>
      </c>
    </row>
    <row r="752" spans="1:7">
      <c r="A752" s="2" t="s">
        <v>470</v>
      </c>
      <c r="B752" s="2" t="s">
        <v>471</v>
      </c>
      <c r="C752" s="2" t="s">
        <v>4</v>
      </c>
      <c r="D752" s="2" t="s">
        <v>58</v>
      </c>
      <c r="E752" s="54" t="s">
        <v>472</v>
      </c>
      <c r="F752" s="2" t="s">
        <v>473</v>
      </c>
      <c r="G752" s="54" t="s">
        <v>264</v>
      </c>
    </row>
    <row r="753" spans="1:7">
      <c r="A753" s="400" t="s">
        <v>474</v>
      </c>
      <c r="B753" s="400" t="s">
        <v>474</v>
      </c>
      <c r="C753" s="400" t="s">
        <v>474</v>
      </c>
      <c r="D753" s="400" t="s">
        <v>474</v>
      </c>
      <c r="E753" s="401" t="s">
        <v>474</v>
      </c>
      <c r="F753" s="400" t="s">
        <v>474</v>
      </c>
      <c r="G753" s="401" t="s">
        <v>474</v>
      </c>
    </row>
    <row r="754" spans="1:7">
      <c r="A754" s="3" t="s">
        <v>475</v>
      </c>
      <c r="B754" s="3" t="s">
        <v>589</v>
      </c>
      <c r="C754" s="3" t="s">
        <v>590</v>
      </c>
      <c r="D754" s="3" t="s">
        <v>478</v>
      </c>
      <c r="E754" s="262">
        <f>ROUND(EQUIPOS!$E$13,0)</f>
        <v>388</v>
      </c>
      <c r="F754" s="6">
        <v>6.6666666666666666E-2</v>
      </c>
      <c r="G754" s="35">
        <f>ROUND(E754*F754,0)</f>
        <v>26</v>
      </c>
    </row>
    <row r="755" spans="1:7">
      <c r="A755" s="3" t="s">
        <v>475</v>
      </c>
      <c r="B755" s="3" t="s">
        <v>476</v>
      </c>
      <c r="C755" s="3" t="s">
        <v>477</v>
      </c>
      <c r="D755" s="3" t="s">
        <v>478</v>
      </c>
      <c r="E755" s="262">
        <f>ROUND(EQUIPOS!$E$7,0)</f>
        <v>15000</v>
      </c>
      <c r="F755" s="6">
        <v>6.6666666666666666E-2</v>
      </c>
      <c r="G755" s="35">
        <f>ROUND(E755*F755,0)</f>
        <v>1000</v>
      </c>
    </row>
    <row r="756" spans="1:7">
      <c r="A756" s="3" t="s">
        <v>475</v>
      </c>
      <c r="B756" s="3" t="s">
        <v>578</v>
      </c>
      <c r="C756" s="3" t="s">
        <v>579</v>
      </c>
      <c r="D756" s="3" t="s">
        <v>478</v>
      </c>
      <c r="E756" s="262">
        <f>ROUND(EQUIPOS!$E$12,0)</f>
        <v>35000</v>
      </c>
      <c r="F756" s="6">
        <v>6.6666666666666666E-2</v>
      </c>
      <c r="G756" s="35">
        <f>ROUND(E756*F756,0)</f>
        <v>2333</v>
      </c>
    </row>
    <row r="757" spans="1:7">
      <c r="A757" s="3" t="s">
        <v>475</v>
      </c>
      <c r="B757" s="3" t="s">
        <v>479</v>
      </c>
      <c r="C757" s="3" t="s">
        <v>480</v>
      </c>
      <c r="D757" s="3" t="s">
        <v>481</v>
      </c>
      <c r="E757" s="262">
        <f>ROUND($G$765,0)</f>
        <v>20709</v>
      </c>
      <c r="F757" s="7">
        <v>0.05</v>
      </c>
      <c r="G757" s="35">
        <f>ROUND(E757*F757,0)</f>
        <v>1035</v>
      </c>
    </row>
    <row r="758" spans="1:7">
      <c r="A758" s="402" t="s">
        <v>482</v>
      </c>
      <c r="B758" s="402" t="s">
        <v>482</v>
      </c>
      <c r="C758" s="402" t="s">
        <v>482</v>
      </c>
      <c r="D758" s="402" t="s">
        <v>482</v>
      </c>
      <c r="E758" s="403" t="s">
        <v>482</v>
      </c>
      <c r="F758" s="402" t="s">
        <v>482</v>
      </c>
      <c r="G758" s="55">
        <f>ROUND(SUM(G754:G757),0)</f>
        <v>4394</v>
      </c>
    </row>
    <row r="759" spans="1:7">
      <c r="A759" s="400" t="s">
        <v>483</v>
      </c>
      <c r="B759" s="400" t="s">
        <v>483</v>
      </c>
      <c r="C759" s="400" t="s">
        <v>483</v>
      </c>
      <c r="D759" s="400" t="s">
        <v>483</v>
      </c>
      <c r="E759" s="401" t="s">
        <v>483</v>
      </c>
      <c r="F759" s="400" t="s">
        <v>483</v>
      </c>
      <c r="G759" s="401" t="s">
        <v>483</v>
      </c>
    </row>
    <row r="760" spans="1:7">
      <c r="A760" s="3" t="s">
        <v>484</v>
      </c>
      <c r="B760" s="3" t="s">
        <v>657</v>
      </c>
      <c r="C760" s="3" t="s">
        <v>658</v>
      </c>
      <c r="D760" s="3" t="s">
        <v>103</v>
      </c>
      <c r="E760" s="262">
        <f>ROUND(INSUMOS!$E$68,0)</f>
        <v>23800</v>
      </c>
      <c r="F760" s="6">
        <v>1</v>
      </c>
      <c r="G760" s="35">
        <f>ROUND(E760*F760,0)</f>
        <v>23800</v>
      </c>
    </row>
    <row r="761" spans="1:7">
      <c r="A761" s="402" t="s">
        <v>495</v>
      </c>
      <c r="B761" s="402" t="s">
        <v>495</v>
      </c>
      <c r="C761" s="402" t="s">
        <v>495</v>
      </c>
      <c r="D761" s="402" t="s">
        <v>495</v>
      </c>
      <c r="E761" s="403" t="s">
        <v>495</v>
      </c>
      <c r="F761" s="402" t="s">
        <v>495</v>
      </c>
      <c r="G761" s="55">
        <f>ROUND(SUM(G760:G760),0)</f>
        <v>23800</v>
      </c>
    </row>
    <row r="762" spans="1:7">
      <c r="A762" s="400" t="s">
        <v>496</v>
      </c>
      <c r="B762" s="400" t="s">
        <v>496</v>
      </c>
      <c r="C762" s="400" t="s">
        <v>496</v>
      </c>
      <c r="D762" s="400" t="s">
        <v>496</v>
      </c>
      <c r="E762" s="401" t="s">
        <v>496</v>
      </c>
      <c r="F762" s="400" t="s">
        <v>496</v>
      </c>
      <c r="G762" s="401" t="s">
        <v>496</v>
      </c>
    </row>
    <row r="763" spans="1:7">
      <c r="A763" s="3" t="s">
        <v>496</v>
      </c>
      <c r="B763" s="3" t="s">
        <v>617</v>
      </c>
      <c r="C763" s="3" t="s">
        <v>618</v>
      </c>
      <c r="D763" s="3" t="s">
        <v>478</v>
      </c>
      <c r="E763" s="262">
        <f>ROUND('MANO DE OBRA'!$E$15,0)</f>
        <v>164541</v>
      </c>
      <c r="F763" s="6">
        <v>8.3333333333333329E-2</v>
      </c>
      <c r="G763" s="35">
        <f>ROUND(E763*F763,0)</f>
        <v>13712</v>
      </c>
    </row>
    <row r="764" spans="1:7">
      <c r="A764" s="3" t="s">
        <v>496</v>
      </c>
      <c r="B764" s="3" t="s">
        <v>619</v>
      </c>
      <c r="C764" s="3" t="s">
        <v>620</v>
      </c>
      <c r="D764" s="3" t="s">
        <v>478</v>
      </c>
      <c r="E764" s="262">
        <f>ROUND('MANO DE OBRA'!$E$16,0)</f>
        <v>83958</v>
      </c>
      <c r="F764" s="6">
        <v>8.3333333333333329E-2</v>
      </c>
      <c r="G764" s="35">
        <f>ROUND(E764*F764,0)</f>
        <v>6997</v>
      </c>
    </row>
    <row r="765" spans="1:7">
      <c r="A765" s="402" t="s">
        <v>503</v>
      </c>
      <c r="B765" s="402" t="s">
        <v>503</v>
      </c>
      <c r="C765" s="402" t="s">
        <v>503</v>
      </c>
      <c r="D765" s="402" t="s">
        <v>503</v>
      </c>
      <c r="E765" s="403" t="s">
        <v>503</v>
      </c>
      <c r="F765" s="402" t="s">
        <v>503</v>
      </c>
      <c r="G765" s="55">
        <f>ROUND(SUM(G763:G764),0)</f>
        <v>20709</v>
      </c>
    </row>
    <row r="766" spans="1:7">
      <c r="A766" s="400" t="s">
        <v>621</v>
      </c>
      <c r="B766" s="400" t="s">
        <v>621</v>
      </c>
      <c r="C766" s="400" t="s">
        <v>621</v>
      </c>
      <c r="D766" s="400" t="s">
        <v>621</v>
      </c>
      <c r="E766" s="401" t="s">
        <v>621</v>
      </c>
      <c r="F766" s="400" t="s">
        <v>621</v>
      </c>
      <c r="G766" s="401" t="s">
        <v>621</v>
      </c>
    </row>
    <row r="767" spans="1:7">
      <c r="A767" s="3" t="s">
        <v>621</v>
      </c>
      <c r="B767" s="3" t="s">
        <v>622</v>
      </c>
      <c r="C767" s="3" t="s">
        <v>623</v>
      </c>
      <c r="D767" s="3" t="s">
        <v>478</v>
      </c>
      <c r="E767" s="262">
        <f>ROUND(TRANSPORTE!$E$9,0)</f>
        <v>126000</v>
      </c>
      <c r="F767" s="6">
        <v>2E-3</v>
      </c>
      <c r="G767" s="35">
        <f>ROUND(E767*F767,0)</f>
        <v>252</v>
      </c>
    </row>
    <row r="768" spans="1:7" ht="12.75" thickBot="1">
      <c r="A768" s="402" t="s">
        <v>624</v>
      </c>
      <c r="B768" s="402" t="s">
        <v>624</v>
      </c>
      <c r="C768" s="402" t="s">
        <v>624</v>
      </c>
      <c r="D768" s="402" t="s">
        <v>624</v>
      </c>
      <c r="E768" s="403" t="s">
        <v>624</v>
      </c>
      <c r="F768" s="402" t="s">
        <v>624</v>
      </c>
      <c r="G768" s="55">
        <f>ROUND(SUM(G767:G767),0)</f>
        <v>252</v>
      </c>
    </row>
    <row r="769" spans="1:7" ht="12.75" thickBot="1">
      <c r="A769" s="404" t="s">
        <v>60</v>
      </c>
      <c r="B769" s="405" t="s">
        <v>504</v>
      </c>
      <c r="C769" s="405" t="s">
        <v>504</v>
      </c>
      <c r="D769" s="405" t="s">
        <v>504</v>
      </c>
      <c r="E769" s="406" t="s">
        <v>504</v>
      </c>
      <c r="F769" s="8"/>
      <c r="G769" s="56">
        <f>ROUND(SUM(G758,G761,G765,G768),0)</f>
        <v>49155</v>
      </c>
    </row>
    <row r="770" spans="1:7">
      <c r="A770" s="1"/>
      <c r="B770" s="1"/>
      <c r="C770" s="1"/>
      <c r="D770" s="1"/>
      <c r="E770" s="52"/>
      <c r="F770" s="1"/>
      <c r="G770" s="52"/>
    </row>
    <row r="771" spans="1:7" ht="42" customHeight="1">
      <c r="A771" s="5" t="s">
        <v>366</v>
      </c>
      <c r="B771" s="5" t="s">
        <v>155</v>
      </c>
      <c r="C771" s="407" t="s">
        <v>156</v>
      </c>
      <c r="D771" s="407"/>
      <c r="E771" s="408"/>
      <c r="F771" s="407"/>
      <c r="G771" s="53" t="s">
        <v>68</v>
      </c>
    </row>
    <row r="772" spans="1:7">
      <c r="A772" s="2" t="s">
        <v>470</v>
      </c>
      <c r="B772" s="2" t="s">
        <v>471</v>
      </c>
      <c r="C772" s="2" t="s">
        <v>4</v>
      </c>
      <c r="D772" s="2" t="s">
        <v>58</v>
      </c>
      <c r="E772" s="54" t="s">
        <v>472</v>
      </c>
      <c r="F772" s="2" t="s">
        <v>473</v>
      </c>
      <c r="G772" s="54" t="s">
        <v>264</v>
      </c>
    </row>
    <row r="773" spans="1:7">
      <c r="A773" s="400" t="s">
        <v>474</v>
      </c>
      <c r="B773" s="400" t="s">
        <v>474</v>
      </c>
      <c r="C773" s="400" t="s">
        <v>474</v>
      </c>
      <c r="D773" s="400" t="s">
        <v>474</v>
      </c>
      <c r="E773" s="401" t="s">
        <v>474</v>
      </c>
      <c r="F773" s="400" t="s">
        <v>474</v>
      </c>
      <c r="G773" s="401" t="s">
        <v>474</v>
      </c>
    </row>
    <row r="774" spans="1:7">
      <c r="A774" s="3" t="s">
        <v>475</v>
      </c>
      <c r="B774" s="3" t="s">
        <v>578</v>
      </c>
      <c r="C774" s="3" t="s">
        <v>579</v>
      </c>
      <c r="D774" s="3" t="s">
        <v>478</v>
      </c>
      <c r="E774" s="262">
        <f>ROUND(EQUIPOS!$E$12,0)</f>
        <v>35000</v>
      </c>
      <c r="F774" s="6">
        <v>0.125</v>
      </c>
      <c r="G774" s="35">
        <f>ROUND(E774*F774,0)</f>
        <v>4375</v>
      </c>
    </row>
    <row r="775" spans="1:7">
      <c r="A775" s="3" t="s">
        <v>475</v>
      </c>
      <c r="B775" s="3" t="s">
        <v>659</v>
      </c>
      <c r="C775" s="3" t="s">
        <v>660</v>
      </c>
      <c r="D775" s="3" t="s">
        <v>478</v>
      </c>
      <c r="E775" s="262">
        <f>ROUND(EQUIPOS!$E$16,0)</f>
        <v>3752</v>
      </c>
      <c r="F775" s="6">
        <v>0.125</v>
      </c>
      <c r="G775" s="35">
        <f>ROUND(E775*F775,0)</f>
        <v>469</v>
      </c>
    </row>
    <row r="776" spans="1:7">
      <c r="A776" s="3" t="s">
        <v>475</v>
      </c>
      <c r="B776" s="3" t="s">
        <v>476</v>
      </c>
      <c r="C776" s="3" t="s">
        <v>477</v>
      </c>
      <c r="D776" s="3" t="s">
        <v>478</v>
      </c>
      <c r="E776" s="262">
        <f>ROUND(EQUIPOS!$E$7,0)</f>
        <v>15000</v>
      </c>
      <c r="F776" s="6">
        <v>0.125</v>
      </c>
      <c r="G776" s="35">
        <f>ROUND(E776*F776,0)</f>
        <v>1875</v>
      </c>
    </row>
    <row r="777" spans="1:7">
      <c r="A777" s="3" t="s">
        <v>475</v>
      </c>
      <c r="B777" s="3" t="s">
        <v>479</v>
      </c>
      <c r="C777" s="3" t="s">
        <v>480</v>
      </c>
      <c r="D777" s="3" t="s">
        <v>481</v>
      </c>
      <c r="E777" s="262">
        <f>ROUND($G$786,0)</f>
        <v>24850</v>
      </c>
      <c r="F777" s="7">
        <v>0.05</v>
      </c>
      <c r="G777" s="35">
        <f>ROUND(E777*F777,0)</f>
        <v>1243</v>
      </c>
    </row>
    <row r="778" spans="1:7">
      <c r="A778" s="402" t="s">
        <v>482</v>
      </c>
      <c r="B778" s="402" t="s">
        <v>482</v>
      </c>
      <c r="C778" s="402" t="s">
        <v>482</v>
      </c>
      <c r="D778" s="402" t="s">
        <v>482</v>
      </c>
      <c r="E778" s="403" t="s">
        <v>482</v>
      </c>
      <c r="F778" s="402" t="s">
        <v>482</v>
      </c>
      <c r="G778" s="55">
        <f>ROUND(SUM(G774:G777),0)</f>
        <v>7962</v>
      </c>
    </row>
    <row r="779" spans="1:7">
      <c r="A779" s="400" t="s">
        <v>483</v>
      </c>
      <c r="B779" s="400" t="s">
        <v>483</v>
      </c>
      <c r="C779" s="400" t="s">
        <v>483</v>
      </c>
      <c r="D779" s="400" t="s">
        <v>483</v>
      </c>
      <c r="E779" s="401" t="s">
        <v>483</v>
      </c>
      <c r="F779" s="400" t="s">
        <v>483</v>
      </c>
      <c r="G779" s="401" t="s">
        <v>483</v>
      </c>
    </row>
    <row r="780" spans="1:7">
      <c r="A780" s="3" t="s">
        <v>484</v>
      </c>
      <c r="B780" s="3" t="s">
        <v>661</v>
      </c>
      <c r="C780" s="3" t="s">
        <v>662</v>
      </c>
      <c r="D780" s="3" t="s">
        <v>68</v>
      </c>
      <c r="E780" s="262">
        <f>ROUND(INSUMOS!$E$69,0)</f>
        <v>47450</v>
      </c>
      <c r="F780" s="6">
        <v>1</v>
      </c>
      <c r="G780" s="35">
        <f>ROUND(E780*F780,0)</f>
        <v>47450</v>
      </c>
    </row>
    <row r="781" spans="1:7">
      <c r="A781" s="3" t="s">
        <v>484</v>
      </c>
      <c r="B781" s="3" t="s">
        <v>615</v>
      </c>
      <c r="C781" s="3" t="s">
        <v>616</v>
      </c>
      <c r="D781" s="3" t="s">
        <v>103</v>
      </c>
      <c r="E781" s="262">
        <f>ROUND(INSUMOS!$E$55,0)</f>
        <v>9225</v>
      </c>
      <c r="F781" s="6">
        <v>1</v>
      </c>
      <c r="G781" s="35">
        <f>ROUND(E781*F781,0)</f>
        <v>9225</v>
      </c>
    </row>
    <row r="782" spans="1:7">
      <c r="A782" s="402" t="s">
        <v>495</v>
      </c>
      <c r="B782" s="402" t="s">
        <v>495</v>
      </c>
      <c r="C782" s="402" t="s">
        <v>495</v>
      </c>
      <c r="D782" s="402" t="s">
        <v>495</v>
      </c>
      <c r="E782" s="403" t="s">
        <v>495</v>
      </c>
      <c r="F782" s="402" t="s">
        <v>495</v>
      </c>
      <c r="G782" s="55">
        <f>ROUND(SUM(G780:G781),0)</f>
        <v>56675</v>
      </c>
    </row>
    <row r="783" spans="1:7">
      <c r="A783" s="400" t="s">
        <v>496</v>
      </c>
      <c r="B783" s="400" t="s">
        <v>496</v>
      </c>
      <c r="C783" s="400" t="s">
        <v>496</v>
      </c>
      <c r="D783" s="400" t="s">
        <v>496</v>
      </c>
      <c r="E783" s="401" t="s">
        <v>496</v>
      </c>
      <c r="F783" s="400" t="s">
        <v>496</v>
      </c>
      <c r="G783" s="401" t="s">
        <v>496</v>
      </c>
    </row>
    <row r="784" spans="1:7">
      <c r="A784" s="3" t="s">
        <v>496</v>
      </c>
      <c r="B784" s="3" t="s">
        <v>617</v>
      </c>
      <c r="C784" s="3" t="s">
        <v>618</v>
      </c>
      <c r="D784" s="3" t="s">
        <v>478</v>
      </c>
      <c r="E784" s="262">
        <f>ROUND('MANO DE OBRA'!$E$15,0)</f>
        <v>164541</v>
      </c>
      <c r="F784" s="6">
        <v>0.1</v>
      </c>
      <c r="G784" s="35">
        <f>ROUND(E784*F784,0)</f>
        <v>16454</v>
      </c>
    </row>
    <row r="785" spans="1:7">
      <c r="A785" s="3" t="s">
        <v>496</v>
      </c>
      <c r="B785" s="3" t="s">
        <v>619</v>
      </c>
      <c r="C785" s="3" t="s">
        <v>620</v>
      </c>
      <c r="D785" s="3" t="s">
        <v>478</v>
      </c>
      <c r="E785" s="262">
        <f>ROUND('MANO DE OBRA'!$E$16,0)</f>
        <v>83958</v>
      </c>
      <c r="F785" s="6">
        <v>0.1</v>
      </c>
      <c r="G785" s="35">
        <f>ROUND(E785*F785,0)</f>
        <v>8396</v>
      </c>
    </row>
    <row r="786" spans="1:7">
      <c r="A786" s="402" t="s">
        <v>503</v>
      </c>
      <c r="B786" s="402" t="s">
        <v>503</v>
      </c>
      <c r="C786" s="402" t="s">
        <v>503</v>
      </c>
      <c r="D786" s="402" t="s">
        <v>503</v>
      </c>
      <c r="E786" s="403" t="s">
        <v>503</v>
      </c>
      <c r="F786" s="402" t="s">
        <v>503</v>
      </c>
      <c r="G786" s="55">
        <f>ROUND(SUM(G784:G785),0)</f>
        <v>24850</v>
      </c>
    </row>
    <row r="787" spans="1:7">
      <c r="A787" s="400" t="s">
        <v>621</v>
      </c>
      <c r="B787" s="400" t="s">
        <v>621</v>
      </c>
      <c r="C787" s="400" t="s">
        <v>621</v>
      </c>
      <c r="D787" s="400" t="s">
        <v>621</v>
      </c>
      <c r="E787" s="401" t="s">
        <v>621</v>
      </c>
      <c r="F787" s="400" t="s">
        <v>621</v>
      </c>
      <c r="G787" s="401" t="s">
        <v>621</v>
      </c>
    </row>
    <row r="788" spans="1:7">
      <c r="A788" s="3" t="s">
        <v>621</v>
      </c>
      <c r="B788" s="3" t="s">
        <v>622</v>
      </c>
      <c r="C788" s="3" t="s">
        <v>623</v>
      </c>
      <c r="D788" s="3" t="s">
        <v>478</v>
      </c>
      <c r="E788" s="262">
        <f>ROUND(TRANSPORTE!$E$9,0)</f>
        <v>126000</v>
      </c>
      <c r="F788" s="6">
        <v>3.3333333333333335E-3</v>
      </c>
      <c r="G788" s="35">
        <f>ROUND(E788*F788,0)</f>
        <v>420</v>
      </c>
    </row>
    <row r="789" spans="1:7" ht="12.75" thickBot="1">
      <c r="A789" s="402" t="s">
        <v>624</v>
      </c>
      <c r="B789" s="402" t="s">
        <v>624</v>
      </c>
      <c r="C789" s="402" t="s">
        <v>624</v>
      </c>
      <c r="D789" s="402" t="s">
        <v>624</v>
      </c>
      <c r="E789" s="403" t="s">
        <v>624</v>
      </c>
      <c r="F789" s="402" t="s">
        <v>624</v>
      </c>
      <c r="G789" s="55">
        <f>ROUND(SUM(G788:G788),0)</f>
        <v>420</v>
      </c>
    </row>
    <row r="790" spans="1:7" ht="12.75" thickBot="1">
      <c r="A790" s="404" t="s">
        <v>60</v>
      </c>
      <c r="B790" s="405" t="s">
        <v>504</v>
      </c>
      <c r="C790" s="405" t="s">
        <v>504</v>
      </c>
      <c r="D790" s="405" t="s">
        <v>504</v>
      </c>
      <c r="E790" s="406" t="s">
        <v>504</v>
      </c>
      <c r="F790" s="8"/>
      <c r="G790" s="56">
        <f>ROUND(SUM(G778,G782,G786,G789),0)</f>
        <v>89907</v>
      </c>
    </row>
    <row r="791" spans="1:7">
      <c r="A791" s="1"/>
      <c r="B791" s="1"/>
      <c r="C791" s="1"/>
      <c r="D791" s="1"/>
      <c r="E791" s="52"/>
      <c r="F791" s="1"/>
      <c r="G791" s="52"/>
    </row>
    <row r="792" spans="1:7" ht="42" customHeight="1">
      <c r="A792" s="5" t="s">
        <v>368</v>
      </c>
      <c r="B792" s="5" t="s">
        <v>157</v>
      </c>
      <c r="C792" s="407" t="s">
        <v>158</v>
      </c>
      <c r="D792" s="407"/>
      <c r="E792" s="408"/>
      <c r="F792" s="407"/>
      <c r="G792" s="53" t="s">
        <v>103</v>
      </c>
    </row>
    <row r="793" spans="1:7">
      <c r="A793" s="2" t="s">
        <v>470</v>
      </c>
      <c r="B793" s="2" t="s">
        <v>471</v>
      </c>
      <c r="C793" s="2" t="s">
        <v>4</v>
      </c>
      <c r="D793" s="2" t="s">
        <v>58</v>
      </c>
      <c r="E793" s="54" t="s">
        <v>472</v>
      </c>
      <c r="F793" s="2" t="s">
        <v>473</v>
      </c>
      <c r="G793" s="54" t="s">
        <v>264</v>
      </c>
    </row>
    <row r="794" spans="1:7">
      <c r="A794" s="400" t="s">
        <v>474</v>
      </c>
      <c r="B794" s="400" t="s">
        <v>474</v>
      </c>
      <c r="C794" s="400" t="s">
        <v>474</v>
      </c>
      <c r="D794" s="400" t="s">
        <v>474</v>
      </c>
      <c r="E794" s="401" t="s">
        <v>474</v>
      </c>
      <c r="F794" s="400" t="s">
        <v>474</v>
      </c>
      <c r="G794" s="401" t="s">
        <v>474</v>
      </c>
    </row>
    <row r="795" spans="1:7">
      <c r="A795" s="3" t="s">
        <v>475</v>
      </c>
      <c r="B795" s="3" t="s">
        <v>578</v>
      </c>
      <c r="C795" s="3" t="s">
        <v>579</v>
      </c>
      <c r="D795" s="3" t="s">
        <v>478</v>
      </c>
      <c r="E795" s="262">
        <f>ROUND(EQUIPOS!$E$12,0)</f>
        <v>35000</v>
      </c>
      <c r="F795" s="6">
        <v>0.125</v>
      </c>
      <c r="G795" s="35">
        <f>ROUND(E795*F795,0)</f>
        <v>4375</v>
      </c>
    </row>
    <row r="796" spans="1:7">
      <c r="A796" s="3" t="s">
        <v>475</v>
      </c>
      <c r="B796" s="3" t="s">
        <v>659</v>
      </c>
      <c r="C796" s="3" t="s">
        <v>660</v>
      </c>
      <c r="D796" s="3" t="s">
        <v>478</v>
      </c>
      <c r="E796" s="262">
        <f>ROUND(EQUIPOS!$E$16,0)</f>
        <v>3752</v>
      </c>
      <c r="F796" s="6">
        <v>0.125</v>
      </c>
      <c r="G796" s="35">
        <f>ROUND(E796*F796,0)</f>
        <v>469</v>
      </c>
    </row>
    <row r="797" spans="1:7">
      <c r="A797" s="3" t="s">
        <v>475</v>
      </c>
      <c r="B797" s="3" t="s">
        <v>639</v>
      </c>
      <c r="C797" s="3" t="s">
        <v>640</v>
      </c>
      <c r="D797" s="3" t="s">
        <v>478</v>
      </c>
      <c r="E797" s="262">
        <f>ROUND(EQUIPOS!$E$15,0)</f>
        <v>75</v>
      </c>
      <c r="F797" s="6">
        <v>0.125</v>
      </c>
      <c r="G797" s="35">
        <f>ROUND(E797*F797,0)</f>
        <v>9</v>
      </c>
    </row>
    <row r="798" spans="1:7">
      <c r="A798" s="3" t="s">
        <v>475</v>
      </c>
      <c r="B798" s="3" t="s">
        <v>479</v>
      </c>
      <c r="C798" s="3" t="s">
        <v>480</v>
      </c>
      <c r="D798" s="3" t="s">
        <v>481</v>
      </c>
      <c r="E798" s="262">
        <f>ROUND($G$806,0)</f>
        <v>248499</v>
      </c>
      <c r="F798" s="7">
        <v>0.05</v>
      </c>
      <c r="G798" s="35">
        <f>ROUND(E798*F798,0)</f>
        <v>12425</v>
      </c>
    </row>
    <row r="799" spans="1:7">
      <c r="A799" s="402" t="s">
        <v>482</v>
      </c>
      <c r="B799" s="402" t="s">
        <v>482</v>
      </c>
      <c r="C799" s="402" t="s">
        <v>482</v>
      </c>
      <c r="D799" s="402" t="s">
        <v>482</v>
      </c>
      <c r="E799" s="403" t="s">
        <v>482</v>
      </c>
      <c r="F799" s="402" t="s">
        <v>482</v>
      </c>
      <c r="G799" s="55">
        <f>ROUND(SUM(G795:G798),0)</f>
        <v>17278</v>
      </c>
    </row>
    <row r="800" spans="1:7">
      <c r="A800" s="400" t="s">
        <v>483</v>
      </c>
      <c r="B800" s="400" t="s">
        <v>483</v>
      </c>
      <c r="C800" s="400" t="s">
        <v>483</v>
      </c>
      <c r="D800" s="400" t="s">
        <v>483</v>
      </c>
      <c r="E800" s="401" t="s">
        <v>483</v>
      </c>
      <c r="F800" s="400" t="s">
        <v>483</v>
      </c>
      <c r="G800" s="401" t="s">
        <v>483</v>
      </c>
    </row>
    <row r="801" spans="1:7">
      <c r="A801" s="3" t="s">
        <v>484</v>
      </c>
      <c r="B801" s="3" t="s">
        <v>663</v>
      </c>
      <c r="C801" s="3" t="s">
        <v>664</v>
      </c>
      <c r="D801" s="3" t="s">
        <v>103</v>
      </c>
      <c r="E801" s="262">
        <f>ROUND(INSUMOS!$E$70,0)</f>
        <v>272034</v>
      </c>
      <c r="F801" s="6">
        <v>1</v>
      </c>
      <c r="G801" s="35">
        <f>ROUND(E801*F801,0)</f>
        <v>272034</v>
      </c>
    </row>
    <row r="802" spans="1:7">
      <c r="A802" s="402" t="s">
        <v>495</v>
      </c>
      <c r="B802" s="402" t="s">
        <v>495</v>
      </c>
      <c r="C802" s="402" t="s">
        <v>495</v>
      </c>
      <c r="D802" s="402" t="s">
        <v>495</v>
      </c>
      <c r="E802" s="403" t="s">
        <v>495</v>
      </c>
      <c r="F802" s="402" t="s">
        <v>495</v>
      </c>
      <c r="G802" s="55">
        <f>ROUND(SUM(G801:G801),0)</f>
        <v>272034</v>
      </c>
    </row>
    <row r="803" spans="1:7">
      <c r="A803" s="400" t="s">
        <v>496</v>
      </c>
      <c r="B803" s="400" t="s">
        <v>496</v>
      </c>
      <c r="C803" s="400" t="s">
        <v>496</v>
      </c>
      <c r="D803" s="400" t="s">
        <v>496</v>
      </c>
      <c r="E803" s="401" t="s">
        <v>496</v>
      </c>
      <c r="F803" s="400" t="s">
        <v>496</v>
      </c>
      <c r="G803" s="401" t="s">
        <v>496</v>
      </c>
    </row>
    <row r="804" spans="1:7">
      <c r="A804" s="3" t="s">
        <v>496</v>
      </c>
      <c r="B804" s="3" t="s">
        <v>617</v>
      </c>
      <c r="C804" s="3" t="s">
        <v>618</v>
      </c>
      <c r="D804" s="3" t="s">
        <v>478</v>
      </c>
      <c r="E804" s="262">
        <f>ROUND('MANO DE OBRA'!$E$15,0)</f>
        <v>164541</v>
      </c>
      <c r="F804" s="6">
        <v>1</v>
      </c>
      <c r="G804" s="35">
        <f>ROUND(E804*F804,0)</f>
        <v>164541</v>
      </c>
    </row>
    <row r="805" spans="1:7">
      <c r="A805" s="3" t="s">
        <v>496</v>
      </c>
      <c r="B805" s="3" t="s">
        <v>619</v>
      </c>
      <c r="C805" s="3" t="s">
        <v>620</v>
      </c>
      <c r="D805" s="3" t="s">
        <v>478</v>
      </c>
      <c r="E805" s="262">
        <f>ROUND('MANO DE OBRA'!$E$16,0)</f>
        <v>83958</v>
      </c>
      <c r="F805" s="6">
        <v>1</v>
      </c>
      <c r="G805" s="35">
        <f>ROUND(E805*F805,0)</f>
        <v>83958</v>
      </c>
    </row>
    <row r="806" spans="1:7">
      <c r="A806" s="402" t="s">
        <v>503</v>
      </c>
      <c r="B806" s="402" t="s">
        <v>503</v>
      </c>
      <c r="C806" s="402" t="s">
        <v>503</v>
      </c>
      <c r="D806" s="402" t="s">
        <v>503</v>
      </c>
      <c r="E806" s="403" t="s">
        <v>503</v>
      </c>
      <c r="F806" s="402" t="s">
        <v>503</v>
      </c>
      <c r="G806" s="55">
        <f>ROUND(SUM(G804:G805),0)</f>
        <v>248499</v>
      </c>
    </row>
    <row r="807" spans="1:7">
      <c r="A807" s="400" t="s">
        <v>621</v>
      </c>
      <c r="B807" s="400" t="s">
        <v>621</v>
      </c>
      <c r="C807" s="400" t="s">
        <v>621</v>
      </c>
      <c r="D807" s="400" t="s">
        <v>621</v>
      </c>
      <c r="E807" s="401" t="s">
        <v>621</v>
      </c>
      <c r="F807" s="400" t="s">
        <v>621</v>
      </c>
      <c r="G807" s="401" t="s">
        <v>621</v>
      </c>
    </row>
    <row r="808" spans="1:7">
      <c r="A808" s="3" t="s">
        <v>621</v>
      </c>
      <c r="B808" s="3" t="s">
        <v>622</v>
      </c>
      <c r="C808" s="3" t="s">
        <v>623</v>
      </c>
      <c r="D808" s="3" t="s">
        <v>478</v>
      </c>
      <c r="E808" s="262">
        <f>ROUND(TRANSPORTE!$E$9,0)</f>
        <v>126000</v>
      </c>
      <c r="F808" s="6">
        <v>3.3333333333333335E-3</v>
      </c>
      <c r="G808" s="35">
        <f>ROUND(E808*F808,0)</f>
        <v>420</v>
      </c>
    </row>
    <row r="809" spans="1:7" ht="12.75" thickBot="1">
      <c r="A809" s="402" t="s">
        <v>624</v>
      </c>
      <c r="B809" s="402" t="s">
        <v>624</v>
      </c>
      <c r="C809" s="402" t="s">
        <v>624</v>
      </c>
      <c r="D809" s="402" t="s">
        <v>624</v>
      </c>
      <c r="E809" s="403" t="s">
        <v>624</v>
      </c>
      <c r="F809" s="402" t="s">
        <v>624</v>
      </c>
      <c r="G809" s="55">
        <f>ROUND(SUM(G808:G808),0)</f>
        <v>420</v>
      </c>
    </row>
    <row r="810" spans="1:7" ht="12.75" thickBot="1">
      <c r="A810" s="404" t="s">
        <v>60</v>
      </c>
      <c r="B810" s="405" t="s">
        <v>504</v>
      </c>
      <c r="C810" s="405" t="s">
        <v>504</v>
      </c>
      <c r="D810" s="405" t="s">
        <v>504</v>
      </c>
      <c r="E810" s="406" t="s">
        <v>504</v>
      </c>
      <c r="F810" s="8"/>
      <c r="G810" s="56">
        <f>ROUND(SUM(G799,G802,G806,G809),0)</f>
        <v>538231</v>
      </c>
    </row>
    <row r="811" spans="1:7">
      <c r="A811" s="1"/>
      <c r="B811" s="1"/>
      <c r="C811" s="1"/>
      <c r="D811" s="1"/>
      <c r="E811" s="52"/>
      <c r="F811" s="1"/>
      <c r="G811" s="52"/>
    </row>
    <row r="812" spans="1:7" ht="42" customHeight="1">
      <c r="A812" s="5" t="s">
        <v>370</v>
      </c>
      <c r="B812" s="5" t="s">
        <v>159</v>
      </c>
      <c r="C812" s="407" t="s">
        <v>160</v>
      </c>
      <c r="D812" s="407"/>
      <c r="E812" s="408"/>
      <c r="F812" s="407"/>
      <c r="G812" s="53" t="s">
        <v>103</v>
      </c>
    </row>
    <row r="813" spans="1:7">
      <c r="A813" s="2" t="s">
        <v>470</v>
      </c>
      <c r="B813" s="2" t="s">
        <v>471</v>
      </c>
      <c r="C813" s="2" t="s">
        <v>4</v>
      </c>
      <c r="D813" s="2" t="s">
        <v>58</v>
      </c>
      <c r="E813" s="54" t="s">
        <v>472</v>
      </c>
      <c r="F813" s="2" t="s">
        <v>473</v>
      </c>
      <c r="G813" s="54" t="s">
        <v>264</v>
      </c>
    </row>
    <row r="814" spans="1:7">
      <c r="A814" s="400" t="s">
        <v>474</v>
      </c>
      <c r="B814" s="400" t="s">
        <v>474</v>
      </c>
      <c r="C814" s="400" t="s">
        <v>474</v>
      </c>
      <c r="D814" s="400" t="s">
        <v>474</v>
      </c>
      <c r="E814" s="401" t="s">
        <v>474</v>
      </c>
      <c r="F814" s="400" t="s">
        <v>474</v>
      </c>
      <c r="G814" s="401" t="s">
        <v>474</v>
      </c>
    </row>
    <row r="815" spans="1:7">
      <c r="A815" s="3" t="s">
        <v>475</v>
      </c>
      <c r="B815" s="3" t="s">
        <v>665</v>
      </c>
      <c r="C815" s="3" t="s">
        <v>666</v>
      </c>
      <c r="D815" s="3" t="s">
        <v>478</v>
      </c>
      <c r="E815" s="262">
        <f>ROUND(EQUIPOS!$E$17,0)</f>
        <v>1211</v>
      </c>
      <c r="F815" s="6">
        <v>5</v>
      </c>
      <c r="G815" s="35">
        <f>ROUND(E815*F815,0)</f>
        <v>6055</v>
      </c>
    </row>
    <row r="816" spans="1:7">
      <c r="A816" s="3" t="s">
        <v>475</v>
      </c>
      <c r="B816" s="3" t="s">
        <v>667</v>
      </c>
      <c r="C816" s="3" t="s">
        <v>668</v>
      </c>
      <c r="D816" s="3" t="s">
        <v>478</v>
      </c>
      <c r="E816" s="262">
        <f>ROUND(EQUIPOS!$E$18,0)</f>
        <v>237</v>
      </c>
      <c r="F816" s="6">
        <v>1</v>
      </c>
      <c r="G816" s="35">
        <f>ROUND(E816*F816,0)</f>
        <v>237</v>
      </c>
    </row>
    <row r="817" spans="1:7">
      <c r="A817" s="3" t="s">
        <v>475</v>
      </c>
      <c r="B817" s="3" t="s">
        <v>479</v>
      </c>
      <c r="C817" s="3" t="s">
        <v>480</v>
      </c>
      <c r="D817" s="3" t="s">
        <v>481</v>
      </c>
      <c r="E817" s="262">
        <f>ROUND($G$825,0)</f>
        <v>165666</v>
      </c>
      <c r="F817" s="7">
        <v>0.05</v>
      </c>
      <c r="G817" s="35">
        <f>ROUND(E817*F817,0)</f>
        <v>8283</v>
      </c>
    </row>
    <row r="818" spans="1:7">
      <c r="A818" s="402" t="s">
        <v>482</v>
      </c>
      <c r="B818" s="402" t="s">
        <v>482</v>
      </c>
      <c r="C818" s="402" t="s">
        <v>482</v>
      </c>
      <c r="D818" s="402" t="s">
        <v>482</v>
      </c>
      <c r="E818" s="403" t="s">
        <v>482</v>
      </c>
      <c r="F818" s="402" t="s">
        <v>482</v>
      </c>
      <c r="G818" s="55">
        <f>ROUND(SUM(G815:G817),0)</f>
        <v>14575</v>
      </c>
    </row>
    <row r="819" spans="1:7">
      <c r="A819" s="400" t="s">
        <v>483</v>
      </c>
      <c r="B819" s="400" t="s">
        <v>483</v>
      </c>
      <c r="C819" s="400" t="s">
        <v>483</v>
      </c>
      <c r="D819" s="400" t="s">
        <v>483</v>
      </c>
      <c r="E819" s="401" t="s">
        <v>483</v>
      </c>
      <c r="F819" s="400" t="s">
        <v>483</v>
      </c>
      <c r="G819" s="401" t="s">
        <v>483</v>
      </c>
    </row>
    <row r="820" spans="1:7">
      <c r="A820" s="3" t="s">
        <v>484</v>
      </c>
      <c r="B820" s="3" t="s">
        <v>669</v>
      </c>
      <c r="C820" s="3" t="s">
        <v>670</v>
      </c>
      <c r="D820" s="3" t="s">
        <v>103</v>
      </c>
      <c r="E820" s="262">
        <f>ROUND(INSUMOS!$E$71,0)</f>
        <v>19100</v>
      </c>
      <c r="F820" s="6">
        <v>1</v>
      </c>
      <c r="G820" s="35">
        <f>ROUND(E820*F820,0)</f>
        <v>19100</v>
      </c>
    </row>
    <row r="821" spans="1:7">
      <c r="A821" s="402" t="s">
        <v>495</v>
      </c>
      <c r="B821" s="402" t="s">
        <v>495</v>
      </c>
      <c r="C821" s="402" t="s">
        <v>495</v>
      </c>
      <c r="D821" s="402" t="s">
        <v>495</v>
      </c>
      <c r="E821" s="403" t="s">
        <v>495</v>
      </c>
      <c r="F821" s="402" t="s">
        <v>495</v>
      </c>
      <c r="G821" s="55">
        <f>ROUND(SUM(G820:G820),0)</f>
        <v>19100</v>
      </c>
    </row>
    <row r="822" spans="1:7">
      <c r="A822" s="400" t="s">
        <v>496</v>
      </c>
      <c r="B822" s="400" t="s">
        <v>496</v>
      </c>
      <c r="C822" s="400" t="s">
        <v>496</v>
      </c>
      <c r="D822" s="400" t="s">
        <v>496</v>
      </c>
      <c r="E822" s="401" t="s">
        <v>496</v>
      </c>
      <c r="F822" s="400" t="s">
        <v>496</v>
      </c>
      <c r="G822" s="401" t="s">
        <v>496</v>
      </c>
    </row>
    <row r="823" spans="1:7">
      <c r="A823" s="3" t="s">
        <v>496</v>
      </c>
      <c r="B823" s="3" t="s">
        <v>617</v>
      </c>
      <c r="C823" s="3" t="s">
        <v>618</v>
      </c>
      <c r="D823" s="3" t="s">
        <v>478</v>
      </c>
      <c r="E823" s="262">
        <f>ROUND('MANO DE OBRA'!$E$15,0)</f>
        <v>164541</v>
      </c>
      <c r="F823" s="6">
        <v>0.66666666666666663</v>
      </c>
      <c r="G823" s="35">
        <f>ROUND(E823*F823,0)</f>
        <v>109694</v>
      </c>
    </row>
    <row r="824" spans="1:7">
      <c r="A824" s="3" t="s">
        <v>496</v>
      </c>
      <c r="B824" s="3" t="s">
        <v>619</v>
      </c>
      <c r="C824" s="3" t="s">
        <v>620</v>
      </c>
      <c r="D824" s="3" t="s">
        <v>478</v>
      </c>
      <c r="E824" s="262">
        <f>ROUND('MANO DE OBRA'!$E$16,0)</f>
        <v>83958</v>
      </c>
      <c r="F824" s="6">
        <v>0.66666666666666663</v>
      </c>
      <c r="G824" s="35">
        <f>ROUND(E824*F824,0)</f>
        <v>55972</v>
      </c>
    </row>
    <row r="825" spans="1:7">
      <c r="A825" s="402" t="s">
        <v>503</v>
      </c>
      <c r="B825" s="402" t="s">
        <v>503</v>
      </c>
      <c r="C825" s="402" t="s">
        <v>503</v>
      </c>
      <c r="D825" s="402" t="s">
        <v>503</v>
      </c>
      <c r="E825" s="403" t="s">
        <v>503</v>
      </c>
      <c r="F825" s="402" t="s">
        <v>503</v>
      </c>
      <c r="G825" s="55">
        <f>ROUND(SUM(G823:G824),0)</f>
        <v>165666</v>
      </c>
    </row>
    <row r="826" spans="1:7">
      <c r="A826" s="400" t="s">
        <v>621</v>
      </c>
      <c r="B826" s="400" t="s">
        <v>621</v>
      </c>
      <c r="C826" s="400" t="s">
        <v>621</v>
      </c>
      <c r="D826" s="400" t="s">
        <v>621</v>
      </c>
      <c r="E826" s="401" t="s">
        <v>621</v>
      </c>
      <c r="F826" s="400" t="s">
        <v>621</v>
      </c>
      <c r="G826" s="401" t="s">
        <v>621</v>
      </c>
    </row>
    <row r="827" spans="1:7">
      <c r="A827" s="3" t="s">
        <v>621</v>
      </c>
      <c r="B827" s="3" t="s">
        <v>622</v>
      </c>
      <c r="C827" s="3" t="s">
        <v>623</v>
      </c>
      <c r="D827" s="3" t="s">
        <v>478</v>
      </c>
      <c r="E827" s="262">
        <f>ROUND(TRANSPORTE!$E$9,0)</f>
        <v>126000</v>
      </c>
      <c r="F827" s="6">
        <v>3.3333333333333335E-3</v>
      </c>
      <c r="G827" s="35">
        <f>ROUND(E827*F827,0)</f>
        <v>420</v>
      </c>
    </row>
    <row r="828" spans="1:7" ht="12.75" thickBot="1">
      <c r="A828" s="402" t="s">
        <v>624</v>
      </c>
      <c r="B828" s="402" t="s">
        <v>624</v>
      </c>
      <c r="C828" s="402" t="s">
        <v>624</v>
      </c>
      <c r="D828" s="402" t="s">
        <v>624</v>
      </c>
      <c r="E828" s="403" t="s">
        <v>624</v>
      </c>
      <c r="F828" s="402" t="s">
        <v>624</v>
      </c>
      <c r="G828" s="55">
        <f>ROUND(SUM(G827:G827),0)</f>
        <v>420</v>
      </c>
    </row>
    <row r="829" spans="1:7" ht="12.75" thickBot="1">
      <c r="A829" s="404" t="s">
        <v>60</v>
      </c>
      <c r="B829" s="405" t="s">
        <v>504</v>
      </c>
      <c r="C829" s="405" t="s">
        <v>504</v>
      </c>
      <c r="D829" s="405" t="s">
        <v>504</v>
      </c>
      <c r="E829" s="406" t="s">
        <v>504</v>
      </c>
      <c r="F829" s="8"/>
      <c r="G829" s="56">
        <f>ROUND(SUM(G818,G821,G825,G828),0)</f>
        <v>199761</v>
      </c>
    </row>
    <row r="830" spans="1:7">
      <c r="A830" s="1"/>
      <c r="B830" s="1"/>
      <c r="C830" s="1"/>
      <c r="D830" s="1"/>
      <c r="E830" s="52"/>
      <c r="F830" s="1"/>
      <c r="G830" s="52"/>
    </row>
    <row r="831" spans="1:7" ht="42" customHeight="1">
      <c r="A831" s="5" t="s">
        <v>371</v>
      </c>
      <c r="B831" s="5" t="s">
        <v>161</v>
      </c>
      <c r="C831" s="407" t="s">
        <v>162</v>
      </c>
      <c r="D831" s="407"/>
      <c r="E831" s="408"/>
      <c r="F831" s="407"/>
      <c r="G831" s="53" t="s">
        <v>103</v>
      </c>
    </row>
    <row r="832" spans="1:7">
      <c r="A832" s="2" t="s">
        <v>470</v>
      </c>
      <c r="B832" s="2" t="s">
        <v>471</v>
      </c>
      <c r="C832" s="2" t="s">
        <v>4</v>
      </c>
      <c r="D832" s="2" t="s">
        <v>58</v>
      </c>
      <c r="E832" s="54" t="s">
        <v>472</v>
      </c>
      <c r="F832" s="2" t="s">
        <v>473</v>
      </c>
      <c r="G832" s="54" t="s">
        <v>264</v>
      </c>
    </row>
    <row r="833" spans="1:7">
      <c r="A833" s="400" t="s">
        <v>474</v>
      </c>
      <c r="B833" s="400" t="s">
        <v>474</v>
      </c>
      <c r="C833" s="400" t="s">
        <v>474</v>
      </c>
      <c r="D833" s="400" t="s">
        <v>474</v>
      </c>
      <c r="E833" s="401" t="s">
        <v>474</v>
      </c>
      <c r="F833" s="400" t="s">
        <v>474</v>
      </c>
      <c r="G833" s="401" t="s">
        <v>474</v>
      </c>
    </row>
    <row r="834" spans="1:7">
      <c r="A834" s="3" t="s">
        <v>475</v>
      </c>
      <c r="B834" s="3" t="s">
        <v>479</v>
      </c>
      <c r="C834" s="3" t="s">
        <v>480</v>
      </c>
      <c r="D834" s="3" t="s">
        <v>481</v>
      </c>
      <c r="E834" s="262">
        <f>ROUND($G$842,0)</f>
        <v>85515</v>
      </c>
      <c r="F834" s="7">
        <v>0.05</v>
      </c>
      <c r="G834" s="35">
        <f>ROUND(E834*F834,0)</f>
        <v>4276</v>
      </c>
    </row>
    <row r="835" spans="1:7">
      <c r="A835" s="402" t="s">
        <v>482</v>
      </c>
      <c r="B835" s="402" t="s">
        <v>482</v>
      </c>
      <c r="C835" s="402" t="s">
        <v>482</v>
      </c>
      <c r="D835" s="402" t="s">
        <v>482</v>
      </c>
      <c r="E835" s="403" t="s">
        <v>482</v>
      </c>
      <c r="F835" s="402" t="s">
        <v>482</v>
      </c>
      <c r="G835" s="55">
        <f>ROUND(SUM(G834:G834),0)</f>
        <v>4276</v>
      </c>
    </row>
    <row r="836" spans="1:7">
      <c r="A836" s="400" t="s">
        <v>483</v>
      </c>
      <c r="B836" s="400" t="s">
        <v>483</v>
      </c>
      <c r="C836" s="400" t="s">
        <v>483</v>
      </c>
      <c r="D836" s="400" t="s">
        <v>483</v>
      </c>
      <c r="E836" s="401" t="s">
        <v>483</v>
      </c>
      <c r="F836" s="400" t="s">
        <v>483</v>
      </c>
      <c r="G836" s="401" t="s">
        <v>483</v>
      </c>
    </row>
    <row r="837" spans="1:7">
      <c r="A837" s="3" t="s">
        <v>484</v>
      </c>
      <c r="B837" s="3" t="s">
        <v>671</v>
      </c>
      <c r="C837" s="3" t="s">
        <v>672</v>
      </c>
      <c r="D837" s="3" t="s">
        <v>103</v>
      </c>
      <c r="E837" s="262">
        <f>ROUND(INSUMOS!$E$72,0)</f>
        <v>499900</v>
      </c>
      <c r="F837" s="6">
        <v>1</v>
      </c>
      <c r="G837" s="35">
        <f>ROUND(E837*F837,0)</f>
        <v>499900</v>
      </c>
    </row>
    <row r="838" spans="1:7">
      <c r="A838" s="402" t="s">
        <v>495</v>
      </c>
      <c r="B838" s="402" t="s">
        <v>495</v>
      </c>
      <c r="C838" s="402" t="s">
        <v>495</v>
      </c>
      <c r="D838" s="402" t="s">
        <v>495</v>
      </c>
      <c r="E838" s="403" t="s">
        <v>495</v>
      </c>
      <c r="F838" s="402" t="s">
        <v>495</v>
      </c>
      <c r="G838" s="55">
        <f>ROUND(SUM(G837:G837),0)</f>
        <v>499900</v>
      </c>
    </row>
    <row r="839" spans="1:7">
      <c r="A839" s="400" t="s">
        <v>496</v>
      </c>
      <c r="B839" s="400" t="s">
        <v>496</v>
      </c>
      <c r="C839" s="400" t="s">
        <v>496</v>
      </c>
      <c r="D839" s="400" t="s">
        <v>496</v>
      </c>
      <c r="E839" s="401" t="s">
        <v>496</v>
      </c>
      <c r="F839" s="400" t="s">
        <v>496</v>
      </c>
      <c r="G839" s="401" t="s">
        <v>496</v>
      </c>
    </row>
    <row r="840" spans="1:7">
      <c r="A840" s="3" t="s">
        <v>496</v>
      </c>
      <c r="B840" s="3" t="s">
        <v>673</v>
      </c>
      <c r="C840" s="3" t="s">
        <v>618</v>
      </c>
      <c r="D840" s="3" t="s">
        <v>478</v>
      </c>
      <c r="E840" s="262">
        <f>ROUND('MANO DE OBRA'!$E$17,0)</f>
        <v>177075</v>
      </c>
      <c r="F840" s="6">
        <v>0.3</v>
      </c>
      <c r="G840" s="35">
        <f>ROUND(E840*F840,0)</f>
        <v>53123</v>
      </c>
    </row>
    <row r="841" spans="1:7">
      <c r="A841" s="3" t="s">
        <v>496</v>
      </c>
      <c r="B841" s="3" t="s">
        <v>674</v>
      </c>
      <c r="C841" s="3" t="s">
        <v>620</v>
      </c>
      <c r="D841" s="3" t="s">
        <v>478</v>
      </c>
      <c r="E841" s="262">
        <f>ROUND('MANO DE OBRA'!$E$18,0)</f>
        <v>107973</v>
      </c>
      <c r="F841" s="6">
        <v>0.3</v>
      </c>
      <c r="G841" s="35">
        <f>ROUND(E841*F841,0)</f>
        <v>32392</v>
      </c>
    </row>
    <row r="842" spans="1:7" ht="12.75" thickBot="1">
      <c r="A842" s="402" t="s">
        <v>503</v>
      </c>
      <c r="B842" s="402" t="s">
        <v>503</v>
      </c>
      <c r="C842" s="402" t="s">
        <v>503</v>
      </c>
      <c r="D842" s="402" t="s">
        <v>503</v>
      </c>
      <c r="E842" s="403" t="s">
        <v>503</v>
      </c>
      <c r="F842" s="402" t="s">
        <v>503</v>
      </c>
      <c r="G842" s="55">
        <f>ROUND(SUM(G840:G841),0)</f>
        <v>85515</v>
      </c>
    </row>
    <row r="843" spans="1:7" ht="12.75" thickBot="1">
      <c r="A843" s="404" t="s">
        <v>60</v>
      </c>
      <c r="B843" s="405" t="s">
        <v>504</v>
      </c>
      <c r="C843" s="405" t="s">
        <v>504</v>
      </c>
      <c r="D843" s="405" t="s">
        <v>504</v>
      </c>
      <c r="E843" s="406" t="s">
        <v>504</v>
      </c>
      <c r="F843" s="8"/>
      <c r="G843" s="56">
        <f>ROUND(SUM(G835,G838,G842),0)</f>
        <v>589691</v>
      </c>
    </row>
    <row r="844" spans="1:7">
      <c r="A844" s="1"/>
      <c r="B844" s="1"/>
      <c r="C844" s="1"/>
      <c r="D844" s="1"/>
      <c r="E844" s="52"/>
      <c r="F844" s="1"/>
      <c r="G844" s="52"/>
    </row>
    <row r="845" spans="1:7" ht="42" customHeight="1">
      <c r="A845" s="5" t="s">
        <v>373</v>
      </c>
      <c r="B845" s="5" t="s">
        <v>163</v>
      </c>
      <c r="C845" s="407" t="s">
        <v>164</v>
      </c>
      <c r="D845" s="407"/>
      <c r="E845" s="408"/>
      <c r="F845" s="407"/>
      <c r="G845" s="53" t="s">
        <v>68</v>
      </c>
    </row>
    <row r="846" spans="1:7">
      <c r="A846" s="2" t="s">
        <v>470</v>
      </c>
      <c r="B846" s="2" t="s">
        <v>471</v>
      </c>
      <c r="C846" s="2" t="s">
        <v>4</v>
      </c>
      <c r="D846" s="2" t="s">
        <v>58</v>
      </c>
      <c r="E846" s="54" t="s">
        <v>472</v>
      </c>
      <c r="F846" s="2" t="s">
        <v>473</v>
      </c>
      <c r="G846" s="54" t="s">
        <v>264</v>
      </c>
    </row>
    <row r="847" spans="1:7">
      <c r="A847" s="400" t="s">
        <v>474</v>
      </c>
      <c r="B847" s="400" t="s">
        <v>474</v>
      </c>
      <c r="C847" s="400" t="s">
        <v>474</v>
      </c>
      <c r="D847" s="400" t="s">
        <v>474</v>
      </c>
      <c r="E847" s="401" t="s">
        <v>474</v>
      </c>
      <c r="F847" s="400" t="s">
        <v>474</v>
      </c>
      <c r="G847" s="401" t="s">
        <v>474</v>
      </c>
    </row>
    <row r="848" spans="1:7">
      <c r="A848" s="3" t="s">
        <v>475</v>
      </c>
      <c r="B848" s="3" t="s">
        <v>589</v>
      </c>
      <c r="C848" s="3" t="s">
        <v>590</v>
      </c>
      <c r="D848" s="3" t="s">
        <v>478</v>
      </c>
      <c r="E848" s="262">
        <f>ROUND(EQUIPOS!$E$13,0)</f>
        <v>388</v>
      </c>
      <c r="F848" s="6">
        <v>0.2</v>
      </c>
      <c r="G848" s="35">
        <f>ROUND(E848*F848,0)</f>
        <v>78</v>
      </c>
    </row>
    <row r="849" spans="1:7">
      <c r="A849" s="3" t="s">
        <v>475</v>
      </c>
      <c r="B849" s="3" t="s">
        <v>476</v>
      </c>
      <c r="C849" s="3" t="s">
        <v>477</v>
      </c>
      <c r="D849" s="3" t="s">
        <v>478</v>
      </c>
      <c r="E849" s="262">
        <f>ROUND(EQUIPOS!$E$7,0)</f>
        <v>15000</v>
      </c>
      <c r="F849" s="6">
        <v>0.2</v>
      </c>
      <c r="G849" s="35">
        <f>ROUND(E849*F849,0)</f>
        <v>3000</v>
      </c>
    </row>
    <row r="850" spans="1:7">
      <c r="A850" s="3" t="s">
        <v>475</v>
      </c>
      <c r="B850" s="3" t="s">
        <v>578</v>
      </c>
      <c r="C850" s="3" t="s">
        <v>579</v>
      </c>
      <c r="D850" s="3" t="s">
        <v>478</v>
      </c>
      <c r="E850" s="262">
        <f>ROUND(EQUIPOS!$E$12,0)</f>
        <v>35000</v>
      </c>
      <c r="F850" s="6">
        <v>0.2</v>
      </c>
      <c r="G850" s="35">
        <f>ROUND(E850*F850,0)</f>
        <v>7000</v>
      </c>
    </row>
    <row r="851" spans="1:7">
      <c r="A851" s="3" t="s">
        <v>475</v>
      </c>
      <c r="B851" s="3" t="s">
        <v>479</v>
      </c>
      <c r="C851" s="3" t="s">
        <v>480</v>
      </c>
      <c r="D851" s="3" t="s">
        <v>481</v>
      </c>
      <c r="E851" s="262">
        <f>ROUND($G$865,0)</f>
        <v>9940</v>
      </c>
      <c r="F851" s="7">
        <v>0.05</v>
      </c>
      <c r="G851" s="35">
        <f>ROUND(E851*F851,0)</f>
        <v>497</v>
      </c>
    </row>
    <row r="852" spans="1:7">
      <c r="A852" s="402" t="s">
        <v>482</v>
      </c>
      <c r="B852" s="402" t="s">
        <v>482</v>
      </c>
      <c r="C852" s="402" t="s">
        <v>482</v>
      </c>
      <c r="D852" s="402" t="s">
        <v>482</v>
      </c>
      <c r="E852" s="403" t="s">
        <v>482</v>
      </c>
      <c r="F852" s="402" t="s">
        <v>482</v>
      </c>
      <c r="G852" s="55">
        <f>ROUND(SUM(G848:G851),0)</f>
        <v>10575</v>
      </c>
    </row>
    <row r="853" spans="1:7">
      <c r="A853" s="400" t="s">
        <v>483</v>
      </c>
      <c r="B853" s="400" t="s">
        <v>483</v>
      </c>
      <c r="C853" s="400" t="s">
        <v>483</v>
      </c>
      <c r="D853" s="400" t="s">
        <v>483</v>
      </c>
      <c r="E853" s="401" t="s">
        <v>483</v>
      </c>
      <c r="F853" s="400" t="s">
        <v>483</v>
      </c>
      <c r="G853" s="401" t="s">
        <v>483</v>
      </c>
    </row>
    <row r="854" spans="1:7">
      <c r="A854" s="3" t="s">
        <v>484</v>
      </c>
      <c r="B854" s="3" t="s">
        <v>675</v>
      </c>
      <c r="C854" s="3" t="s">
        <v>676</v>
      </c>
      <c r="D854" s="3" t="s">
        <v>68</v>
      </c>
      <c r="E854" s="262">
        <f>ROUND(INSUMOS!$E$73,0)</f>
        <v>12957</v>
      </c>
      <c r="F854" s="6">
        <v>1</v>
      </c>
      <c r="G854" s="35">
        <f t="shared" ref="G854:G860" si="18">ROUND(E854*F854,0)</f>
        <v>12957</v>
      </c>
    </row>
    <row r="855" spans="1:7">
      <c r="A855" s="3" t="s">
        <v>484</v>
      </c>
      <c r="B855" s="3" t="s">
        <v>677</v>
      </c>
      <c r="C855" s="3" t="s">
        <v>678</v>
      </c>
      <c r="D855" s="3" t="s">
        <v>103</v>
      </c>
      <c r="E855" s="262">
        <f>ROUND(INSUMOS!$E$74,0)</f>
        <v>1600</v>
      </c>
      <c r="F855" s="6">
        <v>0.3</v>
      </c>
      <c r="G855" s="35">
        <f t="shared" si="18"/>
        <v>480</v>
      </c>
    </row>
    <row r="856" spans="1:7">
      <c r="A856" s="3" t="s">
        <v>484</v>
      </c>
      <c r="B856" s="3" t="s">
        <v>679</v>
      </c>
      <c r="C856" s="3" t="s">
        <v>680</v>
      </c>
      <c r="D856" s="3" t="s">
        <v>103</v>
      </c>
      <c r="E856" s="262">
        <f>ROUND(INSUMOS!$E$75,0)</f>
        <v>2730</v>
      </c>
      <c r="F856" s="6">
        <v>0.3</v>
      </c>
      <c r="G856" s="35">
        <f t="shared" si="18"/>
        <v>819</v>
      </c>
    </row>
    <row r="857" spans="1:7">
      <c r="A857" s="3" t="s">
        <v>484</v>
      </c>
      <c r="B857" s="3" t="s">
        <v>591</v>
      </c>
      <c r="C857" s="3" t="s">
        <v>592</v>
      </c>
      <c r="D857" s="3" t="s">
        <v>103</v>
      </c>
      <c r="E857" s="262">
        <f>ROUND(INSUMOS!$E$43,0)</f>
        <v>2717</v>
      </c>
      <c r="F857" s="6">
        <v>0.03</v>
      </c>
      <c r="G857" s="35">
        <f t="shared" si="18"/>
        <v>82</v>
      </c>
    </row>
    <row r="858" spans="1:7">
      <c r="A858" s="3" t="s">
        <v>484</v>
      </c>
      <c r="B858" s="3" t="s">
        <v>595</v>
      </c>
      <c r="C858" s="3" t="s">
        <v>596</v>
      </c>
      <c r="D858" s="3" t="s">
        <v>103</v>
      </c>
      <c r="E858" s="262">
        <f>ROUND(INSUMOS!$E$45,0)</f>
        <v>34177</v>
      </c>
      <c r="F858" s="6">
        <v>0.01</v>
      </c>
      <c r="G858" s="35">
        <f t="shared" si="18"/>
        <v>342</v>
      </c>
    </row>
    <row r="859" spans="1:7">
      <c r="A859" s="3" t="s">
        <v>484</v>
      </c>
      <c r="B859" s="3" t="s">
        <v>609</v>
      </c>
      <c r="C859" s="3" t="s">
        <v>610</v>
      </c>
      <c r="D859" s="3" t="s">
        <v>103</v>
      </c>
      <c r="E859" s="262">
        <f>ROUND(INSUMOS!$E$52,0)</f>
        <v>2100</v>
      </c>
      <c r="F859" s="6">
        <v>1.5</v>
      </c>
      <c r="G859" s="35">
        <f t="shared" si="18"/>
        <v>3150</v>
      </c>
    </row>
    <row r="860" spans="1:7">
      <c r="A860" s="3" t="s">
        <v>484</v>
      </c>
      <c r="B860" s="3" t="s">
        <v>615</v>
      </c>
      <c r="C860" s="3" t="s">
        <v>616</v>
      </c>
      <c r="D860" s="3" t="s">
        <v>103</v>
      </c>
      <c r="E860" s="262">
        <f>ROUND(INSUMOS!$E$55,0)</f>
        <v>9225</v>
      </c>
      <c r="F860" s="6">
        <v>0.3</v>
      </c>
      <c r="G860" s="35">
        <f t="shared" si="18"/>
        <v>2768</v>
      </c>
    </row>
    <row r="861" spans="1:7">
      <c r="A861" s="402" t="s">
        <v>495</v>
      </c>
      <c r="B861" s="402" t="s">
        <v>495</v>
      </c>
      <c r="C861" s="402" t="s">
        <v>495</v>
      </c>
      <c r="D861" s="402" t="s">
        <v>495</v>
      </c>
      <c r="E861" s="403" t="s">
        <v>495</v>
      </c>
      <c r="F861" s="402" t="s">
        <v>495</v>
      </c>
      <c r="G861" s="55">
        <f>ROUND(SUM(G854:G860),0)</f>
        <v>20598</v>
      </c>
    </row>
    <row r="862" spans="1:7">
      <c r="A862" s="400" t="s">
        <v>496</v>
      </c>
      <c r="B862" s="400" t="s">
        <v>496</v>
      </c>
      <c r="C862" s="400" t="s">
        <v>496</v>
      </c>
      <c r="D862" s="400" t="s">
        <v>496</v>
      </c>
      <c r="E862" s="401" t="s">
        <v>496</v>
      </c>
      <c r="F862" s="400" t="s">
        <v>496</v>
      </c>
      <c r="G862" s="401" t="s">
        <v>496</v>
      </c>
    </row>
    <row r="863" spans="1:7">
      <c r="A863" s="3" t="s">
        <v>496</v>
      </c>
      <c r="B863" s="3" t="s">
        <v>617</v>
      </c>
      <c r="C863" s="3" t="s">
        <v>618</v>
      </c>
      <c r="D863" s="3" t="s">
        <v>478</v>
      </c>
      <c r="E863" s="262">
        <f>ROUND('MANO DE OBRA'!$E$15,0)</f>
        <v>164541</v>
      </c>
      <c r="F863" s="6">
        <v>0.04</v>
      </c>
      <c r="G863" s="35">
        <f>ROUND(E863*F863,0)</f>
        <v>6582</v>
      </c>
    </row>
    <row r="864" spans="1:7">
      <c r="A864" s="3" t="s">
        <v>496</v>
      </c>
      <c r="B864" s="3" t="s">
        <v>619</v>
      </c>
      <c r="C864" s="3" t="s">
        <v>620</v>
      </c>
      <c r="D864" s="3" t="s">
        <v>478</v>
      </c>
      <c r="E864" s="262">
        <f>ROUND('MANO DE OBRA'!$E$16,0)</f>
        <v>83958</v>
      </c>
      <c r="F864" s="6">
        <v>0.04</v>
      </c>
      <c r="G864" s="35">
        <f>ROUND(E864*F864,0)</f>
        <v>3358</v>
      </c>
    </row>
    <row r="865" spans="1:7">
      <c r="A865" s="402" t="s">
        <v>503</v>
      </c>
      <c r="B865" s="402" t="s">
        <v>503</v>
      </c>
      <c r="C865" s="402" t="s">
        <v>503</v>
      </c>
      <c r="D865" s="402" t="s">
        <v>503</v>
      </c>
      <c r="E865" s="403" t="s">
        <v>503</v>
      </c>
      <c r="F865" s="402" t="s">
        <v>503</v>
      </c>
      <c r="G865" s="55">
        <f>ROUND(SUM(G863:G864),0)</f>
        <v>9940</v>
      </c>
    </row>
    <row r="866" spans="1:7">
      <c r="A866" s="400" t="s">
        <v>621</v>
      </c>
      <c r="B866" s="400" t="s">
        <v>621</v>
      </c>
      <c r="C866" s="400" t="s">
        <v>621</v>
      </c>
      <c r="D866" s="400" t="s">
        <v>621</v>
      </c>
      <c r="E866" s="401" t="s">
        <v>621</v>
      </c>
      <c r="F866" s="400" t="s">
        <v>621</v>
      </c>
      <c r="G866" s="401" t="s">
        <v>621</v>
      </c>
    </row>
    <row r="867" spans="1:7">
      <c r="A867" s="3" t="s">
        <v>621</v>
      </c>
      <c r="B867" s="3" t="s">
        <v>622</v>
      </c>
      <c r="C867" s="3" t="s">
        <v>623</v>
      </c>
      <c r="D867" s="3" t="s">
        <v>478</v>
      </c>
      <c r="E867" s="262">
        <f>ROUND(TRANSPORTE!$E$9,0)</f>
        <v>126000</v>
      </c>
      <c r="F867" s="6">
        <v>0.01</v>
      </c>
      <c r="G867" s="35">
        <f>ROUND(E867*F867,0)</f>
        <v>1260</v>
      </c>
    </row>
    <row r="868" spans="1:7" ht="12.75" thickBot="1">
      <c r="A868" s="402" t="s">
        <v>624</v>
      </c>
      <c r="B868" s="402" t="s">
        <v>624</v>
      </c>
      <c r="C868" s="402" t="s">
        <v>624</v>
      </c>
      <c r="D868" s="402" t="s">
        <v>624</v>
      </c>
      <c r="E868" s="403" t="s">
        <v>624</v>
      </c>
      <c r="F868" s="402" t="s">
        <v>624</v>
      </c>
      <c r="G868" s="55">
        <f>ROUND(SUM(G867:G867),0)</f>
        <v>1260</v>
      </c>
    </row>
    <row r="869" spans="1:7" ht="12.75" thickBot="1">
      <c r="A869" s="404" t="s">
        <v>60</v>
      </c>
      <c r="B869" s="405" t="s">
        <v>504</v>
      </c>
      <c r="C869" s="405" t="s">
        <v>504</v>
      </c>
      <c r="D869" s="405" t="s">
        <v>504</v>
      </c>
      <c r="E869" s="406" t="s">
        <v>504</v>
      </c>
      <c r="F869" s="8"/>
      <c r="G869" s="56">
        <f>ROUND(SUM(G852,G861,G865,G868),0)</f>
        <v>42373</v>
      </c>
    </row>
    <row r="870" spans="1:7">
      <c r="A870" s="1"/>
      <c r="B870" s="1"/>
      <c r="C870" s="1"/>
      <c r="D870" s="1"/>
      <c r="E870" s="52"/>
      <c r="F870" s="1"/>
      <c r="G870" s="52"/>
    </row>
    <row r="871" spans="1:7" ht="42" customHeight="1">
      <c r="A871" s="5" t="s">
        <v>374</v>
      </c>
      <c r="B871" s="5" t="s">
        <v>166</v>
      </c>
      <c r="C871" s="407" t="s">
        <v>167</v>
      </c>
      <c r="D871" s="407"/>
      <c r="E871" s="408"/>
      <c r="F871" s="407"/>
      <c r="G871" s="53" t="s">
        <v>103</v>
      </c>
    </row>
    <row r="872" spans="1:7">
      <c r="A872" s="2" t="s">
        <v>470</v>
      </c>
      <c r="B872" s="2" t="s">
        <v>471</v>
      </c>
      <c r="C872" s="2" t="s">
        <v>4</v>
      </c>
      <c r="D872" s="2" t="s">
        <v>58</v>
      </c>
      <c r="E872" s="54" t="s">
        <v>472</v>
      </c>
      <c r="F872" s="2" t="s">
        <v>473</v>
      </c>
      <c r="G872" s="54" t="s">
        <v>264</v>
      </c>
    </row>
    <row r="873" spans="1:7">
      <c r="A873" s="400" t="s">
        <v>474</v>
      </c>
      <c r="B873" s="400" t="s">
        <v>474</v>
      </c>
      <c r="C873" s="400" t="s">
        <v>474</v>
      </c>
      <c r="D873" s="400" t="s">
        <v>474</v>
      </c>
      <c r="E873" s="401" t="s">
        <v>474</v>
      </c>
      <c r="F873" s="400" t="s">
        <v>474</v>
      </c>
      <c r="G873" s="401" t="s">
        <v>474</v>
      </c>
    </row>
    <row r="874" spans="1:7">
      <c r="A874" s="3" t="s">
        <v>475</v>
      </c>
      <c r="B874" s="3" t="s">
        <v>476</v>
      </c>
      <c r="C874" s="3" t="s">
        <v>477</v>
      </c>
      <c r="D874" s="3" t="s">
        <v>478</v>
      </c>
      <c r="E874" s="262">
        <f>ROUND(EQUIPOS!$E$7,0)</f>
        <v>15000</v>
      </c>
      <c r="F874" s="6">
        <v>8.3333333333333329E-2</v>
      </c>
      <c r="G874" s="35">
        <f>ROUND(E874*F874,0)</f>
        <v>1250</v>
      </c>
    </row>
    <row r="875" spans="1:7">
      <c r="A875" s="3" t="s">
        <v>475</v>
      </c>
      <c r="B875" s="3" t="s">
        <v>589</v>
      </c>
      <c r="C875" s="3" t="s">
        <v>590</v>
      </c>
      <c r="D875" s="3" t="s">
        <v>478</v>
      </c>
      <c r="E875" s="262">
        <f>ROUND(EQUIPOS!$E$13,0)</f>
        <v>388</v>
      </c>
      <c r="F875" s="6">
        <v>8.3333333333333329E-2</v>
      </c>
      <c r="G875" s="35">
        <f>ROUND(E875*F875,0)</f>
        <v>32</v>
      </c>
    </row>
    <row r="876" spans="1:7">
      <c r="A876" s="3" t="s">
        <v>475</v>
      </c>
      <c r="B876" s="3" t="s">
        <v>479</v>
      </c>
      <c r="C876" s="3" t="s">
        <v>480</v>
      </c>
      <c r="D876" s="3" t="s">
        <v>481</v>
      </c>
      <c r="E876" s="262">
        <f>ROUND($G$885,0)</f>
        <v>41417</v>
      </c>
      <c r="F876" s="7">
        <v>0.05</v>
      </c>
      <c r="G876" s="35">
        <f>ROUND(E876*F876,0)</f>
        <v>2071</v>
      </c>
    </row>
    <row r="877" spans="1:7">
      <c r="A877" s="402" t="s">
        <v>482</v>
      </c>
      <c r="B877" s="402" t="s">
        <v>482</v>
      </c>
      <c r="C877" s="402" t="s">
        <v>482</v>
      </c>
      <c r="D877" s="402" t="s">
        <v>482</v>
      </c>
      <c r="E877" s="403" t="s">
        <v>482</v>
      </c>
      <c r="F877" s="402" t="s">
        <v>482</v>
      </c>
      <c r="G877" s="55">
        <f>ROUND(SUM(G874:G876),0)</f>
        <v>3353</v>
      </c>
    </row>
    <row r="878" spans="1:7">
      <c r="A878" s="400" t="s">
        <v>483</v>
      </c>
      <c r="B878" s="400" t="s">
        <v>483</v>
      </c>
      <c r="C878" s="400" t="s">
        <v>483</v>
      </c>
      <c r="D878" s="400" t="s">
        <v>483</v>
      </c>
      <c r="E878" s="401" t="s">
        <v>483</v>
      </c>
      <c r="F878" s="400" t="s">
        <v>483</v>
      </c>
      <c r="G878" s="401" t="s">
        <v>483</v>
      </c>
    </row>
    <row r="879" spans="1:7">
      <c r="A879" s="3" t="s">
        <v>484</v>
      </c>
      <c r="B879" s="3" t="s">
        <v>681</v>
      </c>
      <c r="C879" s="3" t="s">
        <v>682</v>
      </c>
      <c r="D879" s="3" t="s">
        <v>103</v>
      </c>
      <c r="E879" s="262">
        <f>ROUND(INSUMOS!$E$76,0)</f>
        <v>114900</v>
      </c>
      <c r="F879" s="6">
        <v>1</v>
      </c>
      <c r="G879" s="35">
        <f>ROUND(E879*F879,0)</f>
        <v>114900</v>
      </c>
    </row>
    <row r="880" spans="1:7">
      <c r="A880" s="3" t="s">
        <v>484</v>
      </c>
      <c r="B880" s="3" t="s">
        <v>615</v>
      </c>
      <c r="C880" s="3" t="s">
        <v>616</v>
      </c>
      <c r="D880" s="3" t="s">
        <v>103</v>
      </c>
      <c r="E880" s="262">
        <f>ROUND(INSUMOS!$E$55,0)</f>
        <v>9225</v>
      </c>
      <c r="F880" s="6">
        <v>1</v>
      </c>
      <c r="G880" s="35">
        <f>ROUND(E880*F880,0)</f>
        <v>9225</v>
      </c>
    </row>
    <row r="881" spans="1:7">
      <c r="A881" s="402" t="s">
        <v>495</v>
      </c>
      <c r="B881" s="402" t="s">
        <v>495</v>
      </c>
      <c r="C881" s="402" t="s">
        <v>495</v>
      </c>
      <c r="D881" s="402" t="s">
        <v>495</v>
      </c>
      <c r="E881" s="403" t="s">
        <v>495</v>
      </c>
      <c r="F881" s="402" t="s">
        <v>495</v>
      </c>
      <c r="G881" s="55">
        <f>ROUND(SUM(G879:G880),0)</f>
        <v>124125</v>
      </c>
    </row>
    <row r="882" spans="1:7">
      <c r="A882" s="400" t="s">
        <v>496</v>
      </c>
      <c r="B882" s="400" t="s">
        <v>496</v>
      </c>
      <c r="C882" s="400" t="s">
        <v>496</v>
      </c>
      <c r="D882" s="400" t="s">
        <v>496</v>
      </c>
      <c r="E882" s="401" t="s">
        <v>496</v>
      </c>
      <c r="F882" s="400" t="s">
        <v>496</v>
      </c>
      <c r="G882" s="401" t="s">
        <v>496</v>
      </c>
    </row>
    <row r="883" spans="1:7">
      <c r="A883" s="3" t="s">
        <v>496</v>
      </c>
      <c r="B883" s="3" t="s">
        <v>617</v>
      </c>
      <c r="C883" s="3" t="s">
        <v>618</v>
      </c>
      <c r="D883" s="3" t="s">
        <v>478</v>
      </c>
      <c r="E883" s="262">
        <f>ROUND('MANO DE OBRA'!$E$15,0)</f>
        <v>164541</v>
      </c>
      <c r="F883" s="6">
        <v>0.16666666666666666</v>
      </c>
      <c r="G883" s="35">
        <f>ROUND(E883*F883,0)</f>
        <v>27424</v>
      </c>
    </row>
    <row r="884" spans="1:7">
      <c r="A884" s="3" t="s">
        <v>496</v>
      </c>
      <c r="B884" s="3" t="s">
        <v>619</v>
      </c>
      <c r="C884" s="3" t="s">
        <v>620</v>
      </c>
      <c r="D884" s="3" t="s">
        <v>478</v>
      </c>
      <c r="E884" s="262">
        <f>ROUND('MANO DE OBRA'!$E$16,0)</f>
        <v>83958</v>
      </c>
      <c r="F884" s="6">
        <v>0.16666666666666666</v>
      </c>
      <c r="G884" s="35">
        <f>ROUND(E884*F884,0)</f>
        <v>13993</v>
      </c>
    </row>
    <row r="885" spans="1:7">
      <c r="A885" s="402" t="s">
        <v>503</v>
      </c>
      <c r="B885" s="402" t="s">
        <v>503</v>
      </c>
      <c r="C885" s="402" t="s">
        <v>503</v>
      </c>
      <c r="D885" s="402" t="s">
        <v>503</v>
      </c>
      <c r="E885" s="403" t="s">
        <v>503</v>
      </c>
      <c r="F885" s="402" t="s">
        <v>503</v>
      </c>
      <c r="G885" s="55">
        <f>ROUND(SUM(G883:G884),0)</f>
        <v>41417</v>
      </c>
    </row>
    <row r="886" spans="1:7">
      <c r="A886" s="400" t="s">
        <v>621</v>
      </c>
      <c r="B886" s="400" t="s">
        <v>621</v>
      </c>
      <c r="C886" s="400" t="s">
        <v>621</v>
      </c>
      <c r="D886" s="400" t="s">
        <v>621</v>
      </c>
      <c r="E886" s="401" t="s">
        <v>621</v>
      </c>
      <c r="F886" s="400" t="s">
        <v>621</v>
      </c>
      <c r="G886" s="401" t="s">
        <v>621</v>
      </c>
    </row>
    <row r="887" spans="1:7">
      <c r="A887" s="3" t="s">
        <v>621</v>
      </c>
      <c r="B887" s="3" t="s">
        <v>622</v>
      </c>
      <c r="C887" s="3" t="s">
        <v>623</v>
      </c>
      <c r="D887" s="3" t="s">
        <v>478</v>
      </c>
      <c r="E887" s="262">
        <f>ROUND(TRANSPORTE!$E$9,0)</f>
        <v>126000</v>
      </c>
      <c r="F887" s="6">
        <v>1.2500000000000001E-2</v>
      </c>
      <c r="G887" s="35">
        <f>ROUND(E887*F887,0)</f>
        <v>1575</v>
      </c>
    </row>
    <row r="888" spans="1:7" ht="12.75" thickBot="1">
      <c r="A888" s="402" t="s">
        <v>624</v>
      </c>
      <c r="B888" s="402" t="s">
        <v>624</v>
      </c>
      <c r="C888" s="402" t="s">
        <v>624</v>
      </c>
      <c r="D888" s="402" t="s">
        <v>624</v>
      </c>
      <c r="E888" s="403" t="s">
        <v>624</v>
      </c>
      <c r="F888" s="402" t="s">
        <v>624</v>
      </c>
      <c r="G888" s="55">
        <f>ROUND(SUM(G887:G887),0)</f>
        <v>1575</v>
      </c>
    </row>
    <row r="889" spans="1:7" ht="12.75" thickBot="1">
      <c r="A889" s="404" t="s">
        <v>60</v>
      </c>
      <c r="B889" s="405" t="s">
        <v>504</v>
      </c>
      <c r="C889" s="405" t="s">
        <v>504</v>
      </c>
      <c r="D889" s="405" t="s">
        <v>504</v>
      </c>
      <c r="E889" s="406" t="s">
        <v>504</v>
      </c>
      <c r="F889" s="8"/>
      <c r="G889" s="56">
        <f>ROUND(SUM(G877,G881,G885,G888),0)</f>
        <v>170470</v>
      </c>
    </row>
    <row r="890" spans="1:7">
      <c r="A890" s="1"/>
      <c r="B890" s="1"/>
      <c r="C890" s="1"/>
      <c r="D890" s="1"/>
      <c r="E890" s="52"/>
      <c r="F890" s="1"/>
      <c r="G890" s="52"/>
    </row>
    <row r="891" spans="1:7" ht="42" customHeight="1">
      <c r="A891" s="5" t="s">
        <v>376</v>
      </c>
      <c r="B891" s="5" t="s">
        <v>168</v>
      </c>
      <c r="C891" s="407" t="s">
        <v>169</v>
      </c>
      <c r="D891" s="407"/>
      <c r="E891" s="408"/>
      <c r="F891" s="407"/>
      <c r="G891" s="53" t="s">
        <v>103</v>
      </c>
    </row>
    <row r="892" spans="1:7">
      <c r="A892" s="2" t="s">
        <v>470</v>
      </c>
      <c r="B892" s="2" t="s">
        <v>471</v>
      </c>
      <c r="C892" s="2" t="s">
        <v>4</v>
      </c>
      <c r="D892" s="2" t="s">
        <v>58</v>
      </c>
      <c r="E892" s="54" t="s">
        <v>472</v>
      </c>
      <c r="F892" s="2" t="s">
        <v>473</v>
      </c>
      <c r="G892" s="54" t="s">
        <v>264</v>
      </c>
    </row>
    <row r="893" spans="1:7">
      <c r="A893" s="400" t="s">
        <v>474</v>
      </c>
      <c r="B893" s="400" t="s">
        <v>474</v>
      </c>
      <c r="C893" s="400" t="s">
        <v>474</v>
      </c>
      <c r="D893" s="400" t="s">
        <v>474</v>
      </c>
      <c r="E893" s="401" t="s">
        <v>474</v>
      </c>
      <c r="F893" s="400" t="s">
        <v>474</v>
      </c>
      <c r="G893" s="401" t="s">
        <v>474</v>
      </c>
    </row>
    <row r="894" spans="1:7">
      <c r="A894" s="3" t="s">
        <v>475</v>
      </c>
      <c r="B894" s="3" t="s">
        <v>479</v>
      </c>
      <c r="C894" s="3" t="s">
        <v>480</v>
      </c>
      <c r="D894" s="3" t="s">
        <v>481</v>
      </c>
      <c r="E894" s="262">
        <f>ROUND($G$902,0)</f>
        <v>28505</v>
      </c>
      <c r="F894" s="7">
        <v>0.05</v>
      </c>
      <c r="G894" s="35">
        <f>ROUND(E894*F894,0)</f>
        <v>1425</v>
      </c>
    </row>
    <row r="895" spans="1:7">
      <c r="A895" s="402" t="s">
        <v>482</v>
      </c>
      <c r="B895" s="402" t="s">
        <v>482</v>
      </c>
      <c r="C895" s="402" t="s">
        <v>482</v>
      </c>
      <c r="D895" s="402" t="s">
        <v>482</v>
      </c>
      <c r="E895" s="403" t="s">
        <v>482</v>
      </c>
      <c r="F895" s="402" t="s">
        <v>482</v>
      </c>
      <c r="G895" s="55">
        <f>ROUND(SUM(G894:G894),0)</f>
        <v>1425</v>
      </c>
    </row>
    <row r="896" spans="1:7">
      <c r="A896" s="400" t="s">
        <v>483</v>
      </c>
      <c r="B896" s="400" t="s">
        <v>483</v>
      </c>
      <c r="C896" s="400" t="s">
        <v>483</v>
      </c>
      <c r="D896" s="400" t="s">
        <v>483</v>
      </c>
      <c r="E896" s="401" t="s">
        <v>483</v>
      </c>
      <c r="F896" s="400" t="s">
        <v>483</v>
      </c>
      <c r="G896" s="401" t="s">
        <v>483</v>
      </c>
    </row>
    <row r="897" spans="1:7">
      <c r="A897" s="3" t="s">
        <v>484</v>
      </c>
      <c r="B897" s="3" t="s">
        <v>683</v>
      </c>
      <c r="C897" s="3" t="s">
        <v>684</v>
      </c>
      <c r="D897" s="3" t="s">
        <v>103</v>
      </c>
      <c r="E897" s="262">
        <f>ROUND(INSUMOS!$E$77,0)</f>
        <v>41650</v>
      </c>
      <c r="F897" s="6">
        <v>2.0552220888355341</v>
      </c>
      <c r="G897" s="35">
        <f>ROUND(E897*F897,0)</f>
        <v>85600</v>
      </c>
    </row>
    <row r="898" spans="1:7">
      <c r="A898" s="402" t="s">
        <v>495</v>
      </c>
      <c r="B898" s="402" t="s">
        <v>495</v>
      </c>
      <c r="C898" s="402" t="s">
        <v>495</v>
      </c>
      <c r="D898" s="402" t="s">
        <v>495</v>
      </c>
      <c r="E898" s="403" t="s">
        <v>495</v>
      </c>
      <c r="F898" s="402" t="s">
        <v>495</v>
      </c>
      <c r="G898" s="55">
        <f>ROUND(SUM(G897:G897),0)</f>
        <v>85600</v>
      </c>
    </row>
    <row r="899" spans="1:7">
      <c r="A899" s="400" t="s">
        <v>496</v>
      </c>
      <c r="B899" s="400" t="s">
        <v>496</v>
      </c>
      <c r="C899" s="400" t="s">
        <v>496</v>
      </c>
      <c r="D899" s="400" t="s">
        <v>496</v>
      </c>
      <c r="E899" s="401" t="s">
        <v>496</v>
      </c>
      <c r="F899" s="400" t="s">
        <v>496</v>
      </c>
      <c r="G899" s="401" t="s">
        <v>496</v>
      </c>
    </row>
    <row r="900" spans="1:7">
      <c r="A900" s="3" t="s">
        <v>496</v>
      </c>
      <c r="B900" s="3" t="s">
        <v>673</v>
      </c>
      <c r="C900" s="3" t="s">
        <v>618</v>
      </c>
      <c r="D900" s="3" t="s">
        <v>478</v>
      </c>
      <c r="E900" s="262">
        <f>ROUND('MANO DE OBRA'!$E$17,0)</f>
        <v>177075</v>
      </c>
      <c r="F900" s="6">
        <v>0.1</v>
      </c>
      <c r="G900" s="35">
        <f>ROUND(E900*F900,0)</f>
        <v>17708</v>
      </c>
    </row>
    <row r="901" spans="1:7">
      <c r="A901" s="3" t="s">
        <v>496</v>
      </c>
      <c r="B901" s="3" t="s">
        <v>674</v>
      </c>
      <c r="C901" s="3" t="s">
        <v>620</v>
      </c>
      <c r="D901" s="3" t="s">
        <v>478</v>
      </c>
      <c r="E901" s="262">
        <f>ROUND('MANO DE OBRA'!$E$18,0)</f>
        <v>107973</v>
      </c>
      <c r="F901" s="6">
        <v>0.1</v>
      </c>
      <c r="G901" s="35">
        <f>ROUND(E901*F901,0)</f>
        <v>10797</v>
      </c>
    </row>
    <row r="902" spans="1:7" ht="12.75" thickBot="1">
      <c r="A902" s="402" t="s">
        <v>503</v>
      </c>
      <c r="B902" s="402" t="s">
        <v>503</v>
      </c>
      <c r="C902" s="402" t="s">
        <v>503</v>
      </c>
      <c r="D902" s="402" t="s">
        <v>503</v>
      </c>
      <c r="E902" s="403" t="s">
        <v>503</v>
      </c>
      <c r="F902" s="402" t="s">
        <v>503</v>
      </c>
      <c r="G902" s="55">
        <f>ROUND(SUM(G900:G901),0)</f>
        <v>28505</v>
      </c>
    </row>
    <row r="903" spans="1:7" ht="12.75" thickBot="1">
      <c r="A903" s="404" t="s">
        <v>60</v>
      </c>
      <c r="B903" s="405" t="s">
        <v>504</v>
      </c>
      <c r="C903" s="405" t="s">
        <v>504</v>
      </c>
      <c r="D903" s="405" t="s">
        <v>504</v>
      </c>
      <c r="E903" s="406" t="s">
        <v>504</v>
      </c>
      <c r="F903" s="8"/>
      <c r="G903" s="56">
        <f>ROUND(SUM(G895,G898,G902),0)</f>
        <v>115530</v>
      </c>
    </row>
    <row r="904" spans="1:7">
      <c r="A904" s="1"/>
      <c r="B904" s="1"/>
      <c r="C904" s="1"/>
      <c r="D904" s="1"/>
      <c r="E904" s="52"/>
      <c r="F904" s="1"/>
      <c r="G904" s="52"/>
    </row>
    <row r="905" spans="1:7" ht="42" customHeight="1">
      <c r="A905" s="5" t="s">
        <v>377</v>
      </c>
      <c r="B905" s="5" t="s">
        <v>171</v>
      </c>
      <c r="C905" s="407" t="s">
        <v>172</v>
      </c>
      <c r="D905" s="407"/>
      <c r="E905" s="408"/>
      <c r="F905" s="407"/>
      <c r="G905" s="53" t="s">
        <v>65</v>
      </c>
    </row>
    <row r="906" spans="1:7">
      <c r="A906" s="2" t="s">
        <v>470</v>
      </c>
      <c r="B906" s="2" t="s">
        <v>471</v>
      </c>
      <c r="C906" s="2" t="s">
        <v>4</v>
      </c>
      <c r="D906" s="2" t="s">
        <v>58</v>
      </c>
      <c r="E906" s="54" t="s">
        <v>472</v>
      </c>
      <c r="F906" s="2" t="s">
        <v>473</v>
      </c>
      <c r="G906" s="54" t="s">
        <v>264</v>
      </c>
    </row>
    <row r="907" spans="1:7">
      <c r="A907" s="400" t="s">
        <v>474</v>
      </c>
      <c r="B907" s="400" t="s">
        <v>474</v>
      </c>
      <c r="C907" s="400" t="s">
        <v>474</v>
      </c>
      <c r="D907" s="400" t="s">
        <v>474</v>
      </c>
      <c r="E907" s="401" t="s">
        <v>474</v>
      </c>
      <c r="F907" s="400" t="s">
        <v>474</v>
      </c>
      <c r="G907" s="401" t="s">
        <v>474</v>
      </c>
    </row>
    <row r="908" spans="1:7">
      <c r="A908" s="3" t="s">
        <v>475</v>
      </c>
      <c r="B908" s="3" t="s">
        <v>685</v>
      </c>
      <c r="C908" s="3" t="s">
        <v>686</v>
      </c>
      <c r="D908" s="3" t="s">
        <v>478</v>
      </c>
      <c r="E908" s="262">
        <f>ROUND(EQUIPOS!$E$19,0)</f>
        <v>360000</v>
      </c>
      <c r="F908" s="6">
        <v>0.2</v>
      </c>
      <c r="G908" s="35">
        <f>ROUND(E908*F908,0)</f>
        <v>72000</v>
      </c>
    </row>
    <row r="909" spans="1:7">
      <c r="A909" s="3" t="s">
        <v>475</v>
      </c>
      <c r="B909" s="3" t="s">
        <v>479</v>
      </c>
      <c r="C909" s="3" t="s">
        <v>480</v>
      </c>
      <c r="D909" s="3" t="s">
        <v>481</v>
      </c>
      <c r="E909" s="262">
        <f>ROUND($G$922,0)</f>
        <v>142525</v>
      </c>
      <c r="F909" s="7">
        <v>0.05</v>
      </c>
      <c r="G909" s="35">
        <f>ROUND(E909*F909,0)</f>
        <v>7126</v>
      </c>
    </row>
    <row r="910" spans="1:7">
      <c r="A910" s="402" t="s">
        <v>482</v>
      </c>
      <c r="B910" s="402" t="s">
        <v>482</v>
      </c>
      <c r="C910" s="402" t="s">
        <v>482</v>
      </c>
      <c r="D910" s="402" t="s">
        <v>482</v>
      </c>
      <c r="E910" s="403" t="s">
        <v>482</v>
      </c>
      <c r="F910" s="402" t="s">
        <v>482</v>
      </c>
      <c r="G910" s="55">
        <f>ROUND(SUM(G908:G909),0)</f>
        <v>79126</v>
      </c>
    </row>
    <row r="911" spans="1:7">
      <c r="A911" s="400" t="s">
        <v>483</v>
      </c>
      <c r="B911" s="400" t="s">
        <v>483</v>
      </c>
      <c r="C911" s="400" t="s">
        <v>483</v>
      </c>
      <c r="D911" s="400" t="s">
        <v>483</v>
      </c>
      <c r="E911" s="401" t="s">
        <v>483</v>
      </c>
      <c r="F911" s="400" t="s">
        <v>483</v>
      </c>
      <c r="G911" s="401" t="s">
        <v>483</v>
      </c>
    </row>
    <row r="912" spans="1:7">
      <c r="A912" s="3" t="s">
        <v>484</v>
      </c>
      <c r="B912" s="3" t="s">
        <v>687</v>
      </c>
      <c r="C912" s="3" t="s">
        <v>688</v>
      </c>
      <c r="D912" s="3" t="s">
        <v>103</v>
      </c>
      <c r="E912" s="262">
        <f>ROUND(INSUMOS!$E$78,0)</f>
        <v>260664</v>
      </c>
      <c r="F912" s="6">
        <v>2.1800000000000002</v>
      </c>
      <c r="G912" s="35">
        <f t="shared" ref="G912:G917" si="19">ROUND(E912*F912,0)</f>
        <v>568248</v>
      </c>
    </row>
    <row r="913" spans="1:7">
      <c r="A913" s="3" t="s">
        <v>484</v>
      </c>
      <c r="B913" s="3" t="s">
        <v>487</v>
      </c>
      <c r="C913" s="3" t="s">
        <v>488</v>
      </c>
      <c r="D913" s="3" t="s">
        <v>489</v>
      </c>
      <c r="E913" s="262">
        <f>ROUND(INSUMOS!$E$12,0)</f>
        <v>130781</v>
      </c>
      <c r="F913" s="6">
        <v>0.2</v>
      </c>
      <c r="G913" s="35">
        <f t="shared" si="19"/>
        <v>26156</v>
      </c>
    </row>
    <row r="914" spans="1:7">
      <c r="A914" s="3" t="s">
        <v>484</v>
      </c>
      <c r="B914" s="3" t="s">
        <v>689</v>
      </c>
      <c r="C914" s="3" t="s">
        <v>690</v>
      </c>
      <c r="D914" s="3" t="s">
        <v>103</v>
      </c>
      <c r="E914" s="262">
        <f>ROUND(INSUMOS!$E$79,0)</f>
        <v>128520</v>
      </c>
      <c r="F914" s="6">
        <v>1</v>
      </c>
      <c r="G914" s="35">
        <f t="shared" si="19"/>
        <v>128520</v>
      </c>
    </row>
    <row r="915" spans="1:7">
      <c r="A915" s="3" t="s">
        <v>484</v>
      </c>
      <c r="B915" s="3" t="s">
        <v>567</v>
      </c>
      <c r="C915" s="3" t="s">
        <v>568</v>
      </c>
      <c r="D915" s="3" t="s">
        <v>120</v>
      </c>
      <c r="E915" s="262">
        <f>ROUND(INSUMOS!$E$35,0)</f>
        <v>14732</v>
      </c>
      <c r="F915" s="6">
        <v>0.5</v>
      </c>
      <c r="G915" s="35">
        <f t="shared" si="19"/>
        <v>7366</v>
      </c>
    </row>
    <row r="916" spans="1:7">
      <c r="A916" s="3" t="s">
        <v>484</v>
      </c>
      <c r="B916" s="3" t="s">
        <v>691</v>
      </c>
      <c r="C916" s="3" t="s">
        <v>692</v>
      </c>
      <c r="D916" s="3" t="s">
        <v>103</v>
      </c>
      <c r="E916" s="262">
        <f>ROUND(INSUMOS!$E$80,0)</f>
        <v>125250</v>
      </c>
      <c r="F916" s="6">
        <v>0.34699999999999998</v>
      </c>
      <c r="G916" s="35">
        <f t="shared" si="19"/>
        <v>43462</v>
      </c>
    </row>
    <row r="917" spans="1:7">
      <c r="A917" s="3" t="s">
        <v>484</v>
      </c>
      <c r="B917" s="3" t="s">
        <v>693</v>
      </c>
      <c r="C917" s="3" t="s">
        <v>694</v>
      </c>
      <c r="D917" s="3" t="s">
        <v>103</v>
      </c>
      <c r="E917" s="262">
        <f>ROUND(INSUMOS!$E$81,0)</f>
        <v>6747</v>
      </c>
      <c r="F917" s="6">
        <v>0.5</v>
      </c>
      <c r="G917" s="35">
        <f t="shared" si="19"/>
        <v>3374</v>
      </c>
    </row>
    <row r="918" spans="1:7">
      <c r="A918" s="402" t="s">
        <v>495</v>
      </c>
      <c r="B918" s="402" t="s">
        <v>495</v>
      </c>
      <c r="C918" s="402" t="s">
        <v>495</v>
      </c>
      <c r="D918" s="402" t="s">
        <v>495</v>
      </c>
      <c r="E918" s="403" t="s">
        <v>495</v>
      </c>
      <c r="F918" s="402" t="s">
        <v>495</v>
      </c>
      <c r="G918" s="55">
        <f>ROUND(SUM(G912:G917),0)</f>
        <v>777126</v>
      </c>
    </row>
    <row r="919" spans="1:7">
      <c r="A919" s="400" t="s">
        <v>496</v>
      </c>
      <c r="B919" s="400" t="s">
        <v>496</v>
      </c>
      <c r="C919" s="400" t="s">
        <v>496</v>
      </c>
      <c r="D919" s="400" t="s">
        <v>496</v>
      </c>
      <c r="E919" s="401" t="s">
        <v>496</v>
      </c>
      <c r="F919" s="400" t="s">
        <v>496</v>
      </c>
      <c r="G919" s="401" t="s">
        <v>496</v>
      </c>
    </row>
    <row r="920" spans="1:7">
      <c r="A920" s="3" t="s">
        <v>496</v>
      </c>
      <c r="B920" s="3" t="s">
        <v>695</v>
      </c>
      <c r="C920" s="3" t="s">
        <v>696</v>
      </c>
      <c r="D920" s="3" t="s">
        <v>478</v>
      </c>
      <c r="E920" s="262">
        <f>ROUND('MANO DE OBRA'!$E$19,0)</f>
        <v>177075</v>
      </c>
      <c r="F920" s="6">
        <v>0.5</v>
      </c>
      <c r="G920" s="35">
        <f>ROUND(E920*F920,0)</f>
        <v>88538</v>
      </c>
    </row>
    <row r="921" spans="1:7">
      <c r="A921" s="3" t="s">
        <v>496</v>
      </c>
      <c r="B921" s="3" t="s">
        <v>697</v>
      </c>
      <c r="C921" s="3" t="s">
        <v>698</v>
      </c>
      <c r="D921" s="3" t="s">
        <v>478</v>
      </c>
      <c r="E921" s="262">
        <f>ROUND('MANO DE OBRA'!$E$20,0)</f>
        <v>107973</v>
      </c>
      <c r="F921" s="6">
        <v>0.5</v>
      </c>
      <c r="G921" s="35">
        <f>ROUND(E921*F921,0)</f>
        <v>53987</v>
      </c>
    </row>
    <row r="922" spans="1:7" ht="12.75" thickBot="1">
      <c r="A922" s="402" t="s">
        <v>503</v>
      </c>
      <c r="B922" s="402" t="s">
        <v>503</v>
      </c>
      <c r="C922" s="402" t="s">
        <v>503</v>
      </c>
      <c r="D922" s="402" t="s">
        <v>503</v>
      </c>
      <c r="E922" s="403" t="s">
        <v>503</v>
      </c>
      <c r="F922" s="402" t="s">
        <v>503</v>
      </c>
      <c r="G922" s="55">
        <f>ROUND(SUM(G920:G921),0)</f>
        <v>142525</v>
      </c>
    </row>
    <row r="923" spans="1:7" ht="12.75" thickBot="1">
      <c r="A923" s="404" t="s">
        <v>60</v>
      </c>
      <c r="B923" s="405" t="s">
        <v>504</v>
      </c>
      <c r="C923" s="405" t="s">
        <v>504</v>
      </c>
      <c r="D923" s="405" t="s">
        <v>504</v>
      </c>
      <c r="E923" s="406" t="s">
        <v>504</v>
      </c>
      <c r="F923" s="8"/>
      <c r="G923" s="56">
        <f>ROUND(SUM(G910,G918,G922),0)</f>
        <v>998777</v>
      </c>
    </row>
    <row r="924" spans="1:7">
      <c r="A924" s="1"/>
      <c r="B924" s="1"/>
      <c r="C924" s="1"/>
      <c r="D924" s="1"/>
      <c r="E924" s="52"/>
      <c r="F924" s="1"/>
      <c r="G924" s="52"/>
    </row>
    <row r="925" spans="1:7" ht="42" customHeight="1">
      <c r="A925" s="5" t="s">
        <v>379</v>
      </c>
      <c r="B925" s="5" t="s">
        <v>174</v>
      </c>
      <c r="C925" s="407" t="s">
        <v>175</v>
      </c>
      <c r="D925" s="407"/>
      <c r="E925" s="408"/>
      <c r="F925" s="407"/>
      <c r="G925" s="53" t="s">
        <v>65</v>
      </c>
    </row>
    <row r="926" spans="1:7">
      <c r="A926" s="2" t="s">
        <v>470</v>
      </c>
      <c r="B926" s="2" t="s">
        <v>471</v>
      </c>
      <c r="C926" s="2" t="s">
        <v>4</v>
      </c>
      <c r="D926" s="2" t="s">
        <v>58</v>
      </c>
      <c r="E926" s="54" t="s">
        <v>472</v>
      </c>
      <c r="F926" s="2" t="s">
        <v>473</v>
      </c>
      <c r="G926" s="54" t="s">
        <v>264</v>
      </c>
    </row>
    <row r="927" spans="1:7">
      <c r="A927" s="400" t="s">
        <v>474</v>
      </c>
      <c r="B927" s="400" t="s">
        <v>474</v>
      </c>
      <c r="C927" s="400" t="s">
        <v>474</v>
      </c>
      <c r="D927" s="400" t="s">
        <v>474</v>
      </c>
      <c r="E927" s="401" t="s">
        <v>474</v>
      </c>
      <c r="F927" s="400" t="s">
        <v>474</v>
      </c>
      <c r="G927" s="401" t="s">
        <v>474</v>
      </c>
    </row>
    <row r="928" spans="1:7">
      <c r="A928" s="3" t="s">
        <v>475</v>
      </c>
      <c r="B928" s="3" t="s">
        <v>699</v>
      </c>
      <c r="C928" s="3" t="s">
        <v>700</v>
      </c>
      <c r="D928" s="3" t="s">
        <v>701</v>
      </c>
      <c r="E928" s="262">
        <f>ROUND(EQUIPOS!$E$20,0)</f>
        <v>25000</v>
      </c>
      <c r="F928" s="6">
        <v>0.03</v>
      </c>
      <c r="G928" s="35">
        <f>ROUND(E928*F928,0)</f>
        <v>750</v>
      </c>
    </row>
    <row r="929" spans="1:7">
      <c r="A929" s="3" t="s">
        <v>475</v>
      </c>
      <c r="B929" s="3" t="s">
        <v>702</v>
      </c>
      <c r="C929" s="3" t="s">
        <v>703</v>
      </c>
      <c r="D929" s="3" t="s">
        <v>701</v>
      </c>
      <c r="E929" s="262">
        <f>ROUND(EQUIPOS!$E$21,0)</f>
        <v>295</v>
      </c>
      <c r="F929" s="6">
        <v>0.03</v>
      </c>
      <c r="G929" s="35">
        <f>ROUND(E929*F929,0)</f>
        <v>9</v>
      </c>
    </row>
    <row r="930" spans="1:7">
      <c r="A930" s="3" t="s">
        <v>475</v>
      </c>
      <c r="B930" s="3" t="s">
        <v>479</v>
      </c>
      <c r="C930" s="3" t="s">
        <v>480</v>
      </c>
      <c r="D930" s="3" t="s">
        <v>481</v>
      </c>
      <c r="E930" s="262">
        <f>ROUND($G$938,0)</f>
        <v>14253</v>
      </c>
      <c r="F930" s="7">
        <v>0.05</v>
      </c>
      <c r="G930" s="35">
        <f>ROUND(E930*F930,0)</f>
        <v>713</v>
      </c>
    </row>
    <row r="931" spans="1:7">
      <c r="A931" s="402" t="s">
        <v>482</v>
      </c>
      <c r="B931" s="402" t="s">
        <v>482</v>
      </c>
      <c r="C931" s="402" t="s">
        <v>482</v>
      </c>
      <c r="D931" s="402" t="s">
        <v>482</v>
      </c>
      <c r="E931" s="403" t="s">
        <v>482</v>
      </c>
      <c r="F931" s="402" t="s">
        <v>482</v>
      </c>
      <c r="G931" s="55">
        <f>ROUND(SUM(G928:G930),0)</f>
        <v>1472</v>
      </c>
    </row>
    <row r="932" spans="1:7">
      <c r="A932" s="400" t="s">
        <v>483</v>
      </c>
      <c r="B932" s="400" t="s">
        <v>483</v>
      </c>
      <c r="C932" s="400" t="s">
        <v>483</v>
      </c>
      <c r="D932" s="400" t="s">
        <v>483</v>
      </c>
      <c r="E932" s="401" t="s">
        <v>483</v>
      </c>
      <c r="F932" s="400" t="s">
        <v>483</v>
      </c>
      <c r="G932" s="401" t="s">
        <v>483</v>
      </c>
    </row>
    <row r="933" spans="1:7">
      <c r="A933" s="3" t="s">
        <v>484</v>
      </c>
      <c r="B933" s="3" t="s">
        <v>704</v>
      </c>
      <c r="C933" s="3" t="s">
        <v>705</v>
      </c>
      <c r="D933" s="3" t="s">
        <v>489</v>
      </c>
      <c r="E933" s="262">
        <f>ROUND(INSUMOS!$E$82,0)</f>
        <v>140420</v>
      </c>
      <c r="F933" s="6">
        <v>0.1</v>
      </c>
      <c r="G933" s="35">
        <f>ROUND(E933*F933,0)</f>
        <v>14042</v>
      </c>
    </row>
    <row r="934" spans="1:7">
      <c r="A934" s="402" t="s">
        <v>495</v>
      </c>
      <c r="B934" s="402" t="s">
        <v>495</v>
      </c>
      <c r="C934" s="402" t="s">
        <v>495</v>
      </c>
      <c r="D934" s="402" t="s">
        <v>495</v>
      </c>
      <c r="E934" s="403" t="s">
        <v>495</v>
      </c>
      <c r="F934" s="402" t="s">
        <v>495</v>
      </c>
      <c r="G934" s="55">
        <f>ROUND(SUM(G933:G933),0)</f>
        <v>14042</v>
      </c>
    </row>
    <row r="935" spans="1:7">
      <c r="A935" s="400" t="s">
        <v>496</v>
      </c>
      <c r="B935" s="400" t="s">
        <v>496</v>
      </c>
      <c r="C935" s="400" t="s">
        <v>496</v>
      </c>
      <c r="D935" s="400" t="s">
        <v>496</v>
      </c>
      <c r="E935" s="401" t="s">
        <v>496</v>
      </c>
      <c r="F935" s="400" t="s">
        <v>496</v>
      </c>
      <c r="G935" s="401" t="s">
        <v>496</v>
      </c>
    </row>
    <row r="936" spans="1:7">
      <c r="A936" s="3" t="s">
        <v>496</v>
      </c>
      <c r="B936" s="3" t="s">
        <v>706</v>
      </c>
      <c r="C936" s="3" t="s">
        <v>707</v>
      </c>
      <c r="D936" s="3" t="s">
        <v>478</v>
      </c>
      <c r="E936" s="262">
        <f>ROUND('MANO DE OBRA'!$E$21,0)</f>
        <v>177075</v>
      </c>
      <c r="F936" s="6">
        <v>0.05</v>
      </c>
      <c r="G936" s="35">
        <f>ROUND(E936*F936,0)</f>
        <v>8854</v>
      </c>
    </row>
    <row r="937" spans="1:7">
      <c r="A937" s="3" t="s">
        <v>496</v>
      </c>
      <c r="B937" s="3" t="s">
        <v>708</v>
      </c>
      <c r="C937" s="3" t="s">
        <v>709</v>
      </c>
      <c r="D937" s="3" t="s">
        <v>478</v>
      </c>
      <c r="E937" s="262">
        <f>ROUND('MANO DE OBRA'!$E$22,0)</f>
        <v>107973</v>
      </c>
      <c r="F937" s="6">
        <v>0.05</v>
      </c>
      <c r="G937" s="35">
        <f>ROUND(E937*F937,0)</f>
        <v>5399</v>
      </c>
    </row>
    <row r="938" spans="1:7" ht="12.75" thickBot="1">
      <c r="A938" s="402" t="s">
        <v>503</v>
      </c>
      <c r="B938" s="402" t="s">
        <v>503</v>
      </c>
      <c r="C938" s="402" t="s">
        <v>503</v>
      </c>
      <c r="D938" s="402" t="s">
        <v>503</v>
      </c>
      <c r="E938" s="403" t="s">
        <v>503</v>
      </c>
      <c r="F938" s="402" t="s">
        <v>503</v>
      </c>
      <c r="G938" s="55">
        <f>ROUND(SUM(G936:G937),0)</f>
        <v>14253</v>
      </c>
    </row>
    <row r="939" spans="1:7" ht="12.75" thickBot="1">
      <c r="A939" s="404" t="s">
        <v>60</v>
      </c>
      <c r="B939" s="405" t="s">
        <v>504</v>
      </c>
      <c r="C939" s="405" t="s">
        <v>504</v>
      </c>
      <c r="D939" s="405" t="s">
        <v>504</v>
      </c>
      <c r="E939" s="406" t="s">
        <v>504</v>
      </c>
      <c r="F939" s="8"/>
      <c r="G939" s="56">
        <f>ROUND(SUM(G931,G934,G938),0)</f>
        <v>29767</v>
      </c>
    </row>
    <row r="940" spans="1:7">
      <c r="A940" s="1"/>
      <c r="B940" s="1"/>
      <c r="C940" s="1"/>
      <c r="D940" s="1"/>
      <c r="E940" s="52"/>
      <c r="F940" s="1"/>
      <c r="G940" s="52"/>
    </row>
    <row r="941" spans="1:7" ht="42" customHeight="1">
      <c r="A941" s="5" t="s">
        <v>381</v>
      </c>
      <c r="B941" s="5" t="s">
        <v>182</v>
      </c>
      <c r="C941" s="407" t="s">
        <v>183</v>
      </c>
      <c r="D941" s="407"/>
      <c r="E941" s="408"/>
      <c r="F941" s="407"/>
      <c r="G941" s="53" t="s">
        <v>65</v>
      </c>
    </row>
    <row r="942" spans="1:7">
      <c r="A942" s="2" t="s">
        <v>470</v>
      </c>
      <c r="B942" s="2" t="s">
        <v>471</v>
      </c>
      <c r="C942" s="2" t="s">
        <v>4</v>
      </c>
      <c r="D942" s="2" t="s">
        <v>58</v>
      </c>
      <c r="E942" s="54" t="s">
        <v>472</v>
      </c>
      <c r="F942" s="2" t="s">
        <v>473</v>
      </c>
      <c r="G942" s="54" t="s">
        <v>264</v>
      </c>
    </row>
    <row r="943" spans="1:7">
      <c r="A943" s="400" t="s">
        <v>474</v>
      </c>
      <c r="B943" s="400" t="s">
        <v>474</v>
      </c>
      <c r="C943" s="400" t="s">
        <v>474</v>
      </c>
      <c r="D943" s="400" t="s">
        <v>474</v>
      </c>
      <c r="E943" s="401" t="s">
        <v>474</v>
      </c>
      <c r="F943" s="400" t="s">
        <v>474</v>
      </c>
      <c r="G943" s="401" t="s">
        <v>474</v>
      </c>
    </row>
    <row r="944" spans="1:7">
      <c r="A944" s="3" t="s">
        <v>475</v>
      </c>
      <c r="B944" s="3" t="s">
        <v>476</v>
      </c>
      <c r="C944" s="3" t="s">
        <v>477</v>
      </c>
      <c r="D944" s="3" t="s">
        <v>478</v>
      </c>
      <c r="E944" s="262">
        <f>ROUND(EQUIPOS!$E$7,0)</f>
        <v>15000</v>
      </c>
      <c r="F944" s="6">
        <v>5.0000000000000001E-3</v>
      </c>
      <c r="G944" s="35">
        <f>ROUND(E944*F944,0)</f>
        <v>75</v>
      </c>
    </row>
    <row r="945" spans="1:7">
      <c r="A945" s="3" t="s">
        <v>475</v>
      </c>
      <c r="B945" s="3" t="s">
        <v>479</v>
      </c>
      <c r="C945" s="3" t="s">
        <v>480</v>
      </c>
      <c r="D945" s="3" t="s">
        <v>481</v>
      </c>
      <c r="E945" s="262">
        <f>ROUND($G$957,0)</f>
        <v>5559</v>
      </c>
      <c r="F945" s="7">
        <v>0.05</v>
      </c>
      <c r="G945" s="35">
        <f>ROUND(E945*F945,0)</f>
        <v>278</v>
      </c>
    </row>
    <row r="946" spans="1:7">
      <c r="A946" s="402" t="s">
        <v>482</v>
      </c>
      <c r="B946" s="402" t="s">
        <v>482</v>
      </c>
      <c r="C946" s="402" t="s">
        <v>482</v>
      </c>
      <c r="D946" s="402" t="s">
        <v>482</v>
      </c>
      <c r="E946" s="403" t="s">
        <v>482</v>
      </c>
      <c r="F946" s="402" t="s">
        <v>482</v>
      </c>
      <c r="G946" s="55">
        <f>ROUND(SUM(G944:G945),0)</f>
        <v>353</v>
      </c>
    </row>
    <row r="947" spans="1:7">
      <c r="A947" s="400" t="s">
        <v>483</v>
      </c>
      <c r="B947" s="400" t="s">
        <v>483</v>
      </c>
      <c r="C947" s="400" t="s">
        <v>483</v>
      </c>
      <c r="D947" s="400" t="s">
        <v>483</v>
      </c>
      <c r="E947" s="401" t="s">
        <v>483</v>
      </c>
      <c r="F947" s="400" t="s">
        <v>483</v>
      </c>
      <c r="G947" s="401" t="s">
        <v>483</v>
      </c>
    </row>
    <row r="948" spans="1:7">
      <c r="A948" s="3" t="s">
        <v>484</v>
      </c>
      <c r="B948" s="3" t="s">
        <v>485</v>
      </c>
      <c r="C948" s="3" t="s">
        <v>486</v>
      </c>
      <c r="D948" s="3" t="s">
        <v>68</v>
      </c>
      <c r="E948" s="262">
        <f>ROUND(INSUMOS!$E$11,0)</f>
        <v>8925</v>
      </c>
      <c r="F948" s="6">
        <v>0.05</v>
      </c>
      <c r="G948" s="35">
        <f>ROUND(E948*F948,0)</f>
        <v>446</v>
      </c>
    </row>
    <row r="949" spans="1:7">
      <c r="A949" s="3" t="s">
        <v>484</v>
      </c>
      <c r="B949" s="3" t="s">
        <v>487</v>
      </c>
      <c r="C949" s="3" t="s">
        <v>488</v>
      </c>
      <c r="D949" s="3" t="s">
        <v>489</v>
      </c>
      <c r="E949" s="262">
        <f>ROUND(INSUMOS!$E$12,0)</f>
        <v>130781</v>
      </c>
      <c r="F949" s="6">
        <v>2E-3</v>
      </c>
      <c r="G949" s="35">
        <f>ROUND(E949*F949,0)</f>
        <v>262</v>
      </c>
    </row>
    <row r="950" spans="1:7">
      <c r="A950" s="3" t="s">
        <v>484</v>
      </c>
      <c r="B950" s="3" t="s">
        <v>490</v>
      </c>
      <c r="C950" s="3" t="s">
        <v>491</v>
      </c>
      <c r="D950" s="3" t="s">
        <v>492</v>
      </c>
      <c r="E950" s="262">
        <f>ROUND(INSUMOS!$E$13,0)</f>
        <v>6248</v>
      </c>
      <c r="F950" s="6">
        <v>7.0000000000000007E-2</v>
      </c>
      <c r="G950" s="35">
        <f>ROUND(E950*F950,0)</f>
        <v>437</v>
      </c>
    </row>
    <row r="951" spans="1:7">
      <c r="A951" s="3" t="s">
        <v>484</v>
      </c>
      <c r="B951" s="3" t="s">
        <v>493</v>
      </c>
      <c r="C951" s="3" t="s">
        <v>494</v>
      </c>
      <c r="D951" s="3" t="s">
        <v>489</v>
      </c>
      <c r="E951" s="262">
        <f>ROUND(INSUMOS!$E$14,0)</f>
        <v>66402</v>
      </c>
      <c r="F951" s="6">
        <v>2E-3</v>
      </c>
      <c r="G951" s="35">
        <f>ROUND(E951*F951,0)</f>
        <v>133</v>
      </c>
    </row>
    <row r="952" spans="1:7">
      <c r="A952" s="402" t="s">
        <v>495</v>
      </c>
      <c r="B952" s="402" t="s">
        <v>495</v>
      </c>
      <c r="C952" s="402" t="s">
        <v>495</v>
      </c>
      <c r="D952" s="402" t="s">
        <v>495</v>
      </c>
      <c r="E952" s="403" t="s">
        <v>495</v>
      </c>
      <c r="F952" s="402" t="s">
        <v>495</v>
      </c>
      <c r="G952" s="55">
        <f>ROUND(SUM(G948:G951),0)</f>
        <v>1278</v>
      </c>
    </row>
    <row r="953" spans="1:7">
      <c r="A953" s="400" t="s">
        <v>496</v>
      </c>
      <c r="B953" s="400" t="s">
        <v>496</v>
      </c>
      <c r="C953" s="400" t="s">
        <v>496</v>
      </c>
      <c r="D953" s="400" t="s">
        <v>496</v>
      </c>
      <c r="E953" s="401" t="s">
        <v>496</v>
      </c>
      <c r="F953" s="400" t="s">
        <v>496</v>
      </c>
      <c r="G953" s="401" t="s">
        <v>496</v>
      </c>
    </row>
    <row r="954" spans="1:7">
      <c r="A954" s="3" t="s">
        <v>496</v>
      </c>
      <c r="B954" s="3" t="s">
        <v>497</v>
      </c>
      <c r="C954" s="3" t="s">
        <v>498</v>
      </c>
      <c r="D954" s="3" t="s">
        <v>478</v>
      </c>
      <c r="E954" s="262">
        <f>ROUND('MANO DE OBRA'!$E$9,0)</f>
        <v>251576</v>
      </c>
      <c r="F954" s="6">
        <v>0.01</v>
      </c>
      <c r="G954" s="35">
        <f>ROUND(E954*F954,0)</f>
        <v>2516</v>
      </c>
    </row>
    <row r="955" spans="1:7">
      <c r="A955" s="3" t="s">
        <v>496</v>
      </c>
      <c r="B955" s="3" t="s">
        <v>499</v>
      </c>
      <c r="C955" s="3" t="s">
        <v>500</v>
      </c>
      <c r="D955" s="3" t="s">
        <v>478</v>
      </c>
      <c r="E955" s="262">
        <f>ROUND('MANO DE OBRA'!$E$10,0)</f>
        <v>196251</v>
      </c>
      <c r="F955" s="6">
        <v>0.01</v>
      </c>
      <c r="G955" s="35">
        <f>ROUND(E955*F955,0)</f>
        <v>1963</v>
      </c>
    </row>
    <row r="956" spans="1:7">
      <c r="A956" s="3" t="s">
        <v>496</v>
      </c>
      <c r="B956" s="3" t="s">
        <v>501</v>
      </c>
      <c r="C956" s="3" t="s">
        <v>502</v>
      </c>
      <c r="D956" s="3" t="s">
        <v>478</v>
      </c>
      <c r="E956" s="262">
        <f>ROUND('MANO DE OBRA'!$E$11,0)</f>
        <v>107973</v>
      </c>
      <c r="F956" s="6">
        <v>0.01</v>
      </c>
      <c r="G956" s="35">
        <f>ROUND(E956*F956,0)</f>
        <v>1080</v>
      </c>
    </row>
    <row r="957" spans="1:7" ht="12.75" thickBot="1">
      <c r="A957" s="402" t="s">
        <v>503</v>
      </c>
      <c r="B957" s="402" t="s">
        <v>503</v>
      </c>
      <c r="C957" s="402" t="s">
        <v>503</v>
      </c>
      <c r="D957" s="402" t="s">
        <v>503</v>
      </c>
      <c r="E957" s="403" t="s">
        <v>503</v>
      </c>
      <c r="F957" s="402" t="s">
        <v>503</v>
      </c>
      <c r="G957" s="55">
        <f>ROUND(SUM(G954:G956),0)</f>
        <v>5559</v>
      </c>
    </row>
    <row r="958" spans="1:7" ht="12.75" thickBot="1">
      <c r="A958" s="404" t="s">
        <v>60</v>
      </c>
      <c r="B958" s="405" t="s">
        <v>504</v>
      </c>
      <c r="C958" s="405" t="s">
        <v>504</v>
      </c>
      <c r="D958" s="405" t="s">
        <v>504</v>
      </c>
      <c r="E958" s="406" t="s">
        <v>504</v>
      </c>
      <c r="F958" s="8"/>
      <c r="G958" s="56">
        <f>ROUND(SUM(G946,G952,G957),0)</f>
        <v>7190</v>
      </c>
    </row>
    <row r="959" spans="1:7">
      <c r="A959" s="1"/>
      <c r="B959" s="1"/>
      <c r="C959" s="1"/>
      <c r="D959" s="1"/>
      <c r="E959" s="52"/>
      <c r="F959" s="1"/>
      <c r="G959" s="52"/>
    </row>
    <row r="960" spans="1:7" ht="42" customHeight="1">
      <c r="A960" s="5" t="s">
        <v>382</v>
      </c>
      <c r="B960" s="5" t="s">
        <v>184</v>
      </c>
      <c r="C960" s="407" t="s">
        <v>185</v>
      </c>
      <c r="D960" s="407"/>
      <c r="E960" s="408"/>
      <c r="F960" s="407"/>
      <c r="G960" s="53" t="s">
        <v>72</v>
      </c>
    </row>
    <row r="961" spans="1:7">
      <c r="A961" s="2" t="s">
        <v>470</v>
      </c>
      <c r="B961" s="2" t="s">
        <v>471</v>
      </c>
      <c r="C961" s="2" t="s">
        <v>4</v>
      </c>
      <c r="D961" s="2" t="s">
        <v>58</v>
      </c>
      <c r="E961" s="54" t="s">
        <v>472</v>
      </c>
      <c r="F961" s="2" t="s">
        <v>473</v>
      </c>
      <c r="G961" s="54" t="s">
        <v>264</v>
      </c>
    </row>
    <row r="962" spans="1:7">
      <c r="A962" s="400" t="s">
        <v>474</v>
      </c>
      <c r="B962" s="400" t="s">
        <v>474</v>
      </c>
      <c r="C962" s="400" t="s">
        <v>474</v>
      </c>
      <c r="D962" s="400" t="s">
        <v>474</v>
      </c>
      <c r="E962" s="401" t="s">
        <v>474</v>
      </c>
      <c r="F962" s="400" t="s">
        <v>474</v>
      </c>
      <c r="G962" s="401" t="s">
        <v>474</v>
      </c>
    </row>
    <row r="963" spans="1:7">
      <c r="A963" s="3" t="s">
        <v>475</v>
      </c>
      <c r="B963" s="3" t="s">
        <v>511</v>
      </c>
      <c r="C963" s="3" t="s">
        <v>512</v>
      </c>
      <c r="D963" s="3" t="s">
        <v>478</v>
      </c>
      <c r="E963" s="262">
        <f>ROUND(EQUIPOS!$E$8,0)</f>
        <v>241800</v>
      </c>
      <c r="F963" s="6">
        <v>0.08</v>
      </c>
      <c r="G963" s="35">
        <f>ROUND(E963*F963,0)</f>
        <v>19344</v>
      </c>
    </row>
    <row r="964" spans="1:7">
      <c r="A964" s="3" t="s">
        <v>475</v>
      </c>
      <c r="B964" s="3" t="s">
        <v>479</v>
      </c>
      <c r="C964" s="3" t="s">
        <v>480</v>
      </c>
      <c r="D964" s="3" t="s">
        <v>481</v>
      </c>
      <c r="E964" s="262">
        <f>ROUND($G$969,0)</f>
        <v>42757</v>
      </c>
      <c r="F964" s="7">
        <v>0.05</v>
      </c>
      <c r="G964" s="35">
        <f>ROUND(E964*F964,0)</f>
        <v>2138</v>
      </c>
    </row>
    <row r="965" spans="1:7">
      <c r="A965" s="402" t="s">
        <v>482</v>
      </c>
      <c r="B965" s="402" t="s">
        <v>482</v>
      </c>
      <c r="C965" s="402" t="s">
        <v>482</v>
      </c>
      <c r="D965" s="402" t="s">
        <v>482</v>
      </c>
      <c r="E965" s="403" t="s">
        <v>482</v>
      </c>
      <c r="F965" s="402" t="s">
        <v>482</v>
      </c>
      <c r="G965" s="55">
        <f>ROUND(SUM(G963:G964),0)</f>
        <v>21482</v>
      </c>
    </row>
    <row r="966" spans="1:7">
      <c r="A966" s="400" t="s">
        <v>496</v>
      </c>
      <c r="B966" s="400" t="s">
        <v>496</v>
      </c>
      <c r="C966" s="400" t="s">
        <v>496</v>
      </c>
      <c r="D966" s="400" t="s">
        <v>496</v>
      </c>
      <c r="E966" s="401" t="s">
        <v>496</v>
      </c>
      <c r="F966" s="400" t="s">
        <v>496</v>
      </c>
      <c r="G966" s="401" t="s">
        <v>496</v>
      </c>
    </row>
    <row r="967" spans="1:7">
      <c r="A967" s="3" t="s">
        <v>496</v>
      </c>
      <c r="B967" s="3" t="s">
        <v>509</v>
      </c>
      <c r="C967" s="3" t="s">
        <v>510</v>
      </c>
      <c r="D967" s="3" t="s">
        <v>478</v>
      </c>
      <c r="E967" s="262">
        <f>ROUND('MANO DE OBRA'!$E$12,0)</f>
        <v>177075</v>
      </c>
      <c r="F967" s="6">
        <v>0.15</v>
      </c>
      <c r="G967" s="35">
        <f>ROUND(E967*F967,0)</f>
        <v>26561</v>
      </c>
    </row>
    <row r="968" spans="1:7">
      <c r="A968" s="3" t="s">
        <v>496</v>
      </c>
      <c r="B968" s="3" t="s">
        <v>501</v>
      </c>
      <c r="C968" s="3" t="s">
        <v>502</v>
      </c>
      <c r="D968" s="3" t="s">
        <v>478</v>
      </c>
      <c r="E968" s="262">
        <f>ROUND('MANO DE OBRA'!$E$11,0)</f>
        <v>107973</v>
      </c>
      <c r="F968" s="6">
        <v>0.15</v>
      </c>
      <c r="G968" s="35">
        <f>ROUND(E968*F968,0)</f>
        <v>16196</v>
      </c>
    </row>
    <row r="969" spans="1:7" ht="12.75" thickBot="1">
      <c r="A969" s="402" t="s">
        <v>503</v>
      </c>
      <c r="B969" s="402" t="s">
        <v>503</v>
      </c>
      <c r="C969" s="402" t="s">
        <v>503</v>
      </c>
      <c r="D969" s="402" t="s">
        <v>503</v>
      </c>
      <c r="E969" s="403" t="s">
        <v>503</v>
      </c>
      <c r="F969" s="402" t="s">
        <v>503</v>
      </c>
      <c r="G969" s="55">
        <f>ROUND(SUM(G967:G968),0)</f>
        <v>42757</v>
      </c>
    </row>
    <row r="970" spans="1:7" ht="12.75" thickBot="1">
      <c r="A970" s="404" t="s">
        <v>60</v>
      </c>
      <c r="B970" s="405" t="s">
        <v>504</v>
      </c>
      <c r="C970" s="405" t="s">
        <v>504</v>
      </c>
      <c r="D970" s="405" t="s">
        <v>504</v>
      </c>
      <c r="E970" s="406" t="s">
        <v>504</v>
      </c>
      <c r="F970" s="8"/>
      <c r="G970" s="56">
        <f>ROUND(SUM(G965,G969),0)</f>
        <v>64239</v>
      </c>
    </row>
    <row r="971" spans="1:7">
      <c r="A971" s="1"/>
      <c r="B971" s="1"/>
      <c r="C971" s="1"/>
      <c r="D971" s="1"/>
      <c r="E971" s="52"/>
      <c r="F971" s="1"/>
      <c r="G971" s="52"/>
    </row>
    <row r="972" spans="1:7" ht="42" customHeight="1">
      <c r="A972" s="5" t="s">
        <v>384</v>
      </c>
      <c r="B972" s="5" t="s">
        <v>186</v>
      </c>
      <c r="C972" s="407" t="s">
        <v>187</v>
      </c>
      <c r="D972" s="407"/>
      <c r="E972" s="408"/>
      <c r="F972" s="407"/>
      <c r="G972" s="53" t="s">
        <v>72</v>
      </c>
    </row>
    <row r="973" spans="1:7">
      <c r="A973" s="2" t="s">
        <v>470</v>
      </c>
      <c r="B973" s="2" t="s">
        <v>471</v>
      </c>
      <c r="C973" s="2" t="s">
        <v>4</v>
      </c>
      <c r="D973" s="2" t="s">
        <v>58</v>
      </c>
      <c r="E973" s="54" t="s">
        <v>472</v>
      </c>
      <c r="F973" s="2" t="s">
        <v>473</v>
      </c>
      <c r="G973" s="54" t="s">
        <v>264</v>
      </c>
    </row>
    <row r="974" spans="1:7">
      <c r="A974" s="400" t="s">
        <v>474</v>
      </c>
      <c r="B974" s="400" t="s">
        <v>474</v>
      </c>
      <c r="C974" s="400" t="s">
        <v>474</v>
      </c>
      <c r="D974" s="400" t="s">
        <v>474</v>
      </c>
      <c r="E974" s="401" t="s">
        <v>474</v>
      </c>
      <c r="F974" s="400" t="s">
        <v>474</v>
      </c>
      <c r="G974" s="401" t="s">
        <v>474</v>
      </c>
    </row>
    <row r="975" spans="1:7">
      <c r="A975" s="3" t="s">
        <v>475</v>
      </c>
      <c r="B975" s="3" t="s">
        <v>479</v>
      </c>
      <c r="C975" s="3" t="s">
        <v>480</v>
      </c>
      <c r="D975" s="3" t="s">
        <v>481</v>
      </c>
      <c r="E975" s="262">
        <f>ROUND($G$979,0)</f>
        <v>75581</v>
      </c>
      <c r="F975" s="7">
        <v>0.05</v>
      </c>
      <c r="G975" s="35">
        <f>ROUND(E975*F975,0)</f>
        <v>3779</v>
      </c>
    </row>
    <row r="976" spans="1:7">
      <c r="A976" s="402" t="s">
        <v>482</v>
      </c>
      <c r="B976" s="402" t="s">
        <v>482</v>
      </c>
      <c r="C976" s="402" t="s">
        <v>482</v>
      </c>
      <c r="D976" s="402" t="s">
        <v>482</v>
      </c>
      <c r="E976" s="403" t="s">
        <v>482</v>
      </c>
      <c r="F976" s="402" t="s">
        <v>482</v>
      </c>
      <c r="G976" s="55">
        <f>ROUND(SUM(G975:G975),0)</f>
        <v>3779</v>
      </c>
    </row>
    <row r="977" spans="1:7">
      <c r="A977" s="400" t="s">
        <v>496</v>
      </c>
      <c r="B977" s="400" t="s">
        <v>496</v>
      </c>
      <c r="C977" s="400" t="s">
        <v>496</v>
      </c>
      <c r="D977" s="400" t="s">
        <v>496</v>
      </c>
      <c r="E977" s="401" t="s">
        <v>496</v>
      </c>
      <c r="F977" s="400" t="s">
        <v>496</v>
      </c>
      <c r="G977" s="401" t="s">
        <v>496</v>
      </c>
    </row>
    <row r="978" spans="1:7">
      <c r="A978" s="3" t="s">
        <v>496</v>
      </c>
      <c r="B978" s="3" t="s">
        <v>501</v>
      </c>
      <c r="C978" s="3" t="s">
        <v>502</v>
      </c>
      <c r="D978" s="3" t="s">
        <v>478</v>
      </c>
      <c r="E978" s="262">
        <f>ROUND('MANO DE OBRA'!$E$11,0)</f>
        <v>107973</v>
      </c>
      <c r="F978" s="6">
        <v>0.7</v>
      </c>
      <c r="G978" s="35">
        <f>ROUND(E978*F978,0)</f>
        <v>75581</v>
      </c>
    </row>
    <row r="979" spans="1:7" ht="12.75" thickBot="1">
      <c r="A979" s="402" t="s">
        <v>503</v>
      </c>
      <c r="B979" s="402" t="s">
        <v>503</v>
      </c>
      <c r="C979" s="402" t="s">
        <v>503</v>
      </c>
      <c r="D979" s="402" t="s">
        <v>503</v>
      </c>
      <c r="E979" s="403" t="s">
        <v>503</v>
      </c>
      <c r="F979" s="402" t="s">
        <v>503</v>
      </c>
      <c r="G979" s="55">
        <f>ROUND(SUM(G978:G978),0)</f>
        <v>75581</v>
      </c>
    </row>
    <row r="980" spans="1:7" ht="12.75" thickBot="1">
      <c r="A980" s="404" t="s">
        <v>60</v>
      </c>
      <c r="B980" s="405" t="s">
        <v>504</v>
      </c>
      <c r="C980" s="405" t="s">
        <v>504</v>
      </c>
      <c r="D980" s="405" t="s">
        <v>504</v>
      </c>
      <c r="E980" s="406" t="s">
        <v>504</v>
      </c>
      <c r="F980" s="8"/>
      <c r="G980" s="56">
        <f>ROUND(SUM(G976,G979),0)</f>
        <v>79360</v>
      </c>
    </row>
    <row r="981" spans="1:7">
      <c r="A981" s="1"/>
      <c r="B981" s="1"/>
      <c r="C981" s="1"/>
      <c r="D981" s="1"/>
      <c r="E981" s="52"/>
      <c r="F981" s="1"/>
      <c r="G981" s="52"/>
    </row>
    <row r="982" spans="1:7" ht="42" customHeight="1">
      <c r="A982" s="5" t="s">
        <v>389</v>
      </c>
      <c r="B982" s="5" t="s">
        <v>113</v>
      </c>
      <c r="C982" s="407" t="s">
        <v>189</v>
      </c>
      <c r="D982" s="407"/>
      <c r="E982" s="408"/>
      <c r="F982" s="407"/>
      <c r="G982" s="53" t="s">
        <v>72</v>
      </c>
    </row>
    <row r="983" spans="1:7">
      <c r="A983" s="2" t="s">
        <v>470</v>
      </c>
      <c r="B983" s="2" t="s">
        <v>471</v>
      </c>
      <c r="C983" s="2" t="s">
        <v>4</v>
      </c>
      <c r="D983" s="2" t="s">
        <v>58</v>
      </c>
      <c r="E983" s="54" t="s">
        <v>472</v>
      </c>
      <c r="F983" s="2" t="s">
        <v>517</v>
      </c>
      <c r="G983" s="54" t="s">
        <v>264</v>
      </c>
    </row>
    <row r="984" spans="1:7">
      <c r="A984" s="400" t="s">
        <v>474</v>
      </c>
      <c r="B984" s="400" t="s">
        <v>474</v>
      </c>
      <c r="C984" s="400" t="s">
        <v>474</v>
      </c>
      <c r="D984" s="400" t="s">
        <v>474</v>
      </c>
      <c r="E984" s="401" t="s">
        <v>474</v>
      </c>
      <c r="F984" s="400" t="s">
        <v>474</v>
      </c>
      <c r="G984" s="401" t="s">
        <v>474</v>
      </c>
    </row>
    <row r="985" spans="1:7">
      <c r="A985" s="3" t="s">
        <v>475</v>
      </c>
      <c r="B985" s="3" t="s">
        <v>513</v>
      </c>
      <c r="C985" s="3" t="s">
        <v>514</v>
      </c>
      <c r="D985" s="3" t="s">
        <v>478</v>
      </c>
      <c r="E985" s="262">
        <f>ROUND(EQUIPOS!$E$9,0)</f>
        <v>87000</v>
      </c>
      <c r="F985" s="6">
        <v>0</v>
      </c>
      <c r="G985" s="35">
        <f>ROUND(E985*F985,0)</f>
        <v>0</v>
      </c>
    </row>
    <row r="986" spans="1:7">
      <c r="A986" s="3" t="s">
        <v>475</v>
      </c>
      <c r="B986" s="3" t="s">
        <v>479</v>
      </c>
      <c r="C986" s="3" t="s">
        <v>480</v>
      </c>
      <c r="D986" s="3" t="s">
        <v>481</v>
      </c>
      <c r="E986" s="262">
        <f>ROUND($G$999,0)</f>
        <v>167676</v>
      </c>
      <c r="F986" s="7">
        <v>0.05</v>
      </c>
      <c r="G986" s="35">
        <f>ROUND(E986*F986,0)</f>
        <v>8384</v>
      </c>
    </row>
    <row r="987" spans="1:7">
      <c r="A987" s="402" t="s">
        <v>482</v>
      </c>
      <c r="B987" s="402" t="s">
        <v>482</v>
      </c>
      <c r="C987" s="402" t="s">
        <v>482</v>
      </c>
      <c r="D987" s="402" t="s">
        <v>482</v>
      </c>
      <c r="E987" s="403" t="s">
        <v>482</v>
      </c>
      <c r="F987" s="402" t="s">
        <v>482</v>
      </c>
      <c r="G987" s="55">
        <f>ROUND(SUM(G985:G986),0)</f>
        <v>8384</v>
      </c>
    </row>
    <row r="988" spans="1:7">
      <c r="A988" s="400" t="s">
        <v>483</v>
      </c>
      <c r="B988" s="400" t="s">
        <v>483</v>
      </c>
      <c r="C988" s="400" t="s">
        <v>483</v>
      </c>
      <c r="D988" s="400" t="s">
        <v>483</v>
      </c>
      <c r="E988" s="401" t="s">
        <v>483</v>
      </c>
      <c r="F988" s="400" t="s">
        <v>483</v>
      </c>
      <c r="G988" s="401" t="s">
        <v>483</v>
      </c>
    </row>
    <row r="989" spans="1:7">
      <c r="A989" s="3" t="s">
        <v>484</v>
      </c>
      <c r="B989" s="3" t="s">
        <v>518</v>
      </c>
      <c r="C989" s="3" t="s">
        <v>519</v>
      </c>
      <c r="D989" s="3" t="s">
        <v>72</v>
      </c>
      <c r="E989" s="262">
        <f>ROUND(APA!$G$137,0)</f>
        <v>860966</v>
      </c>
      <c r="F989" s="6">
        <v>1</v>
      </c>
      <c r="G989" s="35">
        <f t="shared" ref="G989:G994" si="20">ROUND(E989*F989,0)</f>
        <v>860966</v>
      </c>
    </row>
    <row r="990" spans="1:7" ht="24">
      <c r="A990" s="3" t="s">
        <v>484</v>
      </c>
      <c r="B990" s="3" t="s">
        <v>520</v>
      </c>
      <c r="C990" s="3" t="s">
        <v>521</v>
      </c>
      <c r="D990" s="3" t="s">
        <v>522</v>
      </c>
      <c r="E990" s="262">
        <f>ROUND(INSUMOS!$E$17,0)</f>
        <v>25783</v>
      </c>
      <c r="F990" s="6">
        <f>(2*0.3)/(0.3*2*0.3*0.3)</f>
        <v>11.111111111111111</v>
      </c>
      <c r="G990" s="35">
        <f t="shared" si="20"/>
        <v>286478</v>
      </c>
    </row>
    <row r="991" spans="1:7">
      <c r="A991" s="3" t="s">
        <v>484</v>
      </c>
      <c r="B991" s="3" t="s">
        <v>523</v>
      </c>
      <c r="C991" s="3" t="s">
        <v>524</v>
      </c>
      <c r="D991" s="3" t="s">
        <v>492</v>
      </c>
      <c r="E991" s="262">
        <f>ROUND(INSUMOS!$E$18,0)</f>
        <v>6248</v>
      </c>
      <c r="F991" s="6">
        <v>0.2</v>
      </c>
      <c r="G991" s="35">
        <f t="shared" si="20"/>
        <v>1250</v>
      </c>
    </row>
    <row r="992" spans="1:7">
      <c r="A992" s="3" t="s">
        <v>484</v>
      </c>
      <c r="B992" s="3" t="s">
        <v>525</v>
      </c>
      <c r="C992" s="3" t="s">
        <v>526</v>
      </c>
      <c r="D992" s="3" t="s">
        <v>68</v>
      </c>
      <c r="E992" s="262">
        <f>ROUND(INSUMOS!$E$19,0)</f>
        <v>5000</v>
      </c>
      <c r="F992" s="6">
        <v>0.5</v>
      </c>
      <c r="G992" s="35">
        <f t="shared" si="20"/>
        <v>2500</v>
      </c>
    </row>
    <row r="993" spans="1:7">
      <c r="A993" s="3" t="s">
        <v>484</v>
      </c>
      <c r="B993" s="3" t="s">
        <v>527</v>
      </c>
      <c r="C993" s="3" t="s">
        <v>528</v>
      </c>
      <c r="D993" s="3" t="s">
        <v>120</v>
      </c>
      <c r="E993" s="262">
        <f>ROUND(INSUMOS!$E$20,0)</f>
        <v>9226</v>
      </c>
      <c r="F993" s="6">
        <v>1.2</v>
      </c>
      <c r="G993" s="35">
        <f t="shared" si="20"/>
        <v>11071</v>
      </c>
    </row>
    <row r="994" spans="1:7">
      <c r="A994" s="3" t="s">
        <v>484</v>
      </c>
      <c r="B994" s="3" t="s">
        <v>505</v>
      </c>
      <c r="C994" s="3" t="s">
        <v>529</v>
      </c>
      <c r="D994" s="3" t="s">
        <v>68</v>
      </c>
      <c r="E994" s="262">
        <f>ROUND(INSUMOS!$E$15,0)</f>
        <v>5500</v>
      </c>
      <c r="F994" s="6">
        <v>3</v>
      </c>
      <c r="G994" s="35">
        <f t="shared" si="20"/>
        <v>16500</v>
      </c>
    </row>
    <row r="995" spans="1:7">
      <c r="A995" s="402" t="s">
        <v>495</v>
      </c>
      <c r="B995" s="402" t="s">
        <v>495</v>
      </c>
      <c r="C995" s="402" t="s">
        <v>495</v>
      </c>
      <c r="D995" s="402" t="s">
        <v>495</v>
      </c>
      <c r="E995" s="403" t="s">
        <v>495</v>
      </c>
      <c r="F995" s="402" t="s">
        <v>495</v>
      </c>
      <c r="G995" s="55">
        <f>ROUND(SUM(G989:G994),0)</f>
        <v>1178765</v>
      </c>
    </row>
    <row r="996" spans="1:7">
      <c r="A996" s="400" t="s">
        <v>496</v>
      </c>
      <c r="B996" s="400" t="s">
        <v>496</v>
      </c>
      <c r="C996" s="400" t="s">
        <v>496</v>
      </c>
      <c r="D996" s="400" t="s">
        <v>496</v>
      </c>
      <c r="E996" s="401" t="s">
        <v>496</v>
      </c>
      <c r="F996" s="400" t="s">
        <v>496</v>
      </c>
      <c r="G996" s="401" t="s">
        <v>496</v>
      </c>
    </row>
    <row r="997" spans="1:7">
      <c r="A997" s="3" t="s">
        <v>496</v>
      </c>
      <c r="B997" s="3" t="s">
        <v>509</v>
      </c>
      <c r="C997" s="3" t="s">
        <v>510</v>
      </c>
      <c r="D997" s="3" t="s">
        <v>478</v>
      </c>
      <c r="E997" s="262">
        <f>ROUND('MANO DE OBRA'!$E$12,0)</f>
        <v>177075</v>
      </c>
      <c r="F997" s="6">
        <v>1.7</v>
      </c>
      <c r="G997" s="35">
        <f>ROUND(E997/F997,0)</f>
        <v>104162</v>
      </c>
    </row>
    <row r="998" spans="1:7">
      <c r="A998" s="3" t="s">
        <v>496</v>
      </c>
      <c r="B998" s="3" t="s">
        <v>501</v>
      </c>
      <c r="C998" s="3" t="s">
        <v>502</v>
      </c>
      <c r="D998" s="3" t="s">
        <v>478</v>
      </c>
      <c r="E998" s="262">
        <f>ROUND('MANO DE OBRA'!$E$11,0)</f>
        <v>107973</v>
      </c>
      <c r="F998" s="6">
        <v>1.7</v>
      </c>
      <c r="G998" s="35">
        <f>ROUND(E998/F998,0)</f>
        <v>63514</v>
      </c>
    </row>
    <row r="999" spans="1:7" ht="12.75" thickBot="1">
      <c r="A999" s="402" t="s">
        <v>503</v>
      </c>
      <c r="B999" s="402" t="s">
        <v>503</v>
      </c>
      <c r="C999" s="402" t="s">
        <v>503</v>
      </c>
      <c r="D999" s="402" t="s">
        <v>503</v>
      </c>
      <c r="E999" s="403" t="s">
        <v>503</v>
      </c>
      <c r="F999" s="402" t="s">
        <v>503</v>
      </c>
      <c r="G999" s="55">
        <f>ROUND(SUM(G997:G998),0)</f>
        <v>167676</v>
      </c>
    </row>
    <row r="1000" spans="1:7" ht="12.75" thickBot="1">
      <c r="A1000" s="404" t="s">
        <v>60</v>
      </c>
      <c r="B1000" s="405" t="s">
        <v>504</v>
      </c>
      <c r="C1000" s="405" t="s">
        <v>504</v>
      </c>
      <c r="D1000" s="405" t="s">
        <v>504</v>
      </c>
      <c r="E1000" s="406" t="s">
        <v>504</v>
      </c>
      <c r="F1000" s="8"/>
      <c r="G1000" s="56">
        <f>ROUND(SUM(G987,G995,G999),0)</f>
        <v>1354825</v>
      </c>
    </row>
    <row r="1001" spans="1:7">
      <c r="A1001" s="1"/>
      <c r="B1001" s="1"/>
      <c r="C1001" s="1"/>
      <c r="D1001" s="1"/>
      <c r="E1001" s="52"/>
      <c r="F1001" s="1"/>
      <c r="G1001" s="52"/>
    </row>
    <row r="1002" spans="1:7" ht="42" customHeight="1">
      <c r="A1002" s="5" t="s">
        <v>394</v>
      </c>
      <c r="B1002" s="5" t="s">
        <v>115</v>
      </c>
      <c r="C1002" s="407" t="s">
        <v>190</v>
      </c>
      <c r="D1002" s="407"/>
      <c r="E1002" s="408"/>
      <c r="F1002" s="407"/>
      <c r="G1002" s="53" t="s">
        <v>68</v>
      </c>
    </row>
    <row r="1003" spans="1:7">
      <c r="A1003" s="2" t="s">
        <v>470</v>
      </c>
      <c r="B1003" s="2" t="s">
        <v>471</v>
      </c>
      <c r="C1003" s="2" t="s">
        <v>4</v>
      </c>
      <c r="D1003" s="2" t="s">
        <v>58</v>
      </c>
      <c r="E1003" s="54" t="s">
        <v>472</v>
      </c>
      <c r="F1003" s="2" t="s">
        <v>473</v>
      </c>
      <c r="G1003" s="54" t="s">
        <v>264</v>
      </c>
    </row>
    <row r="1004" spans="1:7">
      <c r="A1004" s="400" t="s">
        <v>474</v>
      </c>
      <c r="B1004" s="400" t="s">
        <v>474</v>
      </c>
      <c r="C1004" s="400" t="s">
        <v>474</v>
      </c>
      <c r="D1004" s="400" t="s">
        <v>474</v>
      </c>
      <c r="E1004" s="401" t="s">
        <v>474</v>
      </c>
      <c r="F1004" s="400" t="s">
        <v>474</v>
      </c>
      <c r="G1004" s="401" t="s">
        <v>474</v>
      </c>
    </row>
    <row r="1005" spans="1:7">
      <c r="A1005" s="3" t="s">
        <v>475</v>
      </c>
      <c r="B1005" s="3" t="s">
        <v>513</v>
      </c>
      <c r="C1005" s="3" t="s">
        <v>514</v>
      </c>
      <c r="D1005" s="3" t="s">
        <v>478</v>
      </c>
      <c r="E1005" s="262">
        <f>ROUND(EQUIPOS!$E$9,0)</f>
        <v>87000</v>
      </c>
      <c r="F1005" s="6">
        <v>0</v>
      </c>
      <c r="G1005" s="35">
        <f>ROUND(E1005*F1005,0)</f>
        <v>0</v>
      </c>
    </row>
    <row r="1006" spans="1:7">
      <c r="A1006" s="3" t="s">
        <v>475</v>
      </c>
      <c r="B1006" s="3" t="s">
        <v>479</v>
      </c>
      <c r="C1006" s="3" t="s">
        <v>480</v>
      </c>
      <c r="D1006" s="3" t="s">
        <v>481</v>
      </c>
      <c r="E1006" s="262">
        <f>ROUND($G$1019,0)</f>
        <v>57010</v>
      </c>
      <c r="F1006" s="7">
        <v>0.05</v>
      </c>
      <c r="G1006" s="35">
        <f>ROUND(E1006*F1006,0)</f>
        <v>2851</v>
      </c>
    </row>
    <row r="1007" spans="1:7">
      <c r="A1007" s="402" t="s">
        <v>482</v>
      </c>
      <c r="B1007" s="402" t="s">
        <v>482</v>
      </c>
      <c r="C1007" s="402" t="s">
        <v>482</v>
      </c>
      <c r="D1007" s="402" t="s">
        <v>482</v>
      </c>
      <c r="E1007" s="403" t="s">
        <v>482</v>
      </c>
      <c r="F1007" s="402" t="s">
        <v>482</v>
      </c>
      <c r="G1007" s="55">
        <f>ROUND(SUM(G1005:G1006),0)</f>
        <v>2851</v>
      </c>
    </row>
    <row r="1008" spans="1:7">
      <c r="A1008" s="400" t="s">
        <v>483</v>
      </c>
      <c r="B1008" s="400" t="s">
        <v>483</v>
      </c>
      <c r="C1008" s="400" t="s">
        <v>483</v>
      </c>
      <c r="D1008" s="400" t="s">
        <v>483</v>
      </c>
      <c r="E1008" s="401" t="s">
        <v>483</v>
      </c>
      <c r="F1008" s="400" t="s">
        <v>483</v>
      </c>
      <c r="G1008" s="401" t="s">
        <v>483</v>
      </c>
    </row>
    <row r="1009" spans="1:7">
      <c r="A1009" s="3" t="s">
        <v>484</v>
      </c>
      <c r="B1009" s="3" t="s">
        <v>518</v>
      </c>
      <c r="C1009" s="3" t="s">
        <v>519</v>
      </c>
      <c r="D1009" s="3" t="s">
        <v>72</v>
      </c>
      <c r="E1009" s="262">
        <f>ROUND(APA!$G$137,0)</f>
        <v>860966</v>
      </c>
      <c r="F1009" s="6">
        <f>0.1*0.2</f>
        <v>2.0000000000000004E-2</v>
      </c>
      <c r="G1009" s="35">
        <f t="shared" ref="G1009:G1014" si="21">ROUND(E1009*F1009,0)</f>
        <v>17219</v>
      </c>
    </row>
    <row r="1010" spans="1:7" ht="24">
      <c r="A1010" s="3" t="s">
        <v>484</v>
      </c>
      <c r="B1010" s="3" t="s">
        <v>520</v>
      </c>
      <c r="C1010" s="3" t="s">
        <v>521</v>
      </c>
      <c r="D1010" s="3" t="s">
        <v>522</v>
      </c>
      <c r="E1010" s="262">
        <f>ROUND(INSUMOS!$E$17,0)</f>
        <v>25783</v>
      </c>
      <c r="F1010" s="6">
        <v>1</v>
      </c>
      <c r="G1010" s="35">
        <f t="shared" si="21"/>
        <v>25783</v>
      </c>
    </row>
    <row r="1011" spans="1:7">
      <c r="A1011" s="3" t="s">
        <v>484</v>
      </c>
      <c r="B1011" s="3" t="s">
        <v>523</v>
      </c>
      <c r="C1011" s="3" t="s">
        <v>524</v>
      </c>
      <c r="D1011" s="3" t="s">
        <v>492</v>
      </c>
      <c r="E1011" s="262">
        <f>ROUND(INSUMOS!$E$18,0)</f>
        <v>6248</v>
      </c>
      <c r="F1011" s="6">
        <v>0.2</v>
      </c>
      <c r="G1011" s="35">
        <f t="shared" si="21"/>
        <v>1250</v>
      </c>
    </row>
    <row r="1012" spans="1:7">
      <c r="A1012" s="3" t="s">
        <v>484</v>
      </c>
      <c r="B1012" s="3" t="s">
        <v>525</v>
      </c>
      <c r="C1012" s="3" t="s">
        <v>526</v>
      </c>
      <c r="D1012" s="3" t="s">
        <v>68</v>
      </c>
      <c r="E1012" s="262">
        <f>ROUND(INSUMOS!$E$19,0)</f>
        <v>5000</v>
      </c>
      <c r="F1012" s="6">
        <v>2.5</v>
      </c>
      <c r="G1012" s="35">
        <f t="shared" si="21"/>
        <v>12500</v>
      </c>
    </row>
    <row r="1013" spans="1:7">
      <c r="A1013" s="3" t="s">
        <v>484</v>
      </c>
      <c r="B1013" s="3" t="s">
        <v>527</v>
      </c>
      <c r="C1013" s="3" t="s">
        <v>546</v>
      </c>
      <c r="D1013" s="3" t="s">
        <v>120</v>
      </c>
      <c r="E1013" s="262">
        <f>ROUND(INSUMOS!$E$20,0)</f>
        <v>9226</v>
      </c>
      <c r="F1013" s="6">
        <v>1.2</v>
      </c>
      <c r="G1013" s="35">
        <f t="shared" si="21"/>
        <v>11071</v>
      </c>
    </row>
    <row r="1014" spans="1:7">
      <c r="A1014" s="3" t="s">
        <v>484</v>
      </c>
      <c r="B1014" s="3" t="s">
        <v>505</v>
      </c>
      <c r="C1014" s="3" t="s">
        <v>506</v>
      </c>
      <c r="D1014" s="3" t="s">
        <v>68</v>
      </c>
      <c r="E1014" s="262">
        <f>ROUND(INSUMOS!$E$15,0)</f>
        <v>5500</v>
      </c>
      <c r="F1014" s="6">
        <v>2.5</v>
      </c>
      <c r="G1014" s="35">
        <f t="shared" si="21"/>
        <v>13750</v>
      </c>
    </row>
    <row r="1015" spans="1:7">
      <c r="A1015" s="402" t="s">
        <v>495</v>
      </c>
      <c r="B1015" s="402" t="s">
        <v>495</v>
      </c>
      <c r="C1015" s="402" t="s">
        <v>495</v>
      </c>
      <c r="D1015" s="402" t="s">
        <v>495</v>
      </c>
      <c r="E1015" s="403" t="s">
        <v>495</v>
      </c>
      <c r="F1015" s="402" t="s">
        <v>495</v>
      </c>
      <c r="G1015" s="55">
        <f>ROUND(SUM(G1009:G1014),0)</f>
        <v>81573</v>
      </c>
    </row>
    <row r="1016" spans="1:7">
      <c r="A1016" s="400" t="s">
        <v>496</v>
      </c>
      <c r="B1016" s="400" t="s">
        <v>496</v>
      </c>
      <c r="C1016" s="400" t="s">
        <v>496</v>
      </c>
      <c r="D1016" s="400" t="s">
        <v>496</v>
      </c>
      <c r="E1016" s="401" t="s">
        <v>496</v>
      </c>
      <c r="F1016" s="400" t="s">
        <v>496</v>
      </c>
      <c r="G1016" s="401" t="s">
        <v>496</v>
      </c>
    </row>
    <row r="1017" spans="1:7">
      <c r="A1017" s="3" t="s">
        <v>496</v>
      </c>
      <c r="B1017" s="3" t="s">
        <v>509</v>
      </c>
      <c r="C1017" s="3" t="s">
        <v>510</v>
      </c>
      <c r="D1017" s="3" t="s">
        <v>478</v>
      </c>
      <c r="E1017" s="262">
        <f>ROUND('MANO DE OBRA'!$E$12,0)</f>
        <v>177075</v>
      </c>
      <c r="F1017" s="6">
        <v>0.2</v>
      </c>
      <c r="G1017" s="35">
        <f>ROUND(E1017*F1017,0)</f>
        <v>35415</v>
      </c>
    </row>
    <row r="1018" spans="1:7">
      <c r="A1018" s="3" t="s">
        <v>496</v>
      </c>
      <c r="B1018" s="3" t="s">
        <v>501</v>
      </c>
      <c r="C1018" s="3" t="s">
        <v>502</v>
      </c>
      <c r="D1018" s="3" t="s">
        <v>478</v>
      </c>
      <c r="E1018" s="262">
        <f>ROUND('MANO DE OBRA'!$E$11,0)</f>
        <v>107973</v>
      </c>
      <c r="F1018" s="6">
        <v>0.2</v>
      </c>
      <c r="G1018" s="35">
        <f>ROUND(E1018*F1018,0)</f>
        <v>21595</v>
      </c>
    </row>
    <row r="1019" spans="1:7" ht="12.75" thickBot="1">
      <c r="A1019" s="402" t="s">
        <v>503</v>
      </c>
      <c r="B1019" s="402" t="s">
        <v>503</v>
      </c>
      <c r="C1019" s="402" t="s">
        <v>503</v>
      </c>
      <c r="D1019" s="402" t="s">
        <v>503</v>
      </c>
      <c r="E1019" s="403" t="s">
        <v>503</v>
      </c>
      <c r="F1019" s="402" t="s">
        <v>503</v>
      </c>
      <c r="G1019" s="55">
        <f>ROUND(SUM(G1017:G1018),0)</f>
        <v>57010</v>
      </c>
    </row>
    <row r="1020" spans="1:7" ht="12.75" thickBot="1">
      <c r="A1020" s="404" t="s">
        <v>60</v>
      </c>
      <c r="B1020" s="405" t="s">
        <v>504</v>
      </c>
      <c r="C1020" s="405" t="s">
        <v>504</v>
      </c>
      <c r="D1020" s="405" t="s">
        <v>504</v>
      </c>
      <c r="E1020" s="406" t="s">
        <v>504</v>
      </c>
      <c r="F1020" s="8"/>
      <c r="G1020" s="56">
        <f>ROUND(SUM(G1007,G1015,G1019),0)</f>
        <v>141434</v>
      </c>
    </row>
    <row r="1021" spans="1:7">
      <c r="A1021" s="1"/>
      <c r="B1021" s="1"/>
      <c r="C1021" s="1"/>
      <c r="D1021" s="1"/>
      <c r="E1021" s="52"/>
      <c r="F1021" s="1"/>
      <c r="G1021" s="52"/>
    </row>
    <row r="1022" spans="1:7" ht="42" customHeight="1">
      <c r="A1022" s="5" t="s">
        <v>397</v>
      </c>
      <c r="B1022" s="5" t="s">
        <v>191</v>
      </c>
      <c r="C1022" s="407" t="s">
        <v>192</v>
      </c>
      <c r="D1022" s="407"/>
      <c r="E1022" s="408"/>
      <c r="F1022" s="407"/>
      <c r="G1022" s="53" t="s">
        <v>68</v>
      </c>
    </row>
    <row r="1023" spans="1:7">
      <c r="A1023" s="2" t="s">
        <v>470</v>
      </c>
      <c r="B1023" s="2" t="s">
        <v>471</v>
      </c>
      <c r="C1023" s="2" t="s">
        <v>4</v>
      </c>
      <c r="D1023" s="2" t="s">
        <v>58</v>
      </c>
      <c r="E1023" s="54" t="s">
        <v>472</v>
      </c>
      <c r="F1023" s="2" t="s">
        <v>473</v>
      </c>
      <c r="G1023" s="54" t="s">
        <v>264</v>
      </c>
    </row>
    <row r="1024" spans="1:7">
      <c r="A1024" s="400" t="s">
        <v>474</v>
      </c>
      <c r="B1024" s="400" t="s">
        <v>474</v>
      </c>
      <c r="C1024" s="400" t="s">
        <v>474</v>
      </c>
      <c r="D1024" s="400" t="s">
        <v>474</v>
      </c>
      <c r="E1024" s="401" t="s">
        <v>474</v>
      </c>
      <c r="F1024" s="400" t="s">
        <v>474</v>
      </c>
      <c r="G1024" s="401" t="s">
        <v>474</v>
      </c>
    </row>
    <row r="1025" spans="1:7">
      <c r="A1025" s="3" t="s">
        <v>475</v>
      </c>
      <c r="B1025" s="3" t="s">
        <v>513</v>
      </c>
      <c r="C1025" s="3" t="s">
        <v>514</v>
      </c>
      <c r="D1025" s="3" t="s">
        <v>478</v>
      </c>
      <c r="E1025" s="262">
        <f>ROUND(EQUIPOS!$E$9,0)</f>
        <v>87000</v>
      </c>
      <c r="F1025" s="6">
        <v>0</v>
      </c>
      <c r="G1025" s="35">
        <f>ROUND(E1025*F1025,0)</f>
        <v>0</v>
      </c>
    </row>
    <row r="1026" spans="1:7">
      <c r="A1026" s="3" t="s">
        <v>475</v>
      </c>
      <c r="B1026" s="3" t="s">
        <v>479</v>
      </c>
      <c r="C1026" s="3" t="s">
        <v>480</v>
      </c>
      <c r="D1026" s="3" t="s">
        <v>481</v>
      </c>
      <c r="E1026" s="262">
        <f>ROUND($G$1039,0)</f>
        <v>57010</v>
      </c>
      <c r="F1026" s="7">
        <v>0.05</v>
      </c>
      <c r="G1026" s="35">
        <f>ROUND(E1026*F1026,0)</f>
        <v>2851</v>
      </c>
    </row>
    <row r="1027" spans="1:7">
      <c r="A1027" s="402" t="s">
        <v>482</v>
      </c>
      <c r="B1027" s="402" t="s">
        <v>482</v>
      </c>
      <c r="C1027" s="402" t="s">
        <v>482</v>
      </c>
      <c r="D1027" s="402" t="s">
        <v>482</v>
      </c>
      <c r="E1027" s="403" t="s">
        <v>482</v>
      </c>
      <c r="F1027" s="402" t="s">
        <v>482</v>
      </c>
      <c r="G1027" s="55">
        <f>ROUND(SUM(G1025:G1026),0)</f>
        <v>2851</v>
      </c>
    </row>
    <row r="1028" spans="1:7">
      <c r="A1028" s="400" t="s">
        <v>483</v>
      </c>
      <c r="B1028" s="400" t="s">
        <v>483</v>
      </c>
      <c r="C1028" s="400" t="s">
        <v>483</v>
      </c>
      <c r="D1028" s="400" t="s">
        <v>483</v>
      </c>
      <c r="E1028" s="401" t="s">
        <v>483</v>
      </c>
      <c r="F1028" s="400" t="s">
        <v>483</v>
      </c>
      <c r="G1028" s="401" t="s">
        <v>483</v>
      </c>
    </row>
    <row r="1029" spans="1:7">
      <c r="A1029" s="3" t="s">
        <v>484</v>
      </c>
      <c r="B1029" s="3" t="s">
        <v>518</v>
      </c>
      <c r="C1029" s="3" t="s">
        <v>519</v>
      </c>
      <c r="D1029" s="3" t="s">
        <v>72</v>
      </c>
      <c r="E1029" s="262">
        <f>ROUND(APA!$G$137,0)</f>
        <v>860966</v>
      </c>
      <c r="F1029" s="6">
        <f>0.1*0.2</f>
        <v>2.0000000000000004E-2</v>
      </c>
      <c r="G1029" s="35">
        <f t="shared" ref="G1029:G1034" si="22">ROUND(E1029*F1029,0)</f>
        <v>17219</v>
      </c>
    </row>
    <row r="1030" spans="1:7" ht="24">
      <c r="A1030" s="3" t="s">
        <v>484</v>
      </c>
      <c r="B1030" s="3" t="s">
        <v>520</v>
      </c>
      <c r="C1030" s="3" t="s">
        <v>521</v>
      </c>
      <c r="D1030" s="3" t="s">
        <v>522</v>
      </c>
      <c r="E1030" s="262">
        <f>ROUND(INSUMOS!$E$17,0)</f>
        <v>25783</v>
      </c>
      <c r="F1030" s="6">
        <v>0</v>
      </c>
      <c r="G1030" s="35">
        <f t="shared" si="22"/>
        <v>0</v>
      </c>
    </row>
    <row r="1031" spans="1:7">
      <c r="A1031" s="3" t="s">
        <v>484</v>
      </c>
      <c r="B1031" s="3" t="s">
        <v>523</v>
      </c>
      <c r="C1031" s="3" t="s">
        <v>524</v>
      </c>
      <c r="D1031" s="3" t="s">
        <v>492</v>
      </c>
      <c r="E1031" s="262">
        <f>ROUND(INSUMOS!$E$18,0)</f>
        <v>6248</v>
      </c>
      <c r="F1031" s="6">
        <v>0.2</v>
      </c>
      <c r="G1031" s="35">
        <f t="shared" si="22"/>
        <v>1250</v>
      </c>
    </row>
    <row r="1032" spans="1:7">
      <c r="A1032" s="3" t="s">
        <v>484</v>
      </c>
      <c r="B1032" s="3" t="s">
        <v>525</v>
      </c>
      <c r="C1032" s="3" t="s">
        <v>526</v>
      </c>
      <c r="D1032" s="3" t="s">
        <v>68</v>
      </c>
      <c r="E1032" s="262">
        <f>ROUND(INSUMOS!$E$19,0)</f>
        <v>5000</v>
      </c>
      <c r="F1032" s="6">
        <v>2.5</v>
      </c>
      <c r="G1032" s="35">
        <f t="shared" si="22"/>
        <v>12500</v>
      </c>
    </row>
    <row r="1033" spans="1:7">
      <c r="A1033" s="3" t="s">
        <v>484</v>
      </c>
      <c r="B1033" s="3" t="s">
        <v>527</v>
      </c>
      <c r="C1033" s="3" t="s">
        <v>546</v>
      </c>
      <c r="D1033" s="3" t="s">
        <v>120</v>
      </c>
      <c r="E1033" s="262">
        <f>ROUND(INSUMOS!$E$20,0)</f>
        <v>9226</v>
      </c>
      <c r="F1033" s="6">
        <v>1.2</v>
      </c>
      <c r="G1033" s="35">
        <f t="shared" si="22"/>
        <v>11071</v>
      </c>
    </row>
    <row r="1034" spans="1:7">
      <c r="A1034" s="3" t="s">
        <v>484</v>
      </c>
      <c r="B1034" s="3" t="s">
        <v>505</v>
      </c>
      <c r="C1034" s="3" t="s">
        <v>506</v>
      </c>
      <c r="D1034" s="3" t="s">
        <v>68</v>
      </c>
      <c r="E1034" s="262">
        <f>ROUND(INSUMOS!$E$15,0)</f>
        <v>5500</v>
      </c>
      <c r="F1034" s="6">
        <v>2.5</v>
      </c>
      <c r="G1034" s="35">
        <f t="shared" si="22"/>
        <v>13750</v>
      </c>
    </row>
    <row r="1035" spans="1:7">
      <c r="A1035" s="402" t="s">
        <v>495</v>
      </c>
      <c r="B1035" s="402" t="s">
        <v>495</v>
      </c>
      <c r="C1035" s="402" t="s">
        <v>495</v>
      </c>
      <c r="D1035" s="402" t="s">
        <v>495</v>
      </c>
      <c r="E1035" s="403" t="s">
        <v>495</v>
      </c>
      <c r="F1035" s="402" t="s">
        <v>495</v>
      </c>
      <c r="G1035" s="55">
        <f>ROUND(SUM(G1029:G1034),0)</f>
        <v>55790</v>
      </c>
    </row>
    <row r="1036" spans="1:7">
      <c r="A1036" s="400" t="s">
        <v>496</v>
      </c>
      <c r="B1036" s="400" t="s">
        <v>496</v>
      </c>
      <c r="C1036" s="400" t="s">
        <v>496</v>
      </c>
      <c r="D1036" s="400" t="s">
        <v>496</v>
      </c>
      <c r="E1036" s="401" t="s">
        <v>496</v>
      </c>
      <c r="F1036" s="400" t="s">
        <v>496</v>
      </c>
      <c r="G1036" s="401" t="s">
        <v>496</v>
      </c>
    </row>
    <row r="1037" spans="1:7">
      <c r="A1037" s="3" t="s">
        <v>496</v>
      </c>
      <c r="B1037" s="3" t="s">
        <v>509</v>
      </c>
      <c r="C1037" s="3" t="s">
        <v>510</v>
      </c>
      <c r="D1037" s="3" t="s">
        <v>478</v>
      </c>
      <c r="E1037" s="262">
        <f>ROUND('MANO DE OBRA'!$E$12,0)</f>
        <v>177075</v>
      </c>
      <c r="F1037" s="6">
        <v>0.2</v>
      </c>
      <c r="G1037" s="35">
        <f>ROUND(E1037*F1037,0)</f>
        <v>35415</v>
      </c>
    </row>
    <row r="1038" spans="1:7">
      <c r="A1038" s="3" t="s">
        <v>496</v>
      </c>
      <c r="B1038" s="3" t="s">
        <v>501</v>
      </c>
      <c r="C1038" s="3" t="s">
        <v>502</v>
      </c>
      <c r="D1038" s="3" t="s">
        <v>478</v>
      </c>
      <c r="E1038" s="262">
        <f>ROUND('MANO DE OBRA'!$E$11,0)</f>
        <v>107973</v>
      </c>
      <c r="F1038" s="6">
        <v>0.2</v>
      </c>
      <c r="G1038" s="35">
        <f>ROUND(E1038*F1038,0)</f>
        <v>21595</v>
      </c>
    </row>
    <row r="1039" spans="1:7" ht="12.75" thickBot="1">
      <c r="A1039" s="402" t="s">
        <v>503</v>
      </c>
      <c r="B1039" s="402" t="s">
        <v>503</v>
      </c>
      <c r="C1039" s="402" t="s">
        <v>503</v>
      </c>
      <c r="D1039" s="402" t="s">
        <v>503</v>
      </c>
      <c r="E1039" s="403" t="s">
        <v>503</v>
      </c>
      <c r="F1039" s="402" t="s">
        <v>503</v>
      </c>
      <c r="G1039" s="55">
        <f>ROUND(SUM(G1037:G1038),0)</f>
        <v>57010</v>
      </c>
    </row>
    <row r="1040" spans="1:7" ht="12.75" thickBot="1">
      <c r="A1040" s="404" t="s">
        <v>60</v>
      </c>
      <c r="B1040" s="405" t="s">
        <v>504</v>
      </c>
      <c r="C1040" s="405" t="s">
        <v>504</v>
      </c>
      <c r="D1040" s="405" t="s">
        <v>504</v>
      </c>
      <c r="E1040" s="406" t="s">
        <v>504</v>
      </c>
      <c r="F1040" s="8"/>
      <c r="G1040" s="56">
        <f>ROUND(SUM(G1027,G1035,G1039),0)</f>
        <v>115651</v>
      </c>
    </row>
    <row r="1041" spans="1:7">
      <c r="A1041" s="1"/>
      <c r="B1041" s="1"/>
      <c r="C1041" s="1"/>
      <c r="D1041" s="1"/>
      <c r="E1041" s="52"/>
      <c r="F1041" s="1"/>
      <c r="G1041" s="52"/>
    </row>
    <row r="1042" spans="1:7" ht="42" customHeight="1">
      <c r="A1042" s="5" t="s">
        <v>402</v>
      </c>
      <c r="B1042" s="5" t="s">
        <v>193</v>
      </c>
      <c r="C1042" s="407" t="s">
        <v>194</v>
      </c>
      <c r="D1042" s="407"/>
      <c r="E1042" s="408"/>
      <c r="F1042" s="407"/>
      <c r="G1042" s="53" t="s">
        <v>68</v>
      </c>
    </row>
    <row r="1043" spans="1:7">
      <c r="A1043" s="2" t="s">
        <v>470</v>
      </c>
      <c r="B1043" s="2" t="s">
        <v>471</v>
      </c>
      <c r="C1043" s="2" t="s">
        <v>4</v>
      </c>
      <c r="D1043" s="2" t="s">
        <v>58</v>
      </c>
      <c r="E1043" s="54" t="s">
        <v>472</v>
      </c>
      <c r="F1043" s="2" t="s">
        <v>473</v>
      </c>
      <c r="G1043" s="54" t="s">
        <v>264</v>
      </c>
    </row>
    <row r="1044" spans="1:7">
      <c r="A1044" s="400" t="s">
        <v>474</v>
      </c>
      <c r="B1044" s="400" t="s">
        <v>474</v>
      </c>
      <c r="C1044" s="400" t="s">
        <v>474</v>
      </c>
      <c r="D1044" s="400" t="s">
        <v>474</v>
      </c>
      <c r="E1044" s="401" t="s">
        <v>474</v>
      </c>
      <c r="F1044" s="400" t="s">
        <v>474</v>
      </c>
      <c r="G1044" s="401" t="s">
        <v>474</v>
      </c>
    </row>
    <row r="1045" spans="1:7">
      <c r="A1045" s="3" t="s">
        <v>475</v>
      </c>
      <c r="B1045" s="3" t="s">
        <v>513</v>
      </c>
      <c r="C1045" s="3" t="s">
        <v>514</v>
      </c>
      <c r="D1045" s="3" t="s">
        <v>478</v>
      </c>
      <c r="E1045" s="262">
        <f>ROUND(EQUIPOS!$E$9,0)</f>
        <v>87000</v>
      </c>
      <c r="F1045" s="6">
        <v>0</v>
      </c>
      <c r="G1045" s="35">
        <f>ROUND(E1045*F1045,0)</f>
        <v>0</v>
      </c>
    </row>
    <row r="1046" spans="1:7">
      <c r="A1046" s="3" t="s">
        <v>475</v>
      </c>
      <c r="B1046" s="3" t="s">
        <v>699</v>
      </c>
      <c r="C1046" s="3" t="s">
        <v>700</v>
      </c>
      <c r="D1046" s="3" t="s">
        <v>701</v>
      </c>
      <c r="E1046" s="262">
        <f>ROUND(EQUIPOS!$E$20,0)</f>
        <v>25000</v>
      </c>
      <c r="F1046" s="6">
        <v>0.3</v>
      </c>
      <c r="G1046" s="35">
        <f>ROUND(E1046*F1046,0)</f>
        <v>7500</v>
      </c>
    </row>
    <row r="1047" spans="1:7">
      <c r="A1047" s="3" t="s">
        <v>475</v>
      </c>
      <c r="B1047" s="3" t="s">
        <v>479</v>
      </c>
      <c r="C1047" s="3" t="s">
        <v>480</v>
      </c>
      <c r="D1047" s="3" t="s">
        <v>481</v>
      </c>
      <c r="E1047" s="262">
        <f>ROUND($G$1060,0)</f>
        <v>57010</v>
      </c>
      <c r="F1047" s="7">
        <v>0.05</v>
      </c>
      <c r="G1047" s="35">
        <f>ROUND(E1047*F1047,0)</f>
        <v>2851</v>
      </c>
    </row>
    <row r="1048" spans="1:7">
      <c r="A1048" s="402" t="s">
        <v>482</v>
      </c>
      <c r="B1048" s="402" t="s">
        <v>482</v>
      </c>
      <c r="C1048" s="402" t="s">
        <v>482</v>
      </c>
      <c r="D1048" s="402" t="s">
        <v>482</v>
      </c>
      <c r="E1048" s="403" t="s">
        <v>482</v>
      </c>
      <c r="F1048" s="402" t="s">
        <v>482</v>
      </c>
      <c r="G1048" s="55">
        <f>ROUND(SUM(G1045:G1047),0)</f>
        <v>10351</v>
      </c>
    </row>
    <row r="1049" spans="1:7">
      <c r="A1049" s="400" t="s">
        <v>483</v>
      </c>
      <c r="B1049" s="400" t="s">
        <v>483</v>
      </c>
      <c r="C1049" s="400" t="s">
        <v>483</v>
      </c>
      <c r="D1049" s="400" t="s">
        <v>483</v>
      </c>
      <c r="E1049" s="401" t="s">
        <v>483</v>
      </c>
      <c r="F1049" s="400" t="s">
        <v>483</v>
      </c>
      <c r="G1049" s="401" t="s">
        <v>483</v>
      </c>
    </row>
    <row r="1050" spans="1:7">
      <c r="A1050" s="3" t="s">
        <v>484</v>
      </c>
      <c r="B1050" s="3" t="s">
        <v>518</v>
      </c>
      <c r="C1050" s="3" t="s">
        <v>519</v>
      </c>
      <c r="D1050" s="3" t="s">
        <v>72</v>
      </c>
      <c r="E1050" s="262">
        <f>ROUND(APA!$G$137,0)</f>
        <v>860966</v>
      </c>
      <c r="F1050" s="6">
        <v>1.0000000000000002E-2</v>
      </c>
      <c r="G1050" s="35">
        <f t="shared" ref="G1050:G1055" si="23">ROUND(E1050*F1050,0)</f>
        <v>8610</v>
      </c>
    </row>
    <row r="1051" spans="1:7" ht="24">
      <c r="A1051" s="3" t="s">
        <v>484</v>
      </c>
      <c r="B1051" s="3" t="s">
        <v>520</v>
      </c>
      <c r="C1051" s="3" t="s">
        <v>521</v>
      </c>
      <c r="D1051" s="3" t="s">
        <v>522</v>
      </c>
      <c r="E1051" s="262">
        <f>ROUND(INSUMOS!$E$17,0)</f>
        <v>25783</v>
      </c>
      <c r="F1051" s="6">
        <v>0</v>
      </c>
      <c r="G1051" s="35">
        <f t="shared" si="23"/>
        <v>0</v>
      </c>
    </row>
    <row r="1052" spans="1:7">
      <c r="A1052" s="3" t="s">
        <v>484</v>
      </c>
      <c r="B1052" s="3" t="s">
        <v>523</v>
      </c>
      <c r="C1052" s="3" t="s">
        <v>524</v>
      </c>
      <c r="D1052" s="3" t="s">
        <v>492</v>
      </c>
      <c r="E1052" s="262">
        <f>ROUND(INSUMOS!$E$18,0)</f>
        <v>6248</v>
      </c>
      <c r="F1052" s="6">
        <v>0.2</v>
      </c>
      <c r="G1052" s="35">
        <f t="shared" si="23"/>
        <v>1250</v>
      </c>
    </row>
    <row r="1053" spans="1:7">
      <c r="A1053" s="3" t="s">
        <v>484</v>
      </c>
      <c r="B1053" s="3" t="s">
        <v>525</v>
      </c>
      <c r="C1053" s="3" t="s">
        <v>526</v>
      </c>
      <c r="D1053" s="3" t="s">
        <v>68</v>
      </c>
      <c r="E1053" s="262">
        <f>ROUND(INSUMOS!$E$19,0)</f>
        <v>5000</v>
      </c>
      <c r="F1053" s="6">
        <v>2.5</v>
      </c>
      <c r="G1053" s="35">
        <f t="shared" si="23"/>
        <v>12500</v>
      </c>
    </row>
    <row r="1054" spans="1:7">
      <c r="A1054" s="3" t="s">
        <v>484</v>
      </c>
      <c r="B1054" s="3" t="s">
        <v>527</v>
      </c>
      <c r="C1054" s="3" t="s">
        <v>546</v>
      </c>
      <c r="D1054" s="3" t="s">
        <v>120</v>
      </c>
      <c r="E1054" s="262">
        <f>ROUND(INSUMOS!$E$20,0)</f>
        <v>9226</v>
      </c>
      <c r="F1054" s="6">
        <v>1.2</v>
      </c>
      <c r="G1054" s="35">
        <f t="shared" si="23"/>
        <v>11071</v>
      </c>
    </row>
    <row r="1055" spans="1:7">
      <c r="A1055" s="3" t="s">
        <v>484</v>
      </c>
      <c r="B1055" s="3" t="s">
        <v>505</v>
      </c>
      <c r="C1055" s="3" t="s">
        <v>506</v>
      </c>
      <c r="D1055" s="3" t="s">
        <v>68</v>
      </c>
      <c r="E1055" s="262">
        <f>ROUND(INSUMOS!$E$15,0)</f>
        <v>5500</v>
      </c>
      <c r="F1055" s="6">
        <v>2.5</v>
      </c>
      <c r="G1055" s="35">
        <f t="shared" si="23"/>
        <v>13750</v>
      </c>
    </row>
    <row r="1056" spans="1:7">
      <c r="A1056" s="402" t="s">
        <v>495</v>
      </c>
      <c r="B1056" s="402" t="s">
        <v>495</v>
      </c>
      <c r="C1056" s="402" t="s">
        <v>495</v>
      </c>
      <c r="D1056" s="402" t="s">
        <v>495</v>
      </c>
      <c r="E1056" s="403" t="s">
        <v>495</v>
      </c>
      <c r="F1056" s="402" t="s">
        <v>495</v>
      </c>
      <c r="G1056" s="55">
        <f>ROUND(SUM(G1050:G1055),0)</f>
        <v>47181</v>
      </c>
    </row>
    <row r="1057" spans="1:7">
      <c r="A1057" s="400" t="s">
        <v>496</v>
      </c>
      <c r="B1057" s="400" t="s">
        <v>496</v>
      </c>
      <c r="C1057" s="400" t="s">
        <v>496</v>
      </c>
      <c r="D1057" s="400" t="s">
        <v>496</v>
      </c>
      <c r="E1057" s="401" t="s">
        <v>496</v>
      </c>
      <c r="F1057" s="400" t="s">
        <v>496</v>
      </c>
      <c r="G1057" s="401" t="s">
        <v>496</v>
      </c>
    </row>
    <row r="1058" spans="1:7">
      <c r="A1058" s="3" t="s">
        <v>496</v>
      </c>
      <c r="B1058" s="3" t="s">
        <v>509</v>
      </c>
      <c r="C1058" s="3" t="s">
        <v>510</v>
      </c>
      <c r="D1058" s="3" t="s">
        <v>478</v>
      </c>
      <c r="E1058" s="262">
        <f>ROUND('MANO DE OBRA'!$E$12,0)</f>
        <v>177075</v>
      </c>
      <c r="F1058" s="6">
        <v>0.2</v>
      </c>
      <c r="G1058" s="35">
        <f>ROUND(E1058*F1058,0)</f>
        <v>35415</v>
      </c>
    </row>
    <row r="1059" spans="1:7">
      <c r="A1059" s="3" t="s">
        <v>496</v>
      </c>
      <c r="B1059" s="3" t="s">
        <v>501</v>
      </c>
      <c r="C1059" s="3" t="s">
        <v>502</v>
      </c>
      <c r="D1059" s="3" t="s">
        <v>478</v>
      </c>
      <c r="E1059" s="262">
        <f>ROUND('MANO DE OBRA'!$E$11,0)</f>
        <v>107973</v>
      </c>
      <c r="F1059" s="6">
        <v>0.2</v>
      </c>
      <c r="G1059" s="35">
        <f>ROUND(E1059*F1059,0)</f>
        <v>21595</v>
      </c>
    </row>
    <row r="1060" spans="1:7" ht="12.75" thickBot="1">
      <c r="A1060" s="402" t="s">
        <v>503</v>
      </c>
      <c r="B1060" s="402" t="s">
        <v>503</v>
      </c>
      <c r="C1060" s="402" t="s">
        <v>503</v>
      </c>
      <c r="D1060" s="402" t="s">
        <v>503</v>
      </c>
      <c r="E1060" s="403" t="s">
        <v>503</v>
      </c>
      <c r="F1060" s="402" t="s">
        <v>503</v>
      </c>
      <c r="G1060" s="55">
        <f>ROUND(SUM(G1058:G1059),0)</f>
        <v>57010</v>
      </c>
    </row>
    <row r="1061" spans="1:7" ht="12.75" thickBot="1">
      <c r="A1061" s="404" t="s">
        <v>60</v>
      </c>
      <c r="B1061" s="405" t="s">
        <v>504</v>
      </c>
      <c r="C1061" s="405" t="s">
        <v>504</v>
      </c>
      <c r="D1061" s="405" t="s">
        <v>504</v>
      </c>
      <c r="E1061" s="406" t="s">
        <v>504</v>
      </c>
      <c r="F1061" s="8"/>
      <c r="G1061" s="56">
        <f>ROUND(SUM(G1048,G1056,G1060),0)</f>
        <v>114542</v>
      </c>
    </row>
    <row r="1062" spans="1:7">
      <c r="A1062" s="1"/>
      <c r="B1062" s="1"/>
      <c r="C1062" s="1"/>
      <c r="D1062" s="1"/>
      <c r="E1062" s="52"/>
      <c r="F1062" s="1"/>
      <c r="G1062" s="52"/>
    </row>
    <row r="1063" spans="1:7" ht="42" customHeight="1">
      <c r="A1063" s="5" t="s">
        <v>408</v>
      </c>
      <c r="B1063" s="5" t="s">
        <v>195</v>
      </c>
      <c r="C1063" s="407" t="s">
        <v>196</v>
      </c>
      <c r="D1063" s="407"/>
      <c r="E1063" s="408"/>
      <c r="F1063" s="407"/>
      <c r="G1063" s="53" t="s">
        <v>68</v>
      </c>
    </row>
    <row r="1064" spans="1:7">
      <c r="A1064" s="2" t="s">
        <v>470</v>
      </c>
      <c r="B1064" s="2" t="s">
        <v>471</v>
      </c>
      <c r="C1064" s="2" t="s">
        <v>4</v>
      </c>
      <c r="D1064" s="2" t="s">
        <v>58</v>
      </c>
      <c r="E1064" s="54" t="s">
        <v>472</v>
      </c>
      <c r="F1064" s="2" t="s">
        <v>473</v>
      </c>
      <c r="G1064" s="54" t="s">
        <v>264</v>
      </c>
    </row>
    <row r="1065" spans="1:7">
      <c r="A1065" s="400" t="s">
        <v>474</v>
      </c>
      <c r="B1065" s="400" t="s">
        <v>474</v>
      </c>
      <c r="C1065" s="400" t="s">
        <v>474</v>
      </c>
      <c r="D1065" s="400" t="s">
        <v>474</v>
      </c>
      <c r="E1065" s="401" t="s">
        <v>474</v>
      </c>
      <c r="F1065" s="400" t="s">
        <v>474</v>
      </c>
      <c r="G1065" s="401" t="s">
        <v>474</v>
      </c>
    </row>
    <row r="1066" spans="1:7">
      <c r="A1066" s="3" t="s">
        <v>475</v>
      </c>
      <c r="B1066" s="3" t="s">
        <v>513</v>
      </c>
      <c r="C1066" s="3" t="s">
        <v>514</v>
      </c>
      <c r="D1066" s="3" t="s">
        <v>478</v>
      </c>
      <c r="E1066" s="262">
        <f>ROUND(EQUIPOS!$E$9,0)</f>
        <v>87000</v>
      </c>
      <c r="F1066" s="6">
        <v>0</v>
      </c>
      <c r="G1066" s="35">
        <f>ROUND(E1066*F1066,0)</f>
        <v>0</v>
      </c>
    </row>
    <row r="1067" spans="1:7">
      <c r="A1067" s="3" t="s">
        <v>475</v>
      </c>
      <c r="B1067" s="3" t="s">
        <v>699</v>
      </c>
      <c r="C1067" s="3" t="s">
        <v>700</v>
      </c>
      <c r="D1067" s="3" t="s">
        <v>701</v>
      </c>
      <c r="E1067" s="262">
        <f>ROUND(EQUIPOS!$E$20,0)</f>
        <v>25000</v>
      </c>
      <c r="F1067" s="6">
        <v>0.3</v>
      </c>
      <c r="G1067" s="35">
        <f>ROUND(E1067*F1067,0)</f>
        <v>7500</v>
      </c>
    </row>
    <row r="1068" spans="1:7">
      <c r="A1068" s="3" t="s">
        <v>475</v>
      </c>
      <c r="B1068" s="3" t="s">
        <v>479</v>
      </c>
      <c r="C1068" s="3" t="s">
        <v>480</v>
      </c>
      <c r="D1068" s="3" t="s">
        <v>481</v>
      </c>
      <c r="E1068" s="262">
        <f>ROUND($G$1081,0)</f>
        <v>54159</v>
      </c>
      <c r="F1068" s="7">
        <v>0.05</v>
      </c>
      <c r="G1068" s="35">
        <f>ROUND(E1068*F1068,0)</f>
        <v>2708</v>
      </c>
    </row>
    <row r="1069" spans="1:7">
      <c r="A1069" s="402" t="s">
        <v>482</v>
      </c>
      <c r="B1069" s="402" t="s">
        <v>482</v>
      </c>
      <c r="C1069" s="402" t="s">
        <v>482</v>
      </c>
      <c r="D1069" s="402" t="s">
        <v>482</v>
      </c>
      <c r="E1069" s="403" t="s">
        <v>482</v>
      </c>
      <c r="F1069" s="402" t="s">
        <v>482</v>
      </c>
      <c r="G1069" s="55">
        <f>ROUND(SUM(G1066:G1068),0)</f>
        <v>10208</v>
      </c>
    </row>
    <row r="1070" spans="1:7">
      <c r="A1070" s="400" t="s">
        <v>483</v>
      </c>
      <c r="B1070" s="400" t="s">
        <v>483</v>
      </c>
      <c r="C1070" s="400" t="s">
        <v>483</v>
      </c>
      <c r="D1070" s="400" t="s">
        <v>483</v>
      </c>
      <c r="E1070" s="401" t="s">
        <v>483</v>
      </c>
      <c r="F1070" s="400" t="s">
        <v>483</v>
      </c>
      <c r="G1070" s="401" t="s">
        <v>483</v>
      </c>
    </row>
    <row r="1071" spans="1:7">
      <c r="A1071" s="3" t="s">
        <v>484</v>
      </c>
      <c r="B1071" s="3" t="s">
        <v>518</v>
      </c>
      <c r="C1071" s="3" t="s">
        <v>519</v>
      </c>
      <c r="D1071" s="3" t="s">
        <v>72</v>
      </c>
      <c r="E1071" s="262">
        <f>ROUND(APA!$G$137,0)</f>
        <v>860966</v>
      </c>
      <c r="F1071" s="6">
        <v>1.0000000000000002E-2</v>
      </c>
      <c r="G1071" s="35">
        <f t="shared" ref="G1071:G1076" si="24">ROUND(E1071*F1071,0)</f>
        <v>8610</v>
      </c>
    </row>
    <row r="1072" spans="1:7" ht="24">
      <c r="A1072" s="3" t="s">
        <v>484</v>
      </c>
      <c r="B1072" s="3" t="s">
        <v>520</v>
      </c>
      <c r="C1072" s="3" t="s">
        <v>521</v>
      </c>
      <c r="D1072" s="3" t="s">
        <v>522</v>
      </c>
      <c r="E1072" s="262">
        <f>ROUND(INSUMOS!$E$17,0)</f>
        <v>25783</v>
      </c>
      <c r="F1072" s="6">
        <v>0</v>
      </c>
      <c r="G1072" s="35">
        <f t="shared" si="24"/>
        <v>0</v>
      </c>
    </row>
    <row r="1073" spans="1:7">
      <c r="A1073" s="3" t="s">
        <v>484</v>
      </c>
      <c r="B1073" s="3" t="s">
        <v>523</v>
      </c>
      <c r="C1073" s="3" t="s">
        <v>524</v>
      </c>
      <c r="D1073" s="3" t="s">
        <v>492</v>
      </c>
      <c r="E1073" s="262">
        <f>ROUND(INSUMOS!$E$18,0)</f>
        <v>6248</v>
      </c>
      <c r="F1073" s="6">
        <v>0.2</v>
      </c>
      <c r="G1073" s="35">
        <f t="shared" si="24"/>
        <v>1250</v>
      </c>
    </row>
    <row r="1074" spans="1:7">
      <c r="A1074" s="3" t="s">
        <v>484</v>
      </c>
      <c r="B1074" s="3" t="s">
        <v>525</v>
      </c>
      <c r="C1074" s="3" t="s">
        <v>526</v>
      </c>
      <c r="D1074" s="3" t="s">
        <v>68</v>
      </c>
      <c r="E1074" s="262">
        <f>ROUND(INSUMOS!$E$19,0)</f>
        <v>5000</v>
      </c>
      <c r="F1074" s="6">
        <v>2.5</v>
      </c>
      <c r="G1074" s="35">
        <f t="shared" si="24"/>
        <v>12500</v>
      </c>
    </row>
    <row r="1075" spans="1:7">
      <c r="A1075" s="3" t="s">
        <v>484</v>
      </c>
      <c r="B1075" s="3" t="s">
        <v>527</v>
      </c>
      <c r="C1075" s="3" t="s">
        <v>546</v>
      </c>
      <c r="D1075" s="3" t="s">
        <v>120</v>
      </c>
      <c r="E1075" s="262">
        <f>ROUND(INSUMOS!$E$20,0)</f>
        <v>9226</v>
      </c>
      <c r="F1075" s="6">
        <v>1.2</v>
      </c>
      <c r="G1075" s="35">
        <f t="shared" si="24"/>
        <v>11071</v>
      </c>
    </row>
    <row r="1076" spans="1:7">
      <c r="A1076" s="3" t="s">
        <v>484</v>
      </c>
      <c r="B1076" s="3" t="s">
        <v>505</v>
      </c>
      <c r="C1076" s="3" t="s">
        <v>506</v>
      </c>
      <c r="D1076" s="3" t="s">
        <v>68</v>
      </c>
      <c r="E1076" s="262">
        <f>ROUND(INSUMOS!$E$15,0)</f>
        <v>5500</v>
      </c>
      <c r="F1076" s="6">
        <v>2.5</v>
      </c>
      <c r="G1076" s="35">
        <f t="shared" si="24"/>
        <v>13750</v>
      </c>
    </row>
    <row r="1077" spans="1:7">
      <c r="A1077" s="402" t="s">
        <v>495</v>
      </c>
      <c r="B1077" s="402" t="s">
        <v>495</v>
      </c>
      <c r="C1077" s="402" t="s">
        <v>495</v>
      </c>
      <c r="D1077" s="402" t="s">
        <v>495</v>
      </c>
      <c r="E1077" s="403" t="s">
        <v>495</v>
      </c>
      <c r="F1077" s="402" t="s">
        <v>495</v>
      </c>
      <c r="G1077" s="55">
        <f>ROUND(SUM(G1071:G1076),0)</f>
        <v>47181</v>
      </c>
    </row>
    <row r="1078" spans="1:7">
      <c r="A1078" s="400" t="s">
        <v>496</v>
      </c>
      <c r="B1078" s="400" t="s">
        <v>496</v>
      </c>
      <c r="C1078" s="400" t="s">
        <v>496</v>
      </c>
      <c r="D1078" s="400" t="s">
        <v>496</v>
      </c>
      <c r="E1078" s="401" t="s">
        <v>496</v>
      </c>
      <c r="F1078" s="400" t="s">
        <v>496</v>
      </c>
      <c r="G1078" s="401" t="s">
        <v>496</v>
      </c>
    </row>
    <row r="1079" spans="1:7">
      <c r="A1079" s="3" t="s">
        <v>496</v>
      </c>
      <c r="B1079" s="3" t="s">
        <v>509</v>
      </c>
      <c r="C1079" s="3" t="s">
        <v>510</v>
      </c>
      <c r="D1079" s="3" t="s">
        <v>478</v>
      </c>
      <c r="E1079" s="262">
        <f>ROUND('MANO DE OBRA'!$E$12,0)</f>
        <v>177075</v>
      </c>
      <c r="F1079" s="6">
        <v>0.19</v>
      </c>
      <c r="G1079" s="35">
        <f>ROUND(E1079*F1079,0)</f>
        <v>33644</v>
      </c>
    </row>
    <row r="1080" spans="1:7">
      <c r="A1080" s="3" t="s">
        <v>496</v>
      </c>
      <c r="B1080" s="3" t="s">
        <v>501</v>
      </c>
      <c r="C1080" s="3" t="s">
        <v>502</v>
      </c>
      <c r="D1080" s="3" t="s">
        <v>478</v>
      </c>
      <c r="E1080" s="262">
        <f>ROUND('MANO DE OBRA'!$E$11,0)</f>
        <v>107973</v>
      </c>
      <c r="F1080" s="6">
        <v>0.19</v>
      </c>
      <c r="G1080" s="35">
        <f>ROUND(E1080*F1080,0)</f>
        <v>20515</v>
      </c>
    </row>
    <row r="1081" spans="1:7" ht="12.75" thickBot="1">
      <c r="A1081" s="402" t="s">
        <v>503</v>
      </c>
      <c r="B1081" s="402" t="s">
        <v>503</v>
      </c>
      <c r="C1081" s="402" t="s">
        <v>503</v>
      </c>
      <c r="D1081" s="402" t="s">
        <v>503</v>
      </c>
      <c r="E1081" s="403" t="s">
        <v>503</v>
      </c>
      <c r="F1081" s="402" t="s">
        <v>503</v>
      </c>
      <c r="G1081" s="55">
        <f>ROUND(SUM(G1079:G1080),0)</f>
        <v>54159</v>
      </c>
    </row>
    <row r="1082" spans="1:7" ht="12.75" thickBot="1">
      <c r="A1082" s="404" t="s">
        <v>60</v>
      </c>
      <c r="B1082" s="405" t="s">
        <v>504</v>
      </c>
      <c r="C1082" s="405" t="s">
        <v>504</v>
      </c>
      <c r="D1082" s="405" t="s">
        <v>504</v>
      </c>
      <c r="E1082" s="406" t="s">
        <v>504</v>
      </c>
      <c r="F1082" s="8"/>
      <c r="G1082" s="56">
        <f>ROUND(SUM(G1069,G1077,G1081),0)</f>
        <v>111548</v>
      </c>
    </row>
    <row r="1083" spans="1:7">
      <c r="A1083" s="1"/>
      <c r="B1083" s="1"/>
      <c r="C1083" s="1"/>
      <c r="D1083" s="1"/>
      <c r="E1083" s="52"/>
      <c r="F1083" s="1"/>
      <c r="G1083" s="52"/>
    </row>
    <row r="1084" spans="1:7" ht="42" customHeight="1">
      <c r="A1084" s="5" t="s">
        <v>409</v>
      </c>
      <c r="B1084" s="5" t="s">
        <v>197</v>
      </c>
      <c r="C1084" s="407" t="s">
        <v>198</v>
      </c>
      <c r="D1084" s="407"/>
      <c r="E1084" s="408"/>
      <c r="F1084" s="407"/>
      <c r="G1084" s="53" t="s">
        <v>65</v>
      </c>
    </row>
    <row r="1085" spans="1:7">
      <c r="A1085" s="2" t="s">
        <v>470</v>
      </c>
      <c r="B1085" s="2" t="s">
        <v>471</v>
      </c>
      <c r="C1085" s="2" t="s">
        <v>4</v>
      </c>
      <c r="D1085" s="2" t="s">
        <v>58</v>
      </c>
      <c r="E1085" s="54" t="s">
        <v>472</v>
      </c>
      <c r="F1085" s="2" t="s">
        <v>473</v>
      </c>
      <c r="G1085" s="54" t="s">
        <v>264</v>
      </c>
    </row>
    <row r="1086" spans="1:7">
      <c r="A1086" s="400" t="s">
        <v>474</v>
      </c>
      <c r="B1086" s="400" t="s">
        <v>474</v>
      </c>
      <c r="C1086" s="400" t="s">
        <v>474</v>
      </c>
      <c r="D1086" s="400" t="s">
        <v>474</v>
      </c>
      <c r="E1086" s="401" t="s">
        <v>474</v>
      </c>
      <c r="F1086" s="400" t="s">
        <v>474</v>
      </c>
      <c r="G1086" s="401" t="s">
        <v>474</v>
      </c>
    </row>
    <row r="1087" spans="1:7">
      <c r="A1087" s="3" t="s">
        <v>475</v>
      </c>
      <c r="B1087" s="3" t="s">
        <v>513</v>
      </c>
      <c r="C1087" s="3" t="s">
        <v>514</v>
      </c>
      <c r="D1087" s="3" t="s">
        <v>478</v>
      </c>
      <c r="E1087" s="262">
        <f>ROUND(EQUIPOS!$E$9,0)</f>
        <v>87000</v>
      </c>
      <c r="F1087" s="6">
        <v>0</v>
      </c>
      <c r="G1087" s="35">
        <f>ROUND(E1087*F1087,0)</f>
        <v>0</v>
      </c>
    </row>
    <row r="1088" spans="1:7">
      <c r="A1088" s="3" t="s">
        <v>475</v>
      </c>
      <c r="B1088" s="3" t="s">
        <v>479</v>
      </c>
      <c r="C1088" s="3" t="s">
        <v>480</v>
      </c>
      <c r="D1088" s="3" t="s">
        <v>481</v>
      </c>
      <c r="E1088" s="262">
        <f>ROUND($G$1100,0)</f>
        <v>37056</v>
      </c>
      <c r="F1088" s="7">
        <v>0.05</v>
      </c>
      <c r="G1088" s="35">
        <f>ROUND(E1088*F1088,0)</f>
        <v>1853</v>
      </c>
    </row>
    <row r="1089" spans="1:7">
      <c r="A1089" s="402" t="s">
        <v>482</v>
      </c>
      <c r="B1089" s="402" t="s">
        <v>482</v>
      </c>
      <c r="C1089" s="402" t="s">
        <v>482</v>
      </c>
      <c r="D1089" s="402" t="s">
        <v>482</v>
      </c>
      <c r="E1089" s="403" t="s">
        <v>482</v>
      </c>
      <c r="F1089" s="402" t="s">
        <v>482</v>
      </c>
      <c r="G1089" s="55">
        <f>ROUND(SUM(G1087:G1088),0)</f>
        <v>1853</v>
      </c>
    </row>
    <row r="1090" spans="1:7">
      <c r="A1090" s="400" t="s">
        <v>483</v>
      </c>
      <c r="B1090" s="400" t="s">
        <v>483</v>
      </c>
      <c r="C1090" s="400" t="s">
        <v>483</v>
      </c>
      <c r="D1090" s="400" t="s">
        <v>483</v>
      </c>
      <c r="E1090" s="401" t="s">
        <v>483</v>
      </c>
      <c r="F1090" s="400" t="s">
        <v>483</v>
      </c>
      <c r="G1090" s="401" t="s">
        <v>483</v>
      </c>
    </row>
    <row r="1091" spans="1:7">
      <c r="A1091" s="3" t="s">
        <v>484</v>
      </c>
      <c r="B1091" s="3" t="s">
        <v>518</v>
      </c>
      <c r="C1091" s="3" t="s">
        <v>519</v>
      </c>
      <c r="D1091" s="3" t="s">
        <v>72</v>
      </c>
      <c r="E1091" s="262">
        <f>ROUND(APA!$G$137,0)</f>
        <v>860966</v>
      </c>
      <c r="F1091" s="6">
        <v>0.1</v>
      </c>
      <c r="G1091" s="35">
        <f>ROUND(E1091*F1091,0)</f>
        <v>86097</v>
      </c>
    </row>
    <row r="1092" spans="1:7" ht="24">
      <c r="A1092" s="3" t="s">
        <v>484</v>
      </c>
      <c r="B1092" s="3" t="s">
        <v>520</v>
      </c>
      <c r="C1092" s="3" t="s">
        <v>521</v>
      </c>
      <c r="D1092" s="3" t="s">
        <v>522</v>
      </c>
      <c r="E1092" s="262">
        <f>ROUND(INSUMOS!$E$17,0)</f>
        <v>25783</v>
      </c>
      <c r="F1092" s="6">
        <v>0.15</v>
      </c>
      <c r="G1092" s="35">
        <f>ROUND(E1092*F1092,0)</f>
        <v>3867</v>
      </c>
    </row>
    <row r="1093" spans="1:7">
      <c r="A1093" s="3" t="s">
        <v>484</v>
      </c>
      <c r="B1093" s="3" t="s">
        <v>523</v>
      </c>
      <c r="C1093" s="3" t="s">
        <v>524</v>
      </c>
      <c r="D1093" s="3" t="s">
        <v>492</v>
      </c>
      <c r="E1093" s="262">
        <f>ROUND(INSUMOS!$E$18,0)</f>
        <v>6248</v>
      </c>
      <c r="F1093" s="6">
        <v>0.02</v>
      </c>
      <c r="G1093" s="35">
        <f>ROUND(E1093*F1093,0)</f>
        <v>125</v>
      </c>
    </row>
    <row r="1094" spans="1:7">
      <c r="A1094" s="3" t="s">
        <v>484</v>
      </c>
      <c r="B1094" s="3" t="s">
        <v>530</v>
      </c>
      <c r="C1094" s="3" t="s">
        <v>531</v>
      </c>
      <c r="D1094" s="3" t="s">
        <v>68</v>
      </c>
      <c r="E1094" s="262">
        <f>ROUND(INSUMOS!$E$21,0)</f>
        <v>9917</v>
      </c>
      <c r="F1094" s="6">
        <v>0.4</v>
      </c>
      <c r="G1094" s="35">
        <f>ROUND(E1094*F1094,0)</f>
        <v>3967</v>
      </c>
    </row>
    <row r="1095" spans="1:7">
      <c r="A1095" s="3" t="s">
        <v>484</v>
      </c>
      <c r="B1095" s="3" t="s">
        <v>532</v>
      </c>
      <c r="C1095" s="3" t="s">
        <v>533</v>
      </c>
      <c r="D1095" s="3" t="s">
        <v>68</v>
      </c>
      <c r="E1095" s="262">
        <f>ROUND(INSUMOS!$E$22,0)</f>
        <v>2643</v>
      </c>
      <c r="F1095" s="6">
        <v>0.3</v>
      </c>
      <c r="G1095" s="35">
        <f>ROUND(E1095*F1095,0)</f>
        <v>793</v>
      </c>
    </row>
    <row r="1096" spans="1:7">
      <c r="A1096" s="402" t="s">
        <v>495</v>
      </c>
      <c r="B1096" s="402" t="s">
        <v>495</v>
      </c>
      <c r="C1096" s="402" t="s">
        <v>495</v>
      </c>
      <c r="D1096" s="402" t="s">
        <v>495</v>
      </c>
      <c r="E1096" s="403" t="s">
        <v>495</v>
      </c>
      <c r="F1096" s="402" t="s">
        <v>495</v>
      </c>
      <c r="G1096" s="55">
        <f>ROUND(SUM(G1091:G1095),0)</f>
        <v>94849</v>
      </c>
    </row>
    <row r="1097" spans="1:7">
      <c r="A1097" s="400" t="s">
        <v>496</v>
      </c>
      <c r="B1097" s="400" t="s">
        <v>496</v>
      </c>
      <c r="C1097" s="400" t="s">
        <v>496</v>
      </c>
      <c r="D1097" s="400" t="s">
        <v>496</v>
      </c>
      <c r="E1097" s="401" t="s">
        <v>496</v>
      </c>
      <c r="F1097" s="400" t="s">
        <v>496</v>
      </c>
      <c r="G1097" s="401" t="s">
        <v>496</v>
      </c>
    </row>
    <row r="1098" spans="1:7">
      <c r="A1098" s="3" t="s">
        <v>496</v>
      </c>
      <c r="B1098" s="3" t="s">
        <v>509</v>
      </c>
      <c r="C1098" s="3" t="s">
        <v>510</v>
      </c>
      <c r="D1098" s="3" t="s">
        <v>478</v>
      </c>
      <c r="E1098" s="262">
        <f>ROUND('MANO DE OBRA'!$E$12,0)</f>
        <v>177075</v>
      </c>
      <c r="F1098" s="6">
        <v>0.13</v>
      </c>
      <c r="G1098" s="35">
        <f>ROUND(E1098*F1098,0)</f>
        <v>23020</v>
      </c>
    </row>
    <row r="1099" spans="1:7">
      <c r="A1099" s="3" t="s">
        <v>496</v>
      </c>
      <c r="B1099" s="3" t="s">
        <v>501</v>
      </c>
      <c r="C1099" s="3" t="s">
        <v>502</v>
      </c>
      <c r="D1099" s="3" t="s">
        <v>478</v>
      </c>
      <c r="E1099" s="262">
        <f>ROUND('MANO DE OBRA'!$E$11,0)</f>
        <v>107973</v>
      </c>
      <c r="F1099" s="6">
        <v>0.13</v>
      </c>
      <c r="G1099" s="35">
        <f>ROUND(E1099*F1099,0)</f>
        <v>14036</v>
      </c>
    </row>
    <row r="1100" spans="1:7" ht="12.75" thickBot="1">
      <c r="A1100" s="402" t="s">
        <v>503</v>
      </c>
      <c r="B1100" s="402" t="s">
        <v>503</v>
      </c>
      <c r="C1100" s="402" t="s">
        <v>503</v>
      </c>
      <c r="D1100" s="402" t="s">
        <v>503</v>
      </c>
      <c r="E1100" s="403" t="s">
        <v>503</v>
      </c>
      <c r="F1100" s="402" t="s">
        <v>503</v>
      </c>
      <c r="G1100" s="55">
        <f>ROUND(SUM(G1098:G1099),0)</f>
        <v>37056</v>
      </c>
    </row>
    <row r="1101" spans="1:7" ht="12.75" thickBot="1">
      <c r="A1101" s="404" t="s">
        <v>60</v>
      </c>
      <c r="B1101" s="405" t="s">
        <v>504</v>
      </c>
      <c r="C1101" s="405" t="s">
        <v>504</v>
      </c>
      <c r="D1101" s="405" t="s">
        <v>504</v>
      </c>
      <c r="E1101" s="406" t="s">
        <v>504</v>
      </c>
      <c r="F1101" s="8"/>
      <c r="G1101" s="56">
        <f>ROUND(SUM(G1089,G1096,G1100),0)</f>
        <v>133758</v>
      </c>
    </row>
    <row r="1102" spans="1:7">
      <c r="A1102" s="1"/>
      <c r="B1102" s="1"/>
      <c r="C1102" s="1"/>
      <c r="D1102" s="1"/>
      <c r="E1102" s="52"/>
      <c r="F1102" s="1"/>
      <c r="G1102" s="52"/>
    </row>
    <row r="1103" spans="1:7" ht="42" customHeight="1">
      <c r="A1103" s="5" t="s">
        <v>411</v>
      </c>
      <c r="B1103" s="5" t="s">
        <v>118</v>
      </c>
      <c r="C1103" s="407" t="s">
        <v>127</v>
      </c>
      <c r="D1103" s="407"/>
      <c r="E1103" s="408"/>
      <c r="F1103" s="407"/>
      <c r="G1103" s="53" t="s">
        <v>65</v>
      </c>
    </row>
    <row r="1104" spans="1:7">
      <c r="A1104" s="2" t="s">
        <v>470</v>
      </c>
      <c r="B1104" s="2" t="s">
        <v>471</v>
      </c>
      <c r="C1104" s="2" t="s">
        <v>4</v>
      </c>
      <c r="D1104" s="2" t="s">
        <v>58</v>
      </c>
      <c r="E1104" s="54" t="s">
        <v>472</v>
      </c>
      <c r="F1104" s="2" t="s">
        <v>473</v>
      </c>
      <c r="G1104" s="54" t="s">
        <v>264</v>
      </c>
    </row>
    <row r="1105" spans="1:7">
      <c r="A1105" s="400" t="s">
        <v>474</v>
      </c>
      <c r="B1105" s="400" t="s">
        <v>474</v>
      </c>
      <c r="C1105" s="400" t="s">
        <v>474</v>
      </c>
      <c r="D1105" s="400" t="s">
        <v>474</v>
      </c>
      <c r="E1105" s="401" t="s">
        <v>474</v>
      </c>
      <c r="F1105" s="400" t="s">
        <v>474</v>
      </c>
      <c r="G1105" s="401" t="s">
        <v>474</v>
      </c>
    </row>
    <row r="1106" spans="1:7">
      <c r="A1106" s="3" t="s">
        <v>475</v>
      </c>
      <c r="B1106" s="3" t="s">
        <v>479</v>
      </c>
      <c r="C1106" s="3" t="s">
        <v>480</v>
      </c>
      <c r="D1106" s="3" t="s">
        <v>481</v>
      </c>
      <c r="E1106" s="262">
        <f>ROUND($G$1115,0)</f>
        <v>17103</v>
      </c>
      <c r="F1106" s="7">
        <v>0.05</v>
      </c>
      <c r="G1106" s="35">
        <f>ROUND(E1106*F1106,0)</f>
        <v>855</v>
      </c>
    </row>
    <row r="1107" spans="1:7">
      <c r="A1107" s="402" t="s">
        <v>482</v>
      </c>
      <c r="B1107" s="402" t="s">
        <v>482</v>
      </c>
      <c r="C1107" s="402" t="s">
        <v>482</v>
      </c>
      <c r="D1107" s="402" t="s">
        <v>482</v>
      </c>
      <c r="E1107" s="403" t="s">
        <v>482</v>
      </c>
      <c r="F1107" s="402" t="s">
        <v>482</v>
      </c>
      <c r="G1107" s="55">
        <f>ROUND(SUM(G1106:G1106),0)</f>
        <v>855</v>
      </c>
    </row>
    <row r="1108" spans="1:7">
      <c r="A1108" s="400" t="s">
        <v>483</v>
      </c>
      <c r="B1108" s="400" t="s">
        <v>483</v>
      </c>
      <c r="C1108" s="400" t="s">
        <v>483</v>
      </c>
      <c r="D1108" s="400" t="s">
        <v>483</v>
      </c>
      <c r="E1108" s="401" t="s">
        <v>483</v>
      </c>
      <c r="F1108" s="400" t="s">
        <v>483</v>
      </c>
      <c r="G1108" s="401" t="s">
        <v>483</v>
      </c>
    </row>
    <row r="1109" spans="1:7">
      <c r="A1109" s="3" t="s">
        <v>484</v>
      </c>
      <c r="B1109" s="3" t="s">
        <v>553</v>
      </c>
      <c r="C1109" s="3" t="s">
        <v>554</v>
      </c>
      <c r="D1109" s="3" t="s">
        <v>72</v>
      </c>
      <c r="E1109" s="262">
        <f>ROUND(APA!$G$68,0)</f>
        <v>861540</v>
      </c>
      <c r="F1109" s="6">
        <v>2.1000000000000001E-2</v>
      </c>
      <c r="G1109" s="35">
        <f>ROUND(E1109*F1109,0)</f>
        <v>18092</v>
      </c>
    </row>
    <row r="1110" spans="1:7">
      <c r="A1110" s="3" t="s">
        <v>484</v>
      </c>
      <c r="B1110" s="3" t="s">
        <v>555</v>
      </c>
      <c r="C1110" s="3" t="s">
        <v>556</v>
      </c>
      <c r="D1110" s="3" t="s">
        <v>103</v>
      </c>
      <c r="E1110" s="262">
        <f>ROUND(INSUMOS!$E$31,0)</f>
        <v>2202</v>
      </c>
      <c r="F1110" s="6">
        <v>13.5</v>
      </c>
      <c r="G1110" s="35">
        <f>ROUND(E1110*F1110,0)</f>
        <v>29727</v>
      </c>
    </row>
    <row r="1111" spans="1:7">
      <c r="A1111" s="402" t="s">
        <v>495</v>
      </c>
      <c r="B1111" s="402" t="s">
        <v>495</v>
      </c>
      <c r="C1111" s="402" t="s">
        <v>495</v>
      </c>
      <c r="D1111" s="402" t="s">
        <v>495</v>
      </c>
      <c r="E1111" s="403" t="s">
        <v>495</v>
      </c>
      <c r="F1111" s="402" t="s">
        <v>495</v>
      </c>
      <c r="G1111" s="55">
        <f>ROUND(SUM(G1109:G1110),0)</f>
        <v>47819</v>
      </c>
    </row>
    <row r="1112" spans="1:7">
      <c r="A1112" s="400" t="s">
        <v>496</v>
      </c>
      <c r="B1112" s="400" t="s">
        <v>496</v>
      </c>
      <c r="C1112" s="400" t="s">
        <v>496</v>
      </c>
      <c r="D1112" s="400" t="s">
        <v>496</v>
      </c>
      <c r="E1112" s="401" t="s">
        <v>496</v>
      </c>
      <c r="F1112" s="400" t="s">
        <v>496</v>
      </c>
      <c r="G1112" s="401" t="s">
        <v>496</v>
      </c>
    </row>
    <row r="1113" spans="1:7">
      <c r="A1113" s="3" t="s">
        <v>496</v>
      </c>
      <c r="B1113" s="3" t="s">
        <v>509</v>
      </c>
      <c r="C1113" s="3" t="s">
        <v>510</v>
      </c>
      <c r="D1113" s="3" t="s">
        <v>478</v>
      </c>
      <c r="E1113" s="262">
        <f>ROUND('MANO DE OBRA'!$E$12,0)</f>
        <v>177075</v>
      </c>
      <c r="F1113" s="6">
        <v>0.06</v>
      </c>
      <c r="G1113" s="35">
        <f>ROUND(E1113*F1113,0)</f>
        <v>10625</v>
      </c>
    </row>
    <row r="1114" spans="1:7">
      <c r="A1114" s="3" t="s">
        <v>496</v>
      </c>
      <c r="B1114" s="3" t="s">
        <v>501</v>
      </c>
      <c r="C1114" s="3" t="s">
        <v>502</v>
      </c>
      <c r="D1114" s="3" t="s">
        <v>478</v>
      </c>
      <c r="E1114" s="262">
        <f>ROUND('MANO DE OBRA'!$E$11,0)</f>
        <v>107973</v>
      </c>
      <c r="F1114" s="6">
        <v>0.06</v>
      </c>
      <c r="G1114" s="35">
        <f>ROUND(E1114*F1114,0)</f>
        <v>6478</v>
      </c>
    </row>
    <row r="1115" spans="1:7" ht="12.75" thickBot="1">
      <c r="A1115" s="402" t="s">
        <v>503</v>
      </c>
      <c r="B1115" s="402" t="s">
        <v>503</v>
      </c>
      <c r="C1115" s="402" t="s">
        <v>503</v>
      </c>
      <c r="D1115" s="402" t="s">
        <v>503</v>
      </c>
      <c r="E1115" s="403" t="s">
        <v>503</v>
      </c>
      <c r="F1115" s="402" t="s">
        <v>503</v>
      </c>
      <c r="G1115" s="55">
        <f>ROUND(SUM(G1113:G1114),0)</f>
        <v>17103</v>
      </c>
    </row>
    <row r="1116" spans="1:7" ht="12.75" thickBot="1">
      <c r="A1116" s="404" t="s">
        <v>60</v>
      </c>
      <c r="B1116" s="405" t="s">
        <v>504</v>
      </c>
      <c r="C1116" s="405" t="s">
        <v>504</v>
      </c>
      <c r="D1116" s="405" t="s">
        <v>504</v>
      </c>
      <c r="E1116" s="406" t="s">
        <v>504</v>
      </c>
      <c r="F1116" s="8"/>
      <c r="G1116" s="56">
        <f>ROUND(SUM(G1107,G1111,G1115),0)</f>
        <v>65777</v>
      </c>
    </row>
    <row r="1117" spans="1:7">
      <c r="A1117" s="1"/>
      <c r="B1117" s="1"/>
      <c r="C1117" s="1"/>
      <c r="D1117" s="1"/>
      <c r="E1117" s="52"/>
      <c r="F1117" s="1"/>
      <c r="G1117" s="52"/>
    </row>
    <row r="1118" spans="1:7" ht="42" customHeight="1">
      <c r="A1118" s="5" t="s">
        <v>417</v>
      </c>
      <c r="B1118" s="5" t="s">
        <v>121</v>
      </c>
      <c r="C1118" s="407" t="s">
        <v>131</v>
      </c>
      <c r="D1118" s="407"/>
      <c r="E1118" s="408"/>
      <c r="F1118" s="407"/>
      <c r="G1118" s="53" t="s">
        <v>65</v>
      </c>
    </row>
    <row r="1119" spans="1:7">
      <c r="A1119" s="2" t="s">
        <v>470</v>
      </c>
      <c r="B1119" s="2" t="s">
        <v>471</v>
      </c>
      <c r="C1119" s="2" t="s">
        <v>4</v>
      </c>
      <c r="D1119" s="2" t="s">
        <v>58</v>
      </c>
      <c r="E1119" s="54" t="s">
        <v>472</v>
      </c>
      <c r="F1119" s="2" t="s">
        <v>473</v>
      </c>
      <c r="G1119" s="54" t="s">
        <v>264</v>
      </c>
    </row>
    <row r="1120" spans="1:7">
      <c r="A1120" s="400" t="s">
        <v>474</v>
      </c>
      <c r="B1120" s="400" t="s">
        <v>474</v>
      </c>
      <c r="C1120" s="400" t="s">
        <v>474</v>
      </c>
      <c r="D1120" s="400" t="s">
        <v>474</v>
      </c>
      <c r="E1120" s="401" t="s">
        <v>474</v>
      </c>
      <c r="F1120" s="400" t="s">
        <v>474</v>
      </c>
      <c r="G1120" s="401" t="s">
        <v>474</v>
      </c>
    </row>
    <row r="1121" spans="1:7">
      <c r="A1121" s="3" t="s">
        <v>475</v>
      </c>
      <c r="B1121" s="3" t="s">
        <v>479</v>
      </c>
      <c r="C1121" s="3" t="s">
        <v>480</v>
      </c>
      <c r="D1121" s="3" t="s">
        <v>481</v>
      </c>
      <c r="E1121" s="262">
        <f>ROUND($G$1130,0)</f>
        <v>28505</v>
      </c>
      <c r="F1121" s="7">
        <v>0.05</v>
      </c>
      <c r="G1121" s="35">
        <f>ROUND(E1121*F1121,0)</f>
        <v>1425</v>
      </c>
    </row>
    <row r="1122" spans="1:7">
      <c r="A1122" s="402" t="s">
        <v>482</v>
      </c>
      <c r="B1122" s="402" t="s">
        <v>482</v>
      </c>
      <c r="C1122" s="402" t="s">
        <v>482</v>
      </c>
      <c r="D1122" s="402" t="s">
        <v>482</v>
      </c>
      <c r="E1122" s="403" t="s">
        <v>482</v>
      </c>
      <c r="F1122" s="402" t="s">
        <v>482</v>
      </c>
      <c r="G1122" s="55">
        <f>ROUND(SUM(G1121:G1121),0)</f>
        <v>1425</v>
      </c>
    </row>
    <row r="1123" spans="1:7">
      <c r="A1123" s="400" t="s">
        <v>483</v>
      </c>
      <c r="B1123" s="400" t="s">
        <v>483</v>
      </c>
      <c r="C1123" s="400" t="s">
        <v>483</v>
      </c>
      <c r="D1123" s="400" t="s">
        <v>483</v>
      </c>
      <c r="E1123" s="401" t="s">
        <v>483</v>
      </c>
      <c r="F1123" s="400" t="s">
        <v>483</v>
      </c>
      <c r="G1123" s="401" t="s">
        <v>483</v>
      </c>
    </row>
    <row r="1124" spans="1:7">
      <c r="A1124" s="3" t="s">
        <v>484</v>
      </c>
      <c r="B1124" s="3" t="s">
        <v>559</v>
      </c>
      <c r="C1124" s="3" t="s">
        <v>560</v>
      </c>
      <c r="D1124" s="3" t="s">
        <v>72</v>
      </c>
      <c r="E1124" s="262">
        <f>ROUND(APA!$G$47,0)</f>
        <v>863726</v>
      </c>
      <c r="F1124" s="6">
        <v>8.2000000000000007E-3</v>
      </c>
      <c r="G1124" s="35">
        <f>ROUND(E1124*F1124,0)</f>
        <v>7083</v>
      </c>
    </row>
    <row r="1125" spans="1:7">
      <c r="A1125" s="3" t="s">
        <v>484</v>
      </c>
      <c r="B1125" s="3" t="s">
        <v>561</v>
      </c>
      <c r="C1125" s="3" t="s">
        <v>562</v>
      </c>
      <c r="D1125" s="3" t="s">
        <v>103</v>
      </c>
      <c r="E1125" s="262">
        <f>ROUND(INSUMOS!$E$33,0)</f>
        <v>4165</v>
      </c>
      <c r="F1125" s="6">
        <v>21</v>
      </c>
      <c r="G1125" s="35">
        <f>ROUND(E1125*F1125,0)</f>
        <v>87465</v>
      </c>
    </row>
    <row r="1126" spans="1:7">
      <c r="A1126" s="402" t="s">
        <v>495</v>
      </c>
      <c r="B1126" s="402" t="s">
        <v>495</v>
      </c>
      <c r="C1126" s="402" t="s">
        <v>495</v>
      </c>
      <c r="D1126" s="402" t="s">
        <v>495</v>
      </c>
      <c r="E1126" s="403" t="s">
        <v>495</v>
      </c>
      <c r="F1126" s="402" t="s">
        <v>495</v>
      </c>
      <c r="G1126" s="55">
        <f>ROUND(SUM(G1124:G1125),0)</f>
        <v>94548</v>
      </c>
    </row>
    <row r="1127" spans="1:7">
      <c r="A1127" s="400" t="s">
        <v>496</v>
      </c>
      <c r="B1127" s="400" t="s">
        <v>496</v>
      </c>
      <c r="C1127" s="400" t="s">
        <v>496</v>
      </c>
      <c r="D1127" s="400" t="s">
        <v>496</v>
      </c>
      <c r="E1127" s="401" t="s">
        <v>496</v>
      </c>
      <c r="F1127" s="400" t="s">
        <v>496</v>
      </c>
      <c r="G1127" s="401" t="s">
        <v>496</v>
      </c>
    </row>
    <row r="1128" spans="1:7">
      <c r="A1128" s="3" t="s">
        <v>496</v>
      </c>
      <c r="B1128" s="3" t="s">
        <v>509</v>
      </c>
      <c r="C1128" s="3" t="s">
        <v>510</v>
      </c>
      <c r="D1128" s="3" t="s">
        <v>478</v>
      </c>
      <c r="E1128" s="262">
        <f>ROUND('MANO DE OBRA'!$E$12,0)</f>
        <v>177075</v>
      </c>
      <c r="F1128" s="6">
        <v>0.1</v>
      </c>
      <c r="G1128" s="35">
        <f>ROUND(E1128*F1128,0)</f>
        <v>17708</v>
      </c>
    </row>
    <row r="1129" spans="1:7">
      <c r="A1129" s="3" t="s">
        <v>496</v>
      </c>
      <c r="B1129" s="3" t="s">
        <v>501</v>
      </c>
      <c r="C1129" s="3" t="s">
        <v>502</v>
      </c>
      <c r="D1129" s="3" t="s">
        <v>478</v>
      </c>
      <c r="E1129" s="262">
        <f>ROUND('MANO DE OBRA'!$E$11,0)</f>
        <v>107973</v>
      </c>
      <c r="F1129" s="6">
        <v>0.1</v>
      </c>
      <c r="G1129" s="35">
        <f>ROUND(E1129*F1129,0)</f>
        <v>10797</v>
      </c>
    </row>
    <row r="1130" spans="1:7" ht="12.75" thickBot="1">
      <c r="A1130" s="402" t="s">
        <v>503</v>
      </c>
      <c r="B1130" s="402" t="s">
        <v>503</v>
      </c>
      <c r="C1130" s="402" t="s">
        <v>503</v>
      </c>
      <c r="D1130" s="402" t="s">
        <v>503</v>
      </c>
      <c r="E1130" s="403" t="s">
        <v>503</v>
      </c>
      <c r="F1130" s="402" t="s">
        <v>503</v>
      </c>
      <c r="G1130" s="55">
        <f>ROUND(SUM(G1128:G1129),0)</f>
        <v>28505</v>
      </c>
    </row>
    <row r="1131" spans="1:7" ht="12.75" thickBot="1">
      <c r="A1131" s="404" t="s">
        <v>60</v>
      </c>
      <c r="B1131" s="405" t="s">
        <v>504</v>
      </c>
      <c r="C1131" s="405" t="s">
        <v>504</v>
      </c>
      <c r="D1131" s="405" t="s">
        <v>504</v>
      </c>
      <c r="E1131" s="406" t="s">
        <v>504</v>
      </c>
      <c r="F1131" s="8"/>
      <c r="G1131" s="56">
        <f>ROUND(SUM(G1122,G1126,G1130),0)</f>
        <v>124478</v>
      </c>
    </row>
    <row r="1132" spans="1:7">
      <c r="A1132" s="1"/>
      <c r="B1132" s="1"/>
      <c r="C1132" s="1"/>
      <c r="D1132" s="1"/>
      <c r="E1132" s="52"/>
      <c r="F1132" s="1"/>
      <c r="G1132" s="52"/>
    </row>
    <row r="1133" spans="1:7" ht="42" customHeight="1">
      <c r="A1133" s="5" t="s">
        <v>419</v>
      </c>
      <c r="B1133" s="5" t="s">
        <v>200</v>
      </c>
      <c r="C1133" s="407" t="s">
        <v>133</v>
      </c>
      <c r="D1133" s="407"/>
      <c r="E1133" s="408"/>
      <c r="F1133" s="407"/>
      <c r="G1133" s="53" t="s">
        <v>65</v>
      </c>
    </row>
    <row r="1134" spans="1:7">
      <c r="A1134" s="2" t="s">
        <v>470</v>
      </c>
      <c r="B1134" s="2" t="s">
        <v>471</v>
      </c>
      <c r="C1134" s="2" t="s">
        <v>4</v>
      </c>
      <c r="D1134" s="2" t="s">
        <v>58</v>
      </c>
      <c r="E1134" s="54" t="s">
        <v>472</v>
      </c>
      <c r="F1134" s="2" t="s">
        <v>473</v>
      </c>
      <c r="G1134" s="54" t="s">
        <v>264</v>
      </c>
    </row>
    <row r="1135" spans="1:7">
      <c r="A1135" s="400" t="s">
        <v>474</v>
      </c>
      <c r="B1135" s="400" t="s">
        <v>474</v>
      </c>
      <c r="C1135" s="400" t="s">
        <v>474</v>
      </c>
      <c r="D1135" s="400" t="s">
        <v>474</v>
      </c>
      <c r="E1135" s="401" t="s">
        <v>474</v>
      </c>
      <c r="F1135" s="400" t="s">
        <v>474</v>
      </c>
      <c r="G1135" s="401" t="s">
        <v>474</v>
      </c>
    </row>
    <row r="1136" spans="1:7">
      <c r="A1136" s="3" t="s">
        <v>475</v>
      </c>
      <c r="B1136" s="3" t="s">
        <v>479</v>
      </c>
      <c r="C1136" s="3" t="s">
        <v>480</v>
      </c>
      <c r="D1136" s="3" t="s">
        <v>481</v>
      </c>
      <c r="E1136" s="262">
        <f>ROUND($G$1144,0)</f>
        <v>19953</v>
      </c>
      <c r="F1136" s="7">
        <v>0.05</v>
      </c>
      <c r="G1136" s="35">
        <f>ROUND(E1136*F1136,0)</f>
        <v>998</v>
      </c>
    </row>
    <row r="1137" spans="1:7">
      <c r="A1137" s="402" t="s">
        <v>482</v>
      </c>
      <c r="B1137" s="402" t="s">
        <v>482</v>
      </c>
      <c r="C1137" s="402" t="s">
        <v>482</v>
      </c>
      <c r="D1137" s="402" t="s">
        <v>482</v>
      </c>
      <c r="E1137" s="403" t="s">
        <v>482</v>
      </c>
      <c r="F1137" s="402" t="s">
        <v>482</v>
      </c>
      <c r="G1137" s="55">
        <f>ROUND(SUM(G1136:G1136),0)</f>
        <v>998</v>
      </c>
    </row>
    <row r="1138" spans="1:7">
      <c r="A1138" s="400" t="s">
        <v>483</v>
      </c>
      <c r="B1138" s="400" t="s">
        <v>483</v>
      </c>
      <c r="C1138" s="400" t="s">
        <v>483</v>
      </c>
      <c r="D1138" s="400" t="s">
        <v>483</v>
      </c>
      <c r="E1138" s="401" t="s">
        <v>483</v>
      </c>
      <c r="F1138" s="400" t="s">
        <v>483</v>
      </c>
      <c r="G1138" s="401" t="s">
        <v>483</v>
      </c>
    </row>
    <row r="1139" spans="1:7">
      <c r="A1139" s="3" t="s">
        <v>484</v>
      </c>
      <c r="B1139" s="3" t="s">
        <v>553</v>
      </c>
      <c r="C1139" s="3" t="s">
        <v>554</v>
      </c>
      <c r="D1139" s="3" t="s">
        <v>72</v>
      </c>
      <c r="E1139" s="262">
        <f>ROUND(APA!$G$68,0)</f>
        <v>861540</v>
      </c>
      <c r="F1139" s="6">
        <v>2.1000000000000001E-2</v>
      </c>
      <c r="G1139" s="35">
        <f>ROUND(E1139*F1139,0)</f>
        <v>18092</v>
      </c>
    </row>
    <row r="1140" spans="1:7">
      <c r="A1140" s="402" t="s">
        <v>495</v>
      </c>
      <c r="B1140" s="402" t="s">
        <v>495</v>
      </c>
      <c r="C1140" s="402" t="s">
        <v>495</v>
      </c>
      <c r="D1140" s="402" t="s">
        <v>495</v>
      </c>
      <c r="E1140" s="403" t="s">
        <v>495</v>
      </c>
      <c r="F1140" s="402" t="s">
        <v>495</v>
      </c>
      <c r="G1140" s="55">
        <f>ROUND(SUM(G1139:G1139),0)</f>
        <v>18092</v>
      </c>
    </row>
    <row r="1141" spans="1:7">
      <c r="A1141" s="400" t="s">
        <v>496</v>
      </c>
      <c r="B1141" s="400" t="s">
        <v>496</v>
      </c>
      <c r="C1141" s="400" t="s">
        <v>496</v>
      </c>
      <c r="D1141" s="400" t="s">
        <v>496</v>
      </c>
      <c r="E1141" s="401" t="s">
        <v>496</v>
      </c>
      <c r="F1141" s="400" t="s">
        <v>496</v>
      </c>
      <c r="G1141" s="401" t="s">
        <v>496</v>
      </c>
    </row>
    <row r="1142" spans="1:7">
      <c r="A1142" s="3" t="s">
        <v>496</v>
      </c>
      <c r="B1142" s="3" t="s">
        <v>509</v>
      </c>
      <c r="C1142" s="3" t="s">
        <v>510</v>
      </c>
      <c r="D1142" s="3" t="s">
        <v>478</v>
      </c>
      <c r="E1142" s="262">
        <f>ROUND('MANO DE OBRA'!$E$12,0)</f>
        <v>177075</v>
      </c>
      <c r="F1142" s="6">
        <v>7.0000000000000007E-2</v>
      </c>
      <c r="G1142" s="35">
        <f>ROUND(E1142*F1142,0)</f>
        <v>12395</v>
      </c>
    </row>
    <row r="1143" spans="1:7">
      <c r="A1143" s="3" t="s">
        <v>496</v>
      </c>
      <c r="B1143" s="3" t="s">
        <v>501</v>
      </c>
      <c r="C1143" s="3" t="s">
        <v>502</v>
      </c>
      <c r="D1143" s="3" t="s">
        <v>478</v>
      </c>
      <c r="E1143" s="262">
        <f>ROUND('MANO DE OBRA'!$E$11,0)</f>
        <v>107973</v>
      </c>
      <c r="F1143" s="6">
        <v>7.0000000000000007E-2</v>
      </c>
      <c r="G1143" s="35">
        <f>ROUND(E1143*F1143,0)</f>
        <v>7558</v>
      </c>
    </row>
    <row r="1144" spans="1:7" ht="12.75" thickBot="1">
      <c r="A1144" s="402" t="s">
        <v>503</v>
      </c>
      <c r="B1144" s="402" t="s">
        <v>503</v>
      </c>
      <c r="C1144" s="402" t="s">
        <v>503</v>
      </c>
      <c r="D1144" s="402" t="s">
        <v>503</v>
      </c>
      <c r="E1144" s="403" t="s">
        <v>503</v>
      </c>
      <c r="F1144" s="402" t="s">
        <v>503</v>
      </c>
      <c r="G1144" s="55">
        <f>ROUND(SUM(G1142:G1143),0)</f>
        <v>19953</v>
      </c>
    </row>
    <row r="1145" spans="1:7" ht="12.75" thickBot="1">
      <c r="A1145" s="404" t="s">
        <v>60</v>
      </c>
      <c r="B1145" s="405" t="s">
        <v>504</v>
      </c>
      <c r="C1145" s="405" t="s">
        <v>504</v>
      </c>
      <c r="D1145" s="405" t="s">
        <v>504</v>
      </c>
      <c r="E1145" s="406" t="s">
        <v>504</v>
      </c>
      <c r="F1145" s="8"/>
      <c r="G1145" s="56">
        <f>ROUND(SUM(G1137,G1140,G1144),0)</f>
        <v>39043</v>
      </c>
    </row>
    <row r="1146" spans="1:7">
      <c r="A1146" s="1"/>
      <c r="B1146" s="1"/>
      <c r="C1146" s="1"/>
      <c r="D1146" s="1"/>
      <c r="E1146" s="52"/>
      <c r="F1146" s="1"/>
      <c r="G1146" s="52"/>
    </row>
    <row r="1147" spans="1:7" ht="42" customHeight="1">
      <c r="A1147" s="5" t="s">
        <v>420</v>
      </c>
      <c r="B1147" s="5" t="s">
        <v>202</v>
      </c>
      <c r="C1147" s="407" t="s">
        <v>148</v>
      </c>
      <c r="D1147" s="407"/>
      <c r="E1147" s="408"/>
      <c r="F1147" s="407"/>
      <c r="G1147" s="53" t="s">
        <v>103</v>
      </c>
    </row>
    <row r="1148" spans="1:7">
      <c r="A1148" s="2" t="s">
        <v>470</v>
      </c>
      <c r="B1148" s="2" t="s">
        <v>471</v>
      </c>
      <c r="C1148" s="2" t="s">
        <v>4</v>
      </c>
      <c r="D1148" s="2" t="s">
        <v>58</v>
      </c>
      <c r="E1148" s="54" t="s">
        <v>472</v>
      </c>
      <c r="F1148" s="2" t="s">
        <v>473</v>
      </c>
      <c r="G1148" s="54" t="s">
        <v>264</v>
      </c>
    </row>
    <row r="1149" spans="1:7">
      <c r="A1149" s="400" t="s">
        <v>474</v>
      </c>
      <c r="B1149" s="400" t="s">
        <v>474</v>
      </c>
      <c r="C1149" s="400" t="s">
        <v>474</v>
      </c>
      <c r="D1149" s="400" t="s">
        <v>474</v>
      </c>
      <c r="E1149" s="401" t="s">
        <v>474</v>
      </c>
      <c r="F1149" s="400" t="s">
        <v>474</v>
      </c>
      <c r="G1149" s="401" t="s">
        <v>474</v>
      </c>
    </row>
    <row r="1150" spans="1:7">
      <c r="A1150" s="3" t="s">
        <v>475</v>
      </c>
      <c r="B1150" s="3" t="s">
        <v>589</v>
      </c>
      <c r="C1150" s="3" t="s">
        <v>590</v>
      </c>
      <c r="D1150" s="3" t="s">
        <v>478</v>
      </c>
      <c r="E1150" s="262">
        <f>ROUND(EQUIPOS!$E$13,0)</f>
        <v>388</v>
      </c>
      <c r="F1150" s="6">
        <v>0.2</v>
      </c>
      <c r="G1150" s="35">
        <f>ROUND(E1150*F1150,0)</f>
        <v>78</v>
      </c>
    </row>
    <row r="1151" spans="1:7">
      <c r="A1151" s="3" t="s">
        <v>475</v>
      </c>
      <c r="B1151" s="3" t="s">
        <v>476</v>
      </c>
      <c r="C1151" s="3" t="s">
        <v>477</v>
      </c>
      <c r="D1151" s="3" t="s">
        <v>478</v>
      </c>
      <c r="E1151" s="262">
        <f>ROUND(EQUIPOS!$E$7,0)</f>
        <v>15000</v>
      </c>
      <c r="F1151" s="6">
        <v>0.2</v>
      </c>
      <c r="G1151" s="35">
        <f>ROUND(E1151*F1151,0)</f>
        <v>3000</v>
      </c>
    </row>
    <row r="1152" spans="1:7">
      <c r="A1152" s="3" t="s">
        <v>475</v>
      </c>
      <c r="B1152" s="3" t="s">
        <v>578</v>
      </c>
      <c r="C1152" s="3" t="s">
        <v>579</v>
      </c>
      <c r="D1152" s="3" t="s">
        <v>478</v>
      </c>
      <c r="E1152" s="262">
        <f>ROUND(EQUIPOS!$E$12,0)</f>
        <v>35000</v>
      </c>
      <c r="F1152" s="6">
        <v>0.2</v>
      </c>
      <c r="G1152" s="35">
        <f>ROUND(E1152*F1152,0)</f>
        <v>7000</v>
      </c>
    </row>
    <row r="1153" spans="1:7">
      <c r="A1153" s="3" t="s">
        <v>475</v>
      </c>
      <c r="B1153" s="3" t="s">
        <v>479</v>
      </c>
      <c r="C1153" s="3" t="s">
        <v>480</v>
      </c>
      <c r="D1153" s="3" t="s">
        <v>481</v>
      </c>
      <c r="E1153" s="262">
        <f>ROUND($G$1169,0)</f>
        <v>99399</v>
      </c>
      <c r="F1153" s="7">
        <v>0.05</v>
      </c>
      <c r="G1153" s="35">
        <f>ROUND(E1153*F1153,0)</f>
        <v>4970</v>
      </c>
    </row>
    <row r="1154" spans="1:7">
      <c r="A1154" s="402" t="s">
        <v>482</v>
      </c>
      <c r="B1154" s="402" t="s">
        <v>482</v>
      </c>
      <c r="C1154" s="402" t="s">
        <v>482</v>
      </c>
      <c r="D1154" s="402" t="s">
        <v>482</v>
      </c>
      <c r="E1154" s="403" t="s">
        <v>482</v>
      </c>
      <c r="F1154" s="402" t="s">
        <v>482</v>
      </c>
      <c r="G1154" s="55">
        <f>ROUND(SUM(G1150:G1153),0)</f>
        <v>15048</v>
      </c>
    </row>
    <row r="1155" spans="1:7">
      <c r="A1155" s="400" t="s">
        <v>483</v>
      </c>
      <c r="B1155" s="400" t="s">
        <v>483</v>
      </c>
      <c r="C1155" s="400" t="s">
        <v>483</v>
      </c>
      <c r="D1155" s="400" t="s">
        <v>483</v>
      </c>
      <c r="E1155" s="401" t="s">
        <v>483</v>
      </c>
      <c r="F1155" s="400" t="s">
        <v>483</v>
      </c>
      <c r="G1155" s="401" t="s">
        <v>483</v>
      </c>
    </row>
    <row r="1156" spans="1:7">
      <c r="A1156" s="3" t="s">
        <v>484</v>
      </c>
      <c r="B1156" s="3" t="s">
        <v>599</v>
      </c>
      <c r="C1156" s="3" t="s">
        <v>600</v>
      </c>
      <c r="D1156" s="3" t="s">
        <v>103</v>
      </c>
      <c r="E1156" s="262">
        <f>ROUND(INSUMOS!$E$47,0)</f>
        <v>764</v>
      </c>
      <c r="F1156" s="6">
        <v>3</v>
      </c>
      <c r="G1156" s="35">
        <f t="shared" ref="G1156:G1164" si="25">ROUND(E1156*F1156,0)</f>
        <v>2292</v>
      </c>
    </row>
    <row r="1157" spans="1:7">
      <c r="A1157" s="3" t="s">
        <v>484</v>
      </c>
      <c r="B1157" s="3" t="s">
        <v>597</v>
      </c>
      <c r="C1157" s="3" t="s">
        <v>598</v>
      </c>
      <c r="D1157" s="3" t="s">
        <v>68</v>
      </c>
      <c r="E1157" s="262">
        <f>ROUND(INSUMOS!$E$46,0)</f>
        <v>3708</v>
      </c>
      <c r="F1157" s="6">
        <v>24</v>
      </c>
      <c r="G1157" s="35">
        <f t="shared" si="25"/>
        <v>88992</v>
      </c>
    </row>
    <row r="1158" spans="1:7">
      <c r="A1158" s="3" t="s">
        <v>484</v>
      </c>
      <c r="B1158" s="3" t="s">
        <v>625</v>
      </c>
      <c r="C1158" s="3" t="s">
        <v>626</v>
      </c>
      <c r="D1158" s="3" t="s">
        <v>68</v>
      </c>
      <c r="E1158" s="262">
        <f>ROUND(INSUMOS!$E$56,0)</f>
        <v>4378</v>
      </c>
      <c r="F1158" s="6">
        <v>1</v>
      </c>
      <c r="G1158" s="35">
        <f t="shared" si="25"/>
        <v>4378</v>
      </c>
    </row>
    <row r="1159" spans="1:7">
      <c r="A1159" s="3" t="s">
        <v>484</v>
      </c>
      <c r="B1159" s="3" t="s">
        <v>603</v>
      </c>
      <c r="C1159" s="3" t="s">
        <v>604</v>
      </c>
      <c r="D1159" s="3" t="s">
        <v>103</v>
      </c>
      <c r="E1159" s="262">
        <f>ROUND(INSUMOS!$E$49,0)</f>
        <v>2200</v>
      </c>
      <c r="F1159" s="6">
        <v>1</v>
      </c>
      <c r="G1159" s="35">
        <f t="shared" si="25"/>
        <v>2200</v>
      </c>
    </row>
    <row r="1160" spans="1:7">
      <c r="A1160" s="3" t="s">
        <v>484</v>
      </c>
      <c r="B1160" s="3" t="s">
        <v>627</v>
      </c>
      <c r="C1160" s="3" t="s">
        <v>628</v>
      </c>
      <c r="D1160" s="3" t="s">
        <v>103</v>
      </c>
      <c r="E1160" s="262">
        <f>ROUND(INSUMOS!$E$57,0)</f>
        <v>2990</v>
      </c>
      <c r="F1160" s="6">
        <v>1</v>
      </c>
      <c r="G1160" s="35">
        <f t="shared" si="25"/>
        <v>2990</v>
      </c>
    </row>
    <row r="1161" spans="1:7">
      <c r="A1161" s="3" t="s">
        <v>484</v>
      </c>
      <c r="B1161" s="3" t="s">
        <v>629</v>
      </c>
      <c r="C1161" s="3" t="s">
        <v>630</v>
      </c>
      <c r="D1161" s="3" t="s">
        <v>103</v>
      </c>
      <c r="E1161" s="262">
        <f>ROUND(INSUMOS!$E$58,0)</f>
        <v>14170</v>
      </c>
      <c r="F1161" s="6">
        <v>5</v>
      </c>
      <c r="G1161" s="35">
        <f t="shared" si="25"/>
        <v>70850</v>
      </c>
    </row>
    <row r="1162" spans="1:7">
      <c r="A1162" s="3" t="s">
        <v>484</v>
      </c>
      <c r="B1162" s="3" t="s">
        <v>609</v>
      </c>
      <c r="C1162" s="3" t="s">
        <v>610</v>
      </c>
      <c r="D1162" s="3" t="s">
        <v>103</v>
      </c>
      <c r="E1162" s="262">
        <f>ROUND(INSUMOS!$E$52,0)</f>
        <v>2100</v>
      </c>
      <c r="F1162" s="6">
        <v>3</v>
      </c>
      <c r="G1162" s="35">
        <f t="shared" si="25"/>
        <v>6300</v>
      </c>
    </row>
    <row r="1163" spans="1:7">
      <c r="A1163" s="3" t="s">
        <v>484</v>
      </c>
      <c r="B1163" s="3" t="s">
        <v>631</v>
      </c>
      <c r="C1163" s="3" t="s">
        <v>632</v>
      </c>
      <c r="D1163" s="3" t="s">
        <v>103</v>
      </c>
      <c r="E1163" s="262">
        <f>ROUND(INSUMOS!$E$59,0)</f>
        <v>28090</v>
      </c>
      <c r="F1163" s="6">
        <v>0.16129032258064516</v>
      </c>
      <c r="G1163" s="35">
        <f t="shared" si="25"/>
        <v>4531</v>
      </c>
    </row>
    <row r="1164" spans="1:7">
      <c r="A1164" s="3" t="s">
        <v>484</v>
      </c>
      <c r="B1164" s="3" t="s">
        <v>615</v>
      </c>
      <c r="C1164" s="3" t="s">
        <v>616</v>
      </c>
      <c r="D1164" s="3" t="s">
        <v>103</v>
      </c>
      <c r="E1164" s="262">
        <f>ROUND(INSUMOS!$E$55,0)</f>
        <v>9225</v>
      </c>
      <c r="F1164" s="6">
        <v>1</v>
      </c>
      <c r="G1164" s="35">
        <f t="shared" si="25"/>
        <v>9225</v>
      </c>
    </row>
    <row r="1165" spans="1:7">
      <c r="A1165" s="402" t="s">
        <v>495</v>
      </c>
      <c r="B1165" s="402" t="s">
        <v>495</v>
      </c>
      <c r="C1165" s="402" t="s">
        <v>495</v>
      </c>
      <c r="D1165" s="402" t="s">
        <v>495</v>
      </c>
      <c r="E1165" s="403" t="s">
        <v>495</v>
      </c>
      <c r="F1165" s="402" t="s">
        <v>495</v>
      </c>
      <c r="G1165" s="55">
        <f>ROUND(SUM(G1156:G1164),0)</f>
        <v>191758</v>
      </c>
    </row>
    <row r="1166" spans="1:7">
      <c r="A1166" s="400" t="s">
        <v>496</v>
      </c>
      <c r="B1166" s="400" t="s">
        <v>496</v>
      </c>
      <c r="C1166" s="400" t="s">
        <v>496</v>
      </c>
      <c r="D1166" s="400" t="s">
        <v>496</v>
      </c>
      <c r="E1166" s="401" t="s">
        <v>496</v>
      </c>
      <c r="F1166" s="400" t="s">
        <v>496</v>
      </c>
      <c r="G1166" s="401" t="s">
        <v>496</v>
      </c>
    </row>
    <row r="1167" spans="1:7">
      <c r="A1167" s="3" t="s">
        <v>496</v>
      </c>
      <c r="B1167" s="3" t="s">
        <v>617</v>
      </c>
      <c r="C1167" s="3" t="s">
        <v>618</v>
      </c>
      <c r="D1167" s="3" t="s">
        <v>478</v>
      </c>
      <c r="E1167" s="262">
        <f>ROUND('MANO DE OBRA'!$E$15,0)</f>
        <v>164541</v>
      </c>
      <c r="F1167" s="6">
        <v>0.4</v>
      </c>
      <c r="G1167" s="35">
        <f>ROUND(E1167*F1167,0)</f>
        <v>65816</v>
      </c>
    </row>
    <row r="1168" spans="1:7">
      <c r="A1168" s="3" t="s">
        <v>496</v>
      </c>
      <c r="B1168" s="3" t="s">
        <v>619</v>
      </c>
      <c r="C1168" s="3" t="s">
        <v>620</v>
      </c>
      <c r="D1168" s="3" t="s">
        <v>478</v>
      </c>
      <c r="E1168" s="262">
        <f>ROUND('MANO DE OBRA'!$E$16,0)</f>
        <v>83958</v>
      </c>
      <c r="F1168" s="6">
        <v>0.4</v>
      </c>
      <c r="G1168" s="35">
        <f>ROUND(E1168*F1168,0)</f>
        <v>33583</v>
      </c>
    </row>
    <row r="1169" spans="1:7">
      <c r="A1169" s="402" t="s">
        <v>503</v>
      </c>
      <c r="B1169" s="402" t="s">
        <v>503</v>
      </c>
      <c r="C1169" s="402" t="s">
        <v>503</v>
      </c>
      <c r="D1169" s="402" t="s">
        <v>503</v>
      </c>
      <c r="E1169" s="403" t="s">
        <v>503</v>
      </c>
      <c r="F1169" s="402" t="s">
        <v>503</v>
      </c>
      <c r="G1169" s="55">
        <f>ROUND(SUM(G1167:G1168),0)</f>
        <v>99399</v>
      </c>
    </row>
    <row r="1170" spans="1:7">
      <c r="A1170" s="400" t="s">
        <v>621</v>
      </c>
      <c r="B1170" s="400" t="s">
        <v>621</v>
      </c>
      <c r="C1170" s="400" t="s">
        <v>621</v>
      </c>
      <c r="D1170" s="400" t="s">
        <v>621</v>
      </c>
      <c r="E1170" s="401" t="s">
        <v>621</v>
      </c>
      <c r="F1170" s="400" t="s">
        <v>621</v>
      </c>
      <c r="G1170" s="401" t="s">
        <v>621</v>
      </c>
    </row>
    <row r="1171" spans="1:7">
      <c r="A1171" s="3" t="s">
        <v>621</v>
      </c>
      <c r="B1171" s="3" t="s">
        <v>622</v>
      </c>
      <c r="C1171" s="3" t="s">
        <v>623</v>
      </c>
      <c r="D1171" s="3" t="s">
        <v>478</v>
      </c>
      <c r="E1171" s="262">
        <f>ROUND(TRANSPORTE!$E$9,0)</f>
        <v>126000</v>
      </c>
      <c r="F1171" s="6">
        <v>0.01</v>
      </c>
      <c r="G1171" s="35">
        <f>ROUND(E1171*F1171,0)</f>
        <v>1260</v>
      </c>
    </row>
    <row r="1172" spans="1:7" ht="12.75" thickBot="1">
      <c r="A1172" s="402" t="s">
        <v>624</v>
      </c>
      <c r="B1172" s="402" t="s">
        <v>624</v>
      </c>
      <c r="C1172" s="402" t="s">
        <v>624</v>
      </c>
      <c r="D1172" s="402" t="s">
        <v>624</v>
      </c>
      <c r="E1172" s="403" t="s">
        <v>624</v>
      </c>
      <c r="F1172" s="402" t="s">
        <v>624</v>
      </c>
      <c r="G1172" s="55">
        <f>ROUND(SUM(G1171:G1171),0)</f>
        <v>1260</v>
      </c>
    </row>
    <row r="1173" spans="1:7" ht="12.75" thickBot="1">
      <c r="A1173" s="404" t="s">
        <v>60</v>
      </c>
      <c r="B1173" s="405" t="s">
        <v>504</v>
      </c>
      <c r="C1173" s="405" t="s">
        <v>504</v>
      </c>
      <c r="D1173" s="405" t="s">
        <v>504</v>
      </c>
      <c r="E1173" s="406" t="s">
        <v>504</v>
      </c>
      <c r="F1173" s="8"/>
      <c r="G1173" s="56">
        <f>ROUND(SUM(G1154,G1165,G1169,G1172),0)</f>
        <v>307465</v>
      </c>
    </row>
    <row r="1174" spans="1:7">
      <c r="A1174" s="1"/>
      <c r="B1174" s="1"/>
      <c r="C1174" s="1"/>
      <c r="D1174" s="1"/>
      <c r="E1174" s="52"/>
      <c r="F1174" s="1"/>
      <c r="G1174" s="52"/>
    </row>
    <row r="1175" spans="1:7" ht="42" customHeight="1">
      <c r="A1175" s="5" t="s">
        <v>422</v>
      </c>
      <c r="B1175" s="5" t="s">
        <v>203</v>
      </c>
      <c r="C1175" s="407" t="s">
        <v>204</v>
      </c>
      <c r="D1175" s="407"/>
      <c r="E1175" s="408"/>
      <c r="F1175" s="407"/>
      <c r="G1175" s="53" t="s">
        <v>103</v>
      </c>
    </row>
    <row r="1176" spans="1:7">
      <c r="A1176" s="2" t="s">
        <v>470</v>
      </c>
      <c r="B1176" s="2" t="s">
        <v>471</v>
      </c>
      <c r="C1176" s="2" t="s">
        <v>4</v>
      </c>
      <c r="D1176" s="2" t="s">
        <v>58</v>
      </c>
      <c r="E1176" s="54" t="s">
        <v>472</v>
      </c>
      <c r="F1176" s="2" t="s">
        <v>473</v>
      </c>
      <c r="G1176" s="54" t="s">
        <v>264</v>
      </c>
    </row>
    <row r="1177" spans="1:7">
      <c r="A1177" s="400" t="s">
        <v>474</v>
      </c>
      <c r="B1177" s="400" t="s">
        <v>474</v>
      </c>
      <c r="C1177" s="400" t="s">
        <v>474</v>
      </c>
      <c r="D1177" s="400" t="s">
        <v>474</v>
      </c>
      <c r="E1177" s="401" t="s">
        <v>474</v>
      </c>
      <c r="F1177" s="400" t="s">
        <v>474</v>
      </c>
      <c r="G1177" s="401" t="s">
        <v>474</v>
      </c>
    </row>
    <row r="1178" spans="1:7">
      <c r="A1178" s="3" t="s">
        <v>475</v>
      </c>
      <c r="B1178" s="3" t="s">
        <v>476</v>
      </c>
      <c r="C1178" s="3" t="s">
        <v>477</v>
      </c>
      <c r="D1178" s="3" t="s">
        <v>478</v>
      </c>
      <c r="E1178" s="262">
        <f>ROUND(EQUIPOS!$E$7,0)</f>
        <v>15000</v>
      </c>
      <c r="F1178" s="6">
        <v>8.3333333333333329E-2</v>
      </c>
      <c r="G1178" s="35">
        <f>ROUND(E1178*F1178,0)</f>
        <v>1250</v>
      </c>
    </row>
    <row r="1179" spans="1:7">
      <c r="A1179" s="3" t="s">
        <v>475</v>
      </c>
      <c r="B1179" s="3" t="s">
        <v>589</v>
      </c>
      <c r="C1179" s="3" t="s">
        <v>590</v>
      </c>
      <c r="D1179" s="3" t="s">
        <v>478</v>
      </c>
      <c r="E1179" s="262">
        <f>ROUND(EQUIPOS!$E$13,0)</f>
        <v>388</v>
      </c>
      <c r="F1179" s="6">
        <v>8.3333333333333329E-2</v>
      </c>
      <c r="G1179" s="35">
        <f>ROUND(E1179*F1179,0)</f>
        <v>32</v>
      </c>
    </row>
    <row r="1180" spans="1:7">
      <c r="A1180" s="3" t="s">
        <v>475</v>
      </c>
      <c r="B1180" s="3" t="s">
        <v>479</v>
      </c>
      <c r="C1180" s="3" t="s">
        <v>480</v>
      </c>
      <c r="D1180" s="3" t="s">
        <v>481</v>
      </c>
      <c r="E1180" s="262">
        <f>ROUND($G$1189,0)</f>
        <v>41417</v>
      </c>
      <c r="F1180" s="7">
        <v>0.05</v>
      </c>
      <c r="G1180" s="35">
        <f>ROUND(E1180*F1180,0)</f>
        <v>2071</v>
      </c>
    </row>
    <row r="1181" spans="1:7">
      <c r="A1181" s="402" t="s">
        <v>482</v>
      </c>
      <c r="B1181" s="402" t="s">
        <v>482</v>
      </c>
      <c r="C1181" s="402" t="s">
        <v>482</v>
      </c>
      <c r="D1181" s="402" t="s">
        <v>482</v>
      </c>
      <c r="E1181" s="403" t="s">
        <v>482</v>
      </c>
      <c r="F1181" s="402" t="s">
        <v>482</v>
      </c>
      <c r="G1181" s="55">
        <f>ROUND(SUM(G1178:G1180),0)</f>
        <v>3353</v>
      </c>
    </row>
    <row r="1182" spans="1:7">
      <c r="A1182" s="400" t="s">
        <v>483</v>
      </c>
      <c r="B1182" s="400" t="s">
        <v>483</v>
      </c>
      <c r="C1182" s="400" t="s">
        <v>483</v>
      </c>
      <c r="D1182" s="400" t="s">
        <v>483</v>
      </c>
      <c r="E1182" s="401" t="s">
        <v>483</v>
      </c>
      <c r="F1182" s="400" t="s">
        <v>483</v>
      </c>
      <c r="G1182" s="401" t="s">
        <v>483</v>
      </c>
    </row>
    <row r="1183" spans="1:7">
      <c r="A1183" s="3" t="s">
        <v>484</v>
      </c>
      <c r="B1183" s="3" t="s">
        <v>710</v>
      </c>
      <c r="C1183" s="3" t="s">
        <v>711</v>
      </c>
      <c r="D1183" s="3" t="s">
        <v>103</v>
      </c>
      <c r="E1183" s="262">
        <f>ROUND(INSUMOS!$E$83,0)</f>
        <v>66400</v>
      </c>
      <c r="F1183" s="6">
        <v>1</v>
      </c>
      <c r="G1183" s="35">
        <f>ROUND(E1183*F1183,0)</f>
        <v>66400</v>
      </c>
    </row>
    <row r="1184" spans="1:7">
      <c r="A1184" s="3" t="s">
        <v>484</v>
      </c>
      <c r="B1184" s="3" t="s">
        <v>615</v>
      </c>
      <c r="C1184" s="3" t="s">
        <v>616</v>
      </c>
      <c r="D1184" s="3" t="s">
        <v>103</v>
      </c>
      <c r="E1184" s="262">
        <f>ROUND(INSUMOS!$E$55,0)</f>
        <v>9225</v>
      </c>
      <c r="F1184" s="6">
        <v>1</v>
      </c>
      <c r="G1184" s="35">
        <f>ROUND(E1184*F1184,0)</f>
        <v>9225</v>
      </c>
    </row>
    <row r="1185" spans="1:7">
      <c r="A1185" s="402" t="s">
        <v>495</v>
      </c>
      <c r="B1185" s="402" t="s">
        <v>495</v>
      </c>
      <c r="C1185" s="402" t="s">
        <v>495</v>
      </c>
      <c r="D1185" s="402" t="s">
        <v>495</v>
      </c>
      <c r="E1185" s="403" t="s">
        <v>495</v>
      </c>
      <c r="F1185" s="402" t="s">
        <v>495</v>
      </c>
      <c r="G1185" s="55">
        <f>ROUND(SUM(G1183:G1184),0)</f>
        <v>75625</v>
      </c>
    </row>
    <row r="1186" spans="1:7">
      <c r="A1186" s="400" t="s">
        <v>496</v>
      </c>
      <c r="B1186" s="400" t="s">
        <v>496</v>
      </c>
      <c r="C1186" s="400" t="s">
        <v>496</v>
      </c>
      <c r="D1186" s="400" t="s">
        <v>496</v>
      </c>
      <c r="E1186" s="401" t="s">
        <v>496</v>
      </c>
      <c r="F1186" s="400" t="s">
        <v>496</v>
      </c>
      <c r="G1186" s="401" t="s">
        <v>496</v>
      </c>
    </row>
    <row r="1187" spans="1:7">
      <c r="A1187" s="3" t="s">
        <v>496</v>
      </c>
      <c r="B1187" s="3" t="s">
        <v>617</v>
      </c>
      <c r="C1187" s="3" t="s">
        <v>618</v>
      </c>
      <c r="D1187" s="3" t="s">
        <v>478</v>
      </c>
      <c r="E1187" s="262">
        <f>ROUND('MANO DE OBRA'!$E$15,0)</f>
        <v>164541</v>
      </c>
      <c r="F1187" s="6">
        <v>0.16666666666666666</v>
      </c>
      <c r="G1187" s="35">
        <f>ROUND(E1187*F1187,0)</f>
        <v>27424</v>
      </c>
    </row>
    <row r="1188" spans="1:7">
      <c r="A1188" s="3" t="s">
        <v>496</v>
      </c>
      <c r="B1188" s="3" t="s">
        <v>619</v>
      </c>
      <c r="C1188" s="3" t="s">
        <v>620</v>
      </c>
      <c r="D1188" s="3" t="s">
        <v>478</v>
      </c>
      <c r="E1188" s="262">
        <f>ROUND('MANO DE OBRA'!$E$16,0)</f>
        <v>83958</v>
      </c>
      <c r="F1188" s="6">
        <v>0.16666666666666666</v>
      </c>
      <c r="G1188" s="35">
        <f>ROUND(E1188*F1188,0)</f>
        <v>13993</v>
      </c>
    </row>
    <row r="1189" spans="1:7">
      <c r="A1189" s="402" t="s">
        <v>503</v>
      </c>
      <c r="B1189" s="402" t="s">
        <v>503</v>
      </c>
      <c r="C1189" s="402" t="s">
        <v>503</v>
      </c>
      <c r="D1189" s="402" t="s">
        <v>503</v>
      </c>
      <c r="E1189" s="403" t="s">
        <v>503</v>
      </c>
      <c r="F1189" s="402" t="s">
        <v>503</v>
      </c>
      <c r="G1189" s="55">
        <f>ROUND(SUM(G1187:G1188),0)</f>
        <v>41417</v>
      </c>
    </row>
    <row r="1190" spans="1:7">
      <c r="A1190" s="400" t="s">
        <v>621</v>
      </c>
      <c r="B1190" s="400" t="s">
        <v>621</v>
      </c>
      <c r="C1190" s="400" t="s">
        <v>621</v>
      </c>
      <c r="D1190" s="400" t="s">
        <v>621</v>
      </c>
      <c r="E1190" s="401" t="s">
        <v>621</v>
      </c>
      <c r="F1190" s="400" t="s">
        <v>621</v>
      </c>
      <c r="G1190" s="401" t="s">
        <v>621</v>
      </c>
    </row>
    <row r="1191" spans="1:7">
      <c r="A1191" s="3" t="s">
        <v>621</v>
      </c>
      <c r="B1191" s="3" t="s">
        <v>622</v>
      </c>
      <c r="C1191" s="3" t="s">
        <v>623</v>
      </c>
      <c r="D1191" s="3" t="s">
        <v>478</v>
      </c>
      <c r="E1191" s="262">
        <f>ROUND(TRANSPORTE!$E$9,0)</f>
        <v>126000</v>
      </c>
      <c r="F1191" s="6">
        <v>1.2500000000000001E-2</v>
      </c>
      <c r="G1191" s="35">
        <f>ROUND(E1191*F1191,0)</f>
        <v>1575</v>
      </c>
    </row>
    <row r="1192" spans="1:7" ht="12.75" thickBot="1">
      <c r="A1192" s="402" t="s">
        <v>624</v>
      </c>
      <c r="B1192" s="402" t="s">
        <v>624</v>
      </c>
      <c r="C1192" s="402" t="s">
        <v>624</v>
      </c>
      <c r="D1192" s="402" t="s">
        <v>624</v>
      </c>
      <c r="E1192" s="403" t="s">
        <v>624</v>
      </c>
      <c r="F1192" s="402" t="s">
        <v>624</v>
      </c>
      <c r="G1192" s="55">
        <f>ROUND(SUM(G1191:G1191),0)</f>
        <v>1575</v>
      </c>
    </row>
    <row r="1193" spans="1:7" ht="12.75" thickBot="1">
      <c r="A1193" s="404" t="s">
        <v>60</v>
      </c>
      <c r="B1193" s="405" t="s">
        <v>504</v>
      </c>
      <c r="C1193" s="405" t="s">
        <v>504</v>
      </c>
      <c r="D1193" s="405" t="s">
        <v>504</v>
      </c>
      <c r="E1193" s="406" t="s">
        <v>504</v>
      </c>
      <c r="F1193" s="8"/>
      <c r="G1193" s="56">
        <f>ROUND(SUM(G1181,G1185,G1189,G1192),0)</f>
        <v>121970</v>
      </c>
    </row>
    <row r="1194" spans="1:7">
      <c r="A1194" s="1"/>
      <c r="B1194" s="1"/>
      <c r="C1194" s="1"/>
      <c r="D1194" s="1"/>
      <c r="E1194" s="52"/>
      <c r="F1194" s="1"/>
      <c r="G1194" s="52"/>
    </row>
    <row r="1195" spans="1:7" ht="42" customHeight="1">
      <c r="A1195" s="5" t="s">
        <v>424</v>
      </c>
      <c r="B1195" s="5" t="s">
        <v>206</v>
      </c>
      <c r="C1195" s="407" t="s">
        <v>207</v>
      </c>
      <c r="D1195" s="407"/>
      <c r="E1195" s="408"/>
      <c r="F1195" s="407"/>
      <c r="G1195" s="53" t="s">
        <v>68</v>
      </c>
    </row>
    <row r="1196" spans="1:7">
      <c r="A1196" s="2" t="s">
        <v>470</v>
      </c>
      <c r="B1196" s="2" t="s">
        <v>471</v>
      </c>
      <c r="C1196" s="2" t="s">
        <v>4</v>
      </c>
      <c r="D1196" s="2" t="s">
        <v>58</v>
      </c>
      <c r="E1196" s="54" t="s">
        <v>472</v>
      </c>
      <c r="F1196" s="2" t="s">
        <v>473</v>
      </c>
      <c r="G1196" s="54" t="s">
        <v>264</v>
      </c>
    </row>
    <row r="1197" spans="1:7">
      <c r="A1197" s="400" t="s">
        <v>474</v>
      </c>
      <c r="B1197" s="400" t="s">
        <v>474</v>
      </c>
      <c r="C1197" s="400" t="s">
        <v>474</v>
      </c>
      <c r="D1197" s="400" t="s">
        <v>474</v>
      </c>
      <c r="E1197" s="401" t="s">
        <v>474</v>
      </c>
      <c r="F1197" s="400" t="s">
        <v>474</v>
      </c>
      <c r="G1197" s="401" t="s">
        <v>474</v>
      </c>
    </row>
    <row r="1198" spans="1:7">
      <c r="A1198" s="3" t="s">
        <v>475</v>
      </c>
      <c r="B1198" s="3" t="s">
        <v>479</v>
      </c>
      <c r="C1198" s="3" t="s">
        <v>480</v>
      </c>
      <c r="D1198" s="3" t="s">
        <v>481</v>
      </c>
      <c r="E1198" s="262">
        <f>ROUND($G$1209,0)</f>
        <v>28505</v>
      </c>
      <c r="F1198" s="7">
        <v>0.05</v>
      </c>
      <c r="G1198" s="35">
        <f>ROUND(E1198*F1198,0)</f>
        <v>1425</v>
      </c>
    </row>
    <row r="1199" spans="1:7">
      <c r="A1199" s="402" t="s">
        <v>482</v>
      </c>
      <c r="B1199" s="402" t="s">
        <v>482</v>
      </c>
      <c r="C1199" s="402" t="s">
        <v>482</v>
      </c>
      <c r="D1199" s="402" t="s">
        <v>482</v>
      </c>
      <c r="E1199" s="403" t="s">
        <v>482</v>
      </c>
      <c r="F1199" s="402" t="s">
        <v>482</v>
      </c>
      <c r="G1199" s="55">
        <f>ROUND(SUM(G1198:G1198),0)</f>
        <v>1425</v>
      </c>
    </row>
    <row r="1200" spans="1:7">
      <c r="A1200" s="400" t="s">
        <v>483</v>
      </c>
      <c r="B1200" s="400" t="s">
        <v>483</v>
      </c>
      <c r="C1200" s="400" t="s">
        <v>483</v>
      </c>
      <c r="D1200" s="400" t="s">
        <v>483</v>
      </c>
      <c r="E1200" s="401" t="s">
        <v>483</v>
      </c>
      <c r="F1200" s="400" t="s">
        <v>483</v>
      </c>
      <c r="G1200" s="401" t="s">
        <v>483</v>
      </c>
    </row>
    <row r="1201" spans="1:7">
      <c r="A1201" s="3" t="s">
        <v>484</v>
      </c>
      <c r="B1201" s="3" t="s">
        <v>712</v>
      </c>
      <c r="C1201" s="3" t="s">
        <v>713</v>
      </c>
      <c r="D1201" s="3" t="s">
        <v>68</v>
      </c>
      <c r="E1201" s="262">
        <f>ROUND(INSUMOS!$E$84,0)</f>
        <v>5923</v>
      </c>
      <c r="F1201" s="6">
        <v>1</v>
      </c>
      <c r="G1201" s="35">
        <f>ROUND(E1201*F1201,0)</f>
        <v>5923</v>
      </c>
    </row>
    <row r="1202" spans="1:7">
      <c r="A1202" s="3" t="s">
        <v>484</v>
      </c>
      <c r="B1202" s="3" t="s">
        <v>714</v>
      </c>
      <c r="C1202" s="3" t="s">
        <v>715</v>
      </c>
      <c r="D1202" s="3" t="s">
        <v>103</v>
      </c>
      <c r="E1202" s="262">
        <f>ROUND(INSUMOS!$E$85,0)</f>
        <v>1294</v>
      </c>
      <c r="F1202" s="6">
        <v>0.3</v>
      </c>
      <c r="G1202" s="35">
        <f>ROUND(E1202*F1202,0)</f>
        <v>388</v>
      </c>
    </row>
    <row r="1203" spans="1:7">
      <c r="A1203" s="3" t="s">
        <v>484</v>
      </c>
      <c r="B1203" s="3" t="s">
        <v>716</v>
      </c>
      <c r="C1203" s="3" t="s">
        <v>717</v>
      </c>
      <c r="D1203" s="3" t="s">
        <v>103</v>
      </c>
      <c r="E1203" s="262">
        <f>ROUND(INSUMOS!$E$86,0)</f>
        <v>61880</v>
      </c>
      <c r="F1203" s="6">
        <v>3.0000000000000001E-3</v>
      </c>
      <c r="G1203" s="35">
        <f>ROUND(E1203*F1203,0)</f>
        <v>186</v>
      </c>
    </row>
    <row r="1204" spans="1:7">
      <c r="A1204" s="3" t="s">
        <v>484</v>
      </c>
      <c r="B1204" s="3" t="s">
        <v>718</v>
      </c>
      <c r="C1204" s="3" t="s">
        <v>719</v>
      </c>
      <c r="D1204" s="3" t="s">
        <v>720</v>
      </c>
      <c r="E1204" s="262">
        <f>ROUND(INSUMOS!$E$87,0)</f>
        <v>54900</v>
      </c>
      <c r="F1204" s="6">
        <v>1E-3</v>
      </c>
      <c r="G1204" s="35">
        <f>ROUND(E1204*F1204,0)</f>
        <v>55</v>
      </c>
    </row>
    <row r="1205" spans="1:7">
      <c r="A1205" s="402" t="s">
        <v>495</v>
      </c>
      <c r="B1205" s="402" t="s">
        <v>495</v>
      </c>
      <c r="C1205" s="402" t="s">
        <v>495</v>
      </c>
      <c r="D1205" s="402" t="s">
        <v>495</v>
      </c>
      <c r="E1205" s="403" t="s">
        <v>495</v>
      </c>
      <c r="F1205" s="402" t="s">
        <v>495</v>
      </c>
      <c r="G1205" s="55">
        <f>ROUND(SUM(G1201:G1204),0)</f>
        <v>6552</v>
      </c>
    </row>
    <row r="1206" spans="1:7">
      <c r="A1206" s="400" t="s">
        <v>496</v>
      </c>
      <c r="B1206" s="400" t="s">
        <v>496</v>
      </c>
      <c r="C1206" s="400" t="s">
        <v>496</v>
      </c>
      <c r="D1206" s="400" t="s">
        <v>496</v>
      </c>
      <c r="E1206" s="401" t="s">
        <v>496</v>
      </c>
      <c r="F1206" s="400" t="s">
        <v>496</v>
      </c>
      <c r="G1206" s="401" t="s">
        <v>496</v>
      </c>
    </row>
    <row r="1207" spans="1:7">
      <c r="A1207" s="3" t="s">
        <v>496</v>
      </c>
      <c r="B1207" s="3" t="s">
        <v>721</v>
      </c>
      <c r="C1207" s="3" t="s">
        <v>722</v>
      </c>
      <c r="D1207" s="3" t="s">
        <v>478</v>
      </c>
      <c r="E1207" s="262">
        <f>ROUND('MANO DE OBRA'!$E$23,0)</f>
        <v>177075</v>
      </c>
      <c r="F1207" s="6">
        <v>0.1</v>
      </c>
      <c r="G1207" s="35">
        <f>ROUND(E1207*F1207,0)</f>
        <v>17708</v>
      </c>
    </row>
    <row r="1208" spans="1:7">
      <c r="A1208" s="3" t="s">
        <v>496</v>
      </c>
      <c r="B1208" s="3" t="s">
        <v>723</v>
      </c>
      <c r="C1208" s="3" t="s">
        <v>724</v>
      </c>
      <c r="D1208" s="3" t="s">
        <v>478</v>
      </c>
      <c r="E1208" s="262">
        <f>ROUND('MANO DE OBRA'!$E$24,0)</f>
        <v>107973</v>
      </c>
      <c r="F1208" s="6">
        <v>0.1</v>
      </c>
      <c r="G1208" s="35">
        <f>ROUND(E1208*F1208,0)</f>
        <v>10797</v>
      </c>
    </row>
    <row r="1209" spans="1:7" ht="12.75" thickBot="1">
      <c r="A1209" s="402" t="s">
        <v>503</v>
      </c>
      <c r="B1209" s="402" t="s">
        <v>503</v>
      </c>
      <c r="C1209" s="402" t="s">
        <v>503</v>
      </c>
      <c r="D1209" s="402" t="s">
        <v>503</v>
      </c>
      <c r="E1209" s="403" t="s">
        <v>503</v>
      </c>
      <c r="F1209" s="402" t="s">
        <v>503</v>
      </c>
      <c r="G1209" s="55">
        <f>ROUND(SUM(G1207:G1208),0)</f>
        <v>28505</v>
      </c>
    </row>
    <row r="1210" spans="1:7" ht="12.75" thickBot="1">
      <c r="A1210" s="404" t="s">
        <v>60</v>
      </c>
      <c r="B1210" s="405" t="s">
        <v>504</v>
      </c>
      <c r="C1210" s="405" t="s">
        <v>504</v>
      </c>
      <c r="D1210" s="405" t="s">
        <v>504</v>
      </c>
      <c r="E1210" s="406" t="s">
        <v>504</v>
      </c>
      <c r="F1210" s="8"/>
      <c r="G1210" s="56">
        <f>ROUND(SUM(G1199,G1205,G1209),0)</f>
        <v>36482</v>
      </c>
    </row>
    <row r="1211" spans="1:7">
      <c r="A1211" s="1"/>
      <c r="B1211" s="1"/>
      <c r="C1211" s="1"/>
      <c r="D1211" s="1"/>
      <c r="E1211" s="52"/>
      <c r="F1211" s="1"/>
      <c r="G1211" s="52"/>
    </row>
    <row r="1212" spans="1:7" ht="42" customHeight="1">
      <c r="A1212" s="5" t="s">
        <v>426</v>
      </c>
      <c r="B1212" s="5" t="s">
        <v>208</v>
      </c>
      <c r="C1212" s="407" t="s">
        <v>209</v>
      </c>
      <c r="D1212" s="407"/>
      <c r="E1212" s="408"/>
      <c r="F1212" s="407"/>
      <c r="G1212" s="53" t="s">
        <v>103</v>
      </c>
    </row>
    <row r="1213" spans="1:7">
      <c r="A1213" s="2" t="s">
        <v>470</v>
      </c>
      <c r="B1213" s="2" t="s">
        <v>471</v>
      </c>
      <c r="C1213" s="2" t="s">
        <v>4</v>
      </c>
      <c r="D1213" s="2" t="s">
        <v>58</v>
      </c>
      <c r="E1213" s="54" t="s">
        <v>472</v>
      </c>
      <c r="F1213" s="2" t="s">
        <v>473</v>
      </c>
      <c r="G1213" s="54" t="s">
        <v>264</v>
      </c>
    </row>
    <row r="1214" spans="1:7">
      <c r="A1214" s="400" t="s">
        <v>474</v>
      </c>
      <c r="B1214" s="400" t="s">
        <v>474</v>
      </c>
      <c r="C1214" s="400" t="s">
        <v>474</v>
      </c>
      <c r="D1214" s="400" t="s">
        <v>474</v>
      </c>
      <c r="E1214" s="401" t="s">
        <v>474</v>
      </c>
      <c r="F1214" s="400" t="s">
        <v>474</v>
      </c>
      <c r="G1214" s="401" t="s">
        <v>474</v>
      </c>
    </row>
    <row r="1215" spans="1:7">
      <c r="A1215" s="3" t="s">
        <v>475</v>
      </c>
      <c r="B1215" s="3" t="s">
        <v>479</v>
      </c>
      <c r="C1215" s="3" t="s">
        <v>480</v>
      </c>
      <c r="D1215" s="3" t="s">
        <v>481</v>
      </c>
      <c r="E1215" s="262">
        <f>ROUND($G$1229,0)</f>
        <v>34206</v>
      </c>
      <c r="F1215" s="7">
        <v>0.05</v>
      </c>
      <c r="G1215" s="35">
        <f>ROUND(E1215*F1215,0)</f>
        <v>1710</v>
      </c>
    </row>
    <row r="1216" spans="1:7">
      <c r="A1216" s="402" t="s">
        <v>482</v>
      </c>
      <c r="B1216" s="402" t="s">
        <v>482</v>
      </c>
      <c r="C1216" s="402" t="s">
        <v>482</v>
      </c>
      <c r="D1216" s="402" t="s">
        <v>482</v>
      </c>
      <c r="E1216" s="403" t="s">
        <v>482</v>
      </c>
      <c r="F1216" s="402" t="s">
        <v>482</v>
      </c>
      <c r="G1216" s="55">
        <f>ROUND(SUM(G1215:G1215),0)</f>
        <v>1710</v>
      </c>
    </row>
    <row r="1217" spans="1:7">
      <c r="A1217" s="400" t="s">
        <v>483</v>
      </c>
      <c r="B1217" s="400" t="s">
        <v>483</v>
      </c>
      <c r="C1217" s="400" t="s">
        <v>483</v>
      </c>
      <c r="D1217" s="400" t="s">
        <v>483</v>
      </c>
      <c r="E1217" s="401" t="s">
        <v>483</v>
      </c>
      <c r="F1217" s="400" t="s">
        <v>483</v>
      </c>
      <c r="G1217" s="401" t="s">
        <v>483</v>
      </c>
    </row>
    <row r="1218" spans="1:7">
      <c r="A1218" s="3" t="s">
        <v>484</v>
      </c>
      <c r="B1218" s="3" t="s">
        <v>712</v>
      </c>
      <c r="C1218" s="3" t="s">
        <v>713</v>
      </c>
      <c r="D1218" s="3" t="s">
        <v>68</v>
      </c>
      <c r="E1218" s="262">
        <f>ROUND(INSUMOS!$E$84,0)</f>
        <v>5923</v>
      </c>
      <c r="F1218" s="6">
        <v>5.9999999999999991</v>
      </c>
      <c r="G1218" s="35">
        <f t="shared" ref="G1218:G1224" si="26">ROUND(E1218*F1218,0)</f>
        <v>35538</v>
      </c>
    </row>
    <row r="1219" spans="1:7">
      <c r="A1219" s="3" t="s">
        <v>484</v>
      </c>
      <c r="B1219" s="3" t="s">
        <v>714</v>
      </c>
      <c r="C1219" s="3" t="s">
        <v>715</v>
      </c>
      <c r="D1219" s="3" t="s">
        <v>103</v>
      </c>
      <c r="E1219" s="262">
        <f>ROUND(INSUMOS!$E$85,0)</f>
        <v>1294</v>
      </c>
      <c r="F1219" s="6">
        <v>0.3</v>
      </c>
      <c r="G1219" s="35">
        <f t="shared" si="26"/>
        <v>388</v>
      </c>
    </row>
    <row r="1220" spans="1:7">
      <c r="A1220" s="3" t="s">
        <v>484</v>
      </c>
      <c r="B1220" s="3" t="s">
        <v>716</v>
      </c>
      <c r="C1220" s="3" t="s">
        <v>717</v>
      </c>
      <c r="D1220" s="3" t="s">
        <v>103</v>
      </c>
      <c r="E1220" s="262">
        <f>ROUND(INSUMOS!$E$86,0)</f>
        <v>61880</v>
      </c>
      <c r="F1220" s="6">
        <v>6.0000000000000001E-3</v>
      </c>
      <c r="G1220" s="35">
        <f t="shared" si="26"/>
        <v>371</v>
      </c>
    </row>
    <row r="1221" spans="1:7">
      <c r="A1221" s="3" t="s">
        <v>484</v>
      </c>
      <c r="B1221" s="3" t="s">
        <v>718</v>
      </c>
      <c r="C1221" s="3" t="s">
        <v>719</v>
      </c>
      <c r="D1221" s="3" t="s">
        <v>720</v>
      </c>
      <c r="E1221" s="262">
        <f>ROUND(INSUMOS!$E$87,0)</f>
        <v>54900</v>
      </c>
      <c r="F1221" s="6">
        <v>1E-3</v>
      </c>
      <c r="G1221" s="35">
        <f t="shared" si="26"/>
        <v>55</v>
      </c>
    </row>
    <row r="1222" spans="1:7">
      <c r="A1222" s="3" t="s">
        <v>484</v>
      </c>
      <c r="B1222" s="3" t="s">
        <v>725</v>
      </c>
      <c r="C1222" s="3" t="s">
        <v>726</v>
      </c>
      <c r="D1222" s="3" t="s">
        <v>103</v>
      </c>
      <c r="E1222" s="262">
        <f>ROUND(INSUMOS!$E$88,0)</f>
        <v>981</v>
      </c>
      <c r="F1222" s="6">
        <v>1</v>
      </c>
      <c r="G1222" s="35">
        <f t="shared" si="26"/>
        <v>981</v>
      </c>
    </row>
    <row r="1223" spans="1:7">
      <c r="A1223" s="3" t="s">
        <v>484</v>
      </c>
      <c r="B1223" s="3" t="s">
        <v>727</v>
      </c>
      <c r="C1223" s="3" t="s">
        <v>728</v>
      </c>
      <c r="D1223" s="3" t="s">
        <v>103</v>
      </c>
      <c r="E1223" s="262">
        <f>ROUND(INSUMOS!$E$89,0)</f>
        <v>1293</v>
      </c>
      <c r="F1223" s="6">
        <v>1</v>
      </c>
      <c r="G1223" s="35">
        <f t="shared" si="26"/>
        <v>1293</v>
      </c>
    </row>
    <row r="1224" spans="1:7">
      <c r="A1224" s="3" t="s">
        <v>484</v>
      </c>
      <c r="B1224" s="3" t="s">
        <v>599</v>
      </c>
      <c r="C1224" s="3" t="s">
        <v>600</v>
      </c>
      <c r="D1224" s="3" t="s">
        <v>103</v>
      </c>
      <c r="E1224" s="262">
        <f>ROUND(INSUMOS!$E$47,0)</f>
        <v>764</v>
      </c>
      <c r="F1224" s="6">
        <v>1</v>
      </c>
      <c r="G1224" s="35">
        <f t="shared" si="26"/>
        <v>764</v>
      </c>
    </row>
    <row r="1225" spans="1:7">
      <c r="A1225" s="402" t="s">
        <v>495</v>
      </c>
      <c r="B1225" s="402" t="s">
        <v>495</v>
      </c>
      <c r="C1225" s="402" t="s">
        <v>495</v>
      </c>
      <c r="D1225" s="402" t="s">
        <v>495</v>
      </c>
      <c r="E1225" s="403" t="s">
        <v>495</v>
      </c>
      <c r="F1225" s="402" t="s">
        <v>495</v>
      </c>
      <c r="G1225" s="55">
        <f>ROUND(SUM(G1218:G1224),0)</f>
        <v>39390</v>
      </c>
    </row>
    <row r="1226" spans="1:7">
      <c r="A1226" s="400" t="s">
        <v>496</v>
      </c>
      <c r="B1226" s="400" t="s">
        <v>496</v>
      </c>
      <c r="C1226" s="400" t="s">
        <v>496</v>
      </c>
      <c r="D1226" s="400" t="s">
        <v>496</v>
      </c>
      <c r="E1226" s="401" t="s">
        <v>496</v>
      </c>
      <c r="F1226" s="400" t="s">
        <v>496</v>
      </c>
      <c r="G1226" s="401" t="s">
        <v>496</v>
      </c>
    </row>
    <row r="1227" spans="1:7">
      <c r="A1227" s="3" t="s">
        <v>496</v>
      </c>
      <c r="B1227" s="3" t="s">
        <v>721</v>
      </c>
      <c r="C1227" s="3" t="s">
        <v>722</v>
      </c>
      <c r="D1227" s="3" t="s">
        <v>478</v>
      </c>
      <c r="E1227" s="262">
        <f>ROUND('MANO DE OBRA'!$E$23,0)</f>
        <v>177075</v>
      </c>
      <c r="F1227" s="6">
        <v>0.12</v>
      </c>
      <c r="G1227" s="35">
        <f>ROUND(E1227*F1227,0)</f>
        <v>21249</v>
      </c>
    </row>
    <row r="1228" spans="1:7">
      <c r="A1228" s="3" t="s">
        <v>496</v>
      </c>
      <c r="B1228" s="3" t="s">
        <v>723</v>
      </c>
      <c r="C1228" s="3" t="s">
        <v>724</v>
      </c>
      <c r="D1228" s="3" t="s">
        <v>478</v>
      </c>
      <c r="E1228" s="262">
        <f>ROUND('MANO DE OBRA'!$E$24,0)</f>
        <v>107973</v>
      </c>
      <c r="F1228" s="6">
        <v>0.12</v>
      </c>
      <c r="G1228" s="35">
        <f>ROUND(E1228*F1228,0)</f>
        <v>12957</v>
      </c>
    </row>
    <row r="1229" spans="1:7" ht="12.75" thickBot="1">
      <c r="A1229" s="402" t="s">
        <v>503</v>
      </c>
      <c r="B1229" s="402" t="s">
        <v>503</v>
      </c>
      <c r="C1229" s="402" t="s">
        <v>503</v>
      </c>
      <c r="D1229" s="402" t="s">
        <v>503</v>
      </c>
      <c r="E1229" s="403" t="s">
        <v>503</v>
      </c>
      <c r="F1229" s="402" t="s">
        <v>503</v>
      </c>
      <c r="G1229" s="55">
        <f>ROUND(SUM(G1227:G1228),0)</f>
        <v>34206</v>
      </c>
    </row>
    <row r="1230" spans="1:7" ht="12.75" thickBot="1">
      <c r="A1230" s="404" t="s">
        <v>60</v>
      </c>
      <c r="B1230" s="405" t="s">
        <v>504</v>
      </c>
      <c r="C1230" s="405" t="s">
        <v>504</v>
      </c>
      <c r="D1230" s="405" t="s">
        <v>504</v>
      </c>
      <c r="E1230" s="406" t="s">
        <v>504</v>
      </c>
      <c r="F1230" s="8"/>
      <c r="G1230" s="56">
        <f>ROUND(SUM(G1216,G1225,G1229),0)</f>
        <v>75306</v>
      </c>
    </row>
    <row r="1231" spans="1:7">
      <c r="A1231" s="1"/>
      <c r="B1231" s="1"/>
      <c r="C1231" s="1"/>
      <c r="D1231" s="1"/>
      <c r="E1231" s="52"/>
      <c r="F1231" s="1"/>
      <c r="G1231" s="52"/>
    </row>
    <row r="1232" spans="1:7" ht="42" customHeight="1">
      <c r="A1232" s="5" t="s">
        <v>428</v>
      </c>
      <c r="B1232" s="5" t="s">
        <v>210</v>
      </c>
      <c r="C1232" s="407" t="s">
        <v>211</v>
      </c>
      <c r="D1232" s="407"/>
      <c r="E1232" s="408"/>
      <c r="F1232" s="407"/>
      <c r="G1232" s="53" t="s">
        <v>103</v>
      </c>
    </row>
    <row r="1233" spans="1:7">
      <c r="A1233" s="2" t="s">
        <v>470</v>
      </c>
      <c r="B1233" s="2" t="s">
        <v>471</v>
      </c>
      <c r="C1233" s="2" t="s">
        <v>4</v>
      </c>
      <c r="D1233" s="2" t="s">
        <v>58</v>
      </c>
      <c r="E1233" s="54" t="s">
        <v>472</v>
      </c>
      <c r="F1233" s="2" t="s">
        <v>473</v>
      </c>
      <c r="G1233" s="54" t="s">
        <v>264</v>
      </c>
    </row>
    <row r="1234" spans="1:7">
      <c r="A1234" s="400" t="s">
        <v>474</v>
      </c>
      <c r="B1234" s="400" t="s">
        <v>474</v>
      </c>
      <c r="C1234" s="400" t="s">
        <v>474</v>
      </c>
      <c r="D1234" s="400" t="s">
        <v>474</v>
      </c>
      <c r="E1234" s="401" t="s">
        <v>474</v>
      </c>
      <c r="F1234" s="400" t="s">
        <v>474</v>
      </c>
      <c r="G1234" s="401" t="s">
        <v>474</v>
      </c>
    </row>
    <row r="1235" spans="1:7">
      <c r="A1235" s="3" t="s">
        <v>475</v>
      </c>
      <c r="B1235" s="3" t="s">
        <v>479</v>
      </c>
      <c r="C1235" s="3" t="s">
        <v>480</v>
      </c>
      <c r="D1235" s="3" t="s">
        <v>481</v>
      </c>
      <c r="E1235" s="262">
        <f>ROUND($G$1248,0)</f>
        <v>34206</v>
      </c>
      <c r="F1235" s="7">
        <v>0.05</v>
      </c>
      <c r="G1235" s="35">
        <f>ROUND(E1235*F1235,0)</f>
        <v>1710</v>
      </c>
    </row>
    <row r="1236" spans="1:7">
      <c r="A1236" s="402" t="s">
        <v>482</v>
      </c>
      <c r="B1236" s="402" t="s">
        <v>482</v>
      </c>
      <c r="C1236" s="402" t="s">
        <v>482</v>
      </c>
      <c r="D1236" s="402" t="s">
        <v>482</v>
      </c>
      <c r="E1236" s="403" t="s">
        <v>482</v>
      </c>
      <c r="F1236" s="402" t="s">
        <v>482</v>
      </c>
      <c r="G1236" s="55">
        <f>ROUND(SUM(G1235:G1235),0)</f>
        <v>1710</v>
      </c>
    </row>
    <row r="1237" spans="1:7">
      <c r="A1237" s="400" t="s">
        <v>483</v>
      </c>
      <c r="B1237" s="400" t="s">
        <v>483</v>
      </c>
      <c r="C1237" s="400" t="s">
        <v>483</v>
      </c>
      <c r="D1237" s="400" t="s">
        <v>483</v>
      </c>
      <c r="E1237" s="401" t="s">
        <v>483</v>
      </c>
      <c r="F1237" s="400" t="s">
        <v>483</v>
      </c>
      <c r="G1237" s="401" t="s">
        <v>483</v>
      </c>
    </row>
    <row r="1238" spans="1:7">
      <c r="A1238" s="3" t="s">
        <v>484</v>
      </c>
      <c r="B1238" s="3" t="s">
        <v>729</v>
      </c>
      <c r="C1238" s="3" t="s">
        <v>730</v>
      </c>
      <c r="D1238" s="3" t="s">
        <v>103</v>
      </c>
      <c r="E1238" s="262">
        <f>ROUND(INSUMOS!$E$90,0)</f>
        <v>61761</v>
      </c>
      <c r="F1238" s="6">
        <v>1</v>
      </c>
      <c r="G1238" s="35">
        <f t="shared" ref="G1238:G1243" si="27">ROUND(E1238*F1238,0)</f>
        <v>61761</v>
      </c>
    </row>
    <row r="1239" spans="1:7">
      <c r="A1239" s="3" t="s">
        <v>484</v>
      </c>
      <c r="B1239" s="3" t="s">
        <v>716</v>
      </c>
      <c r="C1239" s="3" t="s">
        <v>717</v>
      </c>
      <c r="D1239" s="3" t="s">
        <v>103</v>
      </c>
      <c r="E1239" s="262">
        <f>ROUND(INSUMOS!$E$86,0)</f>
        <v>61880</v>
      </c>
      <c r="F1239" s="6">
        <v>6.0000000000000001E-3</v>
      </c>
      <c r="G1239" s="35">
        <f t="shared" si="27"/>
        <v>371</v>
      </c>
    </row>
    <row r="1240" spans="1:7">
      <c r="A1240" s="3" t="s">
        <v>484</v>
      </c>
      <c r="B1240" s="3" t="s">
        <v>718</v>
      </c>
      <c r="C1240" s="3" t="s">
        <v>719</v>
      </c>
      <c r="D1240" s="3" t="s">
        <v>720</v>
      </c>
      <c r="E1240" s="262">
        <f>ROUND(INSUMOS!$E$87,0)</f>
        <v>54900</v>
      </c>
      <c r="F1240" s="6">
        <v>1E-3</v>
      </c>
      <c r="G1240" s="35">
        <f t="shared" si="27"/>
        <v>55</v>
      </c>
    </row>
    <row r="1241" spans="1:7">
      <c r="A1241" s="3" t="s">
        <v>484</v>
      </c>
      <c r="B1241" s="3" t="s">
        <v>725</v>
      </c>
      <c r="C1241" s="3" t="s">
        <v>726</v>
      </c>
      <c r="D1241" s="3" t="s">
        <v>103</v>
      </c>
      <c r="E1241" s="262">
        <f>ROUND(INSUMOS!$E$88,0)</f>
        <v>981</v>
      </c>
      <c r="F1241" s="6">
        <v>1</v>
      </c>
      <c r="G1241" s="35">
        <f t="shared" si="27"/>
        <v>981</v>
      </c>
    </row>
    <row r="1242" spans="1:7">
      <c r="A1242" s="3" t="s">
        <v>484</v>
      </c>
      <c r="B1242" s="3" t="s">
        <v>727</v>
      </c>
      <c r="C1242" s="3" t="s">
        <v>728</v>
      </c>
      <c r="D1242" s="3" t="s">
        <v>103</v>
      </c>
      <c r="E1242" s="262">
        <f>ROUND(INSUMOS!$E$89,0)</f>
        <v>1293</v>
      </c>
      <c r="F1242" s="6">
        <v>1</v>
      </c>
      <c r="G1242" s="35">
        <f t="shared" si="27"/>
        <v>1293</v>
      </c>
    </row>
    <row r="1243" spans="1:7">
      <c r="A1243" s="3" t="s">
        <v>484</v>
      </c>
      <c r="B1243" s="3" t="s">
        <v>599</v>
      </c>
      <c r="C1243" s="3" t="s">
        <v>600</v>
      </c>
      <c r="D1243" s="3" t="s">
        <v>103</v>
      </c>
      <c r="E1243" s="262">
        <f>ROUND(INSUMOS!$E$47,0)</f>
        <v>764</v>
      </c>
      <c r="F1243" s="6">
        <v>1</v>
      </c>
      <c r="G1243" s="35">
        <f t="shared" si="27"/>
        <v>764</v>
      </c>
    </row>
    <row r="1244" spans="1:7">
      <c r="A1244" s="402" t="s">
        <v>495</v>
      </c>
      <c r="B1244" s="402" t="s">
        <v>495</v>
      </c>
      <c r="C1244" s="402" t="s">
        <v>495</v>
      </c>
      <c r="D1244" s="402" t="s">
        <v>495</v>
      </c>
      <c r="E1244" s="403" t="s">
        <v>495</v>
      </c>
      <c r="F1244" s="402" t="s">
        <v>495</v>
      </c>
      <c r="G1244" s="55">
        <f>ROUND(SUM(G1238:G1243),0)</f>
        <v>65225</v>
      </c>
    </row>
    <row r="1245" spans="1:7">
      <c r="A1245" s="400" t="s">
        <v>496</v>
      </c>
      <c r="B1245" s="400" t="s">
        <v>496</v>
      </c>
      <c r="C1245" s="400" t="s">
        <v>496</v>
      </c>
      <c r="D1245" s="400" t="s">
        <v>496</v>
      </c>
      <c r="E1245" s="401" t="s">
        <v>496</v>
      </c>
      <c r="F1245" s="400" t="s">
        <v>496</v>
      </c>
      <c r="G1245" s="401" t="s">
        <v>496</v>
      </c>
    </row>
    <row r="1246" spans="1:7">
      <c r="A1246" s="3" t="s">
        <v>496</v>
      </c>
      <c r="B1246" s="3" t="s">
        <v>721</v>
      </c>
      <c r="C1246" s="3" t="s">
        <v>722</v>
      </c>
      <c r="D1246" s="3" t="s">
        <v>478</v>
      </c>
      <c r="E1246" s="262">
        <f>ROUND('MANO DE OBRA'!$E$23,0)</f>
        <v>177075</v>
      </c>
      <c r="F1246" s="6">
        <v>0.12</v>
      </c>
      <c r="G1246" s="35">
        <f>ROUND(E1246*F1246,0)</f>
        <v>21249</v>
      </c>
    </row>
    <row r="1247" spans="1:7">
      <c r="A1247" s="3" t="s">
        <v>496</v>
      </c>
      <c r="B1247" s="3" t="s">
        <v>723</v>
      </c>
      <c r="C1247" s="3" t="s">
        <v>724</v>
      </c>
      <c r="D1247" s="3" t="s">
        <v>478</v>
      </c>
      <c r="E1247" s="262">
        <f>ROUND('MANO DE OBRA'!$E$24,0)</f>
        <v>107973</v>
      </c>
      <c r="F1247" s="6">
        <v>0.12</v>
      </c>
      <c r="G1247" s="35">
        <f>ROUND(E1247*F1247,0)</f>
        <v>12957</v>
      </c>
    </row>
    <row r="1248" spans="1:7" ht="12.75" thickBot="1">
      <c r="A1248" s="402" t="s">
        <v>503</v>
      </c>
      <c r="B1248" s="402" t="s">
        <v>503</v>
      </c>
      <c r="C1248" s="402" t="s">
        <v>503</v>
      </c>
      <c r="D1248" s="402" t="s">
        <v>503</v>
      </c>
      <c r="E1248" s="403" t="s">
        <v>503</v>
      </c>
      <c r="F1248" s="402" t="s">
        <v>503</v>
      </c>
      <c r="G1248" s="55">
        <f>ROUND(SUM(G1246:G1247),0)</f>
        <v>34206</v>
      </c>
    </row>
    <row r="1249" spans="1:7" ht="12.75" thickBot="1">
      <c r="A1249" s="404" t="s">
        <v>60</v>
      </c>
      <c r="B1249" s="405" t="s">
        <v>504</v>
      </c>
      <c r="C1249" s="405" t="s">
        <v>504</v>
      </c>
      <c r="D1249" s="405" t="s">
        <v>504</v>
      </c>
      <c r="E1249" s="406" t="s">
        <v>504</v>
      </c>
      <c r="F1249" s="8"/>
      <c r="G1249" s="56">
        <f>ROUND(SUM(G1236,G1244,G1248),0)</f>
        <v>101141</v>
      </c>
    </row>
    <row r="1250" spans="1:7">
      <c r="A1250" s="1"/>
      <c r="B1250" s="1"/>
      <c r="C1250" s="1"/>
      <c r="D1250" s="1"/>
      <c r="E1250" s="52"/>
      <c r="F1250" s="1"/>
      <c r="G1250" s="52"/>
    </row>
    <row r="1251" spans="1:7" ht="42" customHeight="1">
      <c r="A1251" s="5" t="s">
        <v>430</v>
      </c>
      <c r="B1251" s="5" t="s">
        <v>213</v>
      </c>
      <c r="C1251" s="407" t="s">
        <v>214</v>
      </c>
      <c r="D1251" s="407"/>
      <c r="E1251" s="408"/>
      <c r="F1251" s="407"/>
      <c r="G1251" s="53" t="s">
        <v>103</v>
      </c>
    </row>
    <row r="1252" spans="1:7">
      <c r="A1252" s="2" t="s">
        <v>470</v>
      </c>
      <c r="B1252" s="2" t="s">
        <v>471</v>
      </c>
      <c r="C1252" s="2" t="s">
        <v>4</v>
      </c>
      <c r="D1252" s="2" t="s">
        <v>58</v>
      </c>
      <c r="E1252" s="54" t="s">
        <v>472</v>
      </c>
      <c r="F1252" s="2" t="s">
        <v>473</v>
      </c>
      <c r="G1252" s="54" t="s">
        <v>264</v>
      </c>
    </row>
    <row r="1253" spans="1:7">
      <c r="A1253" s="400" t="s">
        <v>474</v>
      </c>
      <c r="B1253" s="400" t="s">
        <v>474</v>
      </c>
      <c r="C1253" s="400" t="s">
        <v>474</v>
      </c>
      <c r="D1253" s="400" t="s">
        <v>474</v>
      </c>
      <c r="E1253" s="401" t="s">
        <v>474</v>
      </c>
      <c r="F1253" s="400" t="s">
        <v>474</v>
      </c>
      <c r="G1253" s="401" t="s">
        <v>474</v>
      </c>
    </row>
    <row r="1254" spans="1:7">
      <c r="A1254" s="3" t="s">
        <v>475</v>
      </c>
      <c r="B1254" s="3" t="s">
        <v>479</v>
      </c>
      <c r="C1254" s="3" t="s">
        <v>480</v>
      </c>
      <c r="D1254" s="3" t="s">
        <v>481</v>
      </c>
      <c r="E1254" s="262">
        <f>ROUND($G$1267,0)</f>
        <v>57010</v>
      </c>
      <c r="F1254" s="7">
        <v>0.05</v>
      </c>
      <c r="G1254" s="35">
        <f>ROUND(E1254*F1254,0)</f>
        <v>2851</v>
      </c>
    </row>
    <row r="1255" spans="1:7">
      <c r="A1255" s="402" t="s">
        <v>482</v>
      </c>
      <c r="B1255" s="402" t="s">
        <v>482</v>
      </c>
      <c r="C1255" s="402" t="s">
        <v>482</v>
      </c>
      <c r="D1255" s="402" t="s">
        <v>482</v>
      </c>
      <c r="E1255" s="403" t="s">
        <v>482</v>
      </c>
      <c r="F1255" s="402" t="s">
        <v>482</v>
      </c>
      <c r="G1255" s="55">
        <f>ROUND(SUM(G1254:G1254),0)</f>
        <v>2851</v>
      </c>
    </row>
    <row r="1256" spans="1:7">
      <c r="A1256" s="400" t="s">
        <v>483</v>
      </c>
      <c r="B1256" s="400" t="s">
        <v>483</v>
      </c>
      <c r="C1256" s="400" t="s">
        <v>483</v>
      </c>
      <c r="D1256" s="400" t="s">
        <v>483</v>
      </c>
      <c r="E1256" s="401" t="s">
        <v>483</v>
      </c>
      <c r="F1256" s="400" t="s">
        <v>483</v>
      </c>
      <c r="G1256" s="401" t="s">
        <v>483</v>
      </c>
    </row>
    <row r="1257" spans="1:7">
      <c r="A1257" s="3" t="s">
        <v>484</v>
      </c>
      <c r="B1257" s="3" t="s">
        <v>731</v>
      </c>
      <c r="C1257" s="3" t="s">
        <v>732</v>
      </c>
      <c r="D1257" s="3" t="s">
        <v>103</v>
      </c>
      <c r="E1257" s="262">
        <f>ROUND(INSUMOS!$E$91,0)</f>
        <v>29718</v>
      </c>
      <c r="F1257" s="6">
        <v>0</v>
      </c>
      <c r="G1257" s="35">
        <f t="shared" ref="G1257:G1262" si="28">ROUND(E1257*F1257,0)</f>
        <v>0</v>
      </c>
    </row>
    <row r="1258" spans="1:7">
      <c r="A1258" s="3" t="s">
        <v>484</v>
      </c>
      <c r="B1258" s="3" t="s">
        <v>733</v>
      </c>
      <c r="C1258" s="3" t="s">
        <v>734</v>
      </c>
      <c r="D1258" s="3" t="s">
        <v>103</v>
      </c>
      <c r="E1258" s="262">
        <f>ROUND(INSUMOS!$E$92,0)</f>
        <v>5593</v>
      </c>
      <c r="F1258" s="6">
        <v>1</v>
      </c>
      <c r="G1258" s="35">
        <f t="shared" si="28"/>
        <v>5593</v>
      </c>
    </row>
    <row r="1259" spans="1:7">
      <c r="A1259" s="3" t="s">
        <v>484</v>
      </c>
      <c r="B1259" s="3" t="s">
        <v>716</v>
      </c>
      <c r="C1259" s="3" t="s">
        <v>717</v>
      </c>
      <c r="D1259" s="3" t="s">
        <v>103</v>
      </c>
      <c r="E1259" s="262">
        <f>ROUND(INSUMOS!$E$86,0)</f>
        <v>61880</v>
      </c>
      <c r="F1259" s="6">
        <v>1.4999999999999999E-2</v>
      </c>
      <c r="G1259" s="35">
        <f t="shared" si="28"/>
        <v>928</v>
      </c>
    </row>
    <row r="1260" spans="1:7">
      <c r="A1260" s="3" t="s">
        <v>484</v>
      </c>
      <c r="B1260" s="3" t="s">
        <v>718</v>
      </c>
      <c r="C1260" s="3" t="s">
        <v>719</v>
      </c>
      <c r="D1260" s="3" t="s">
        <v>720</v>
      </c>
      <c r="E1260" s="262">
        <f>ROUND(INSUMOS!$E$87,0)</f>
        <v>54900</v>
      </c>
      <c r="F1260" s="6">
        <v>2E-3</v>
      </c>
      <c r="G1260" s="35">
        <f t="shared" si="28"/>
        <v>110</v>
      </c>
    </row>
    <row r="1261" spans="1:7">
      <c r="A1261" s="3" t="s">
        <v>484</v>
      </c>
      <c r="B1261" s="3" t="s">
        <v>735</v>
      </c>
      <c r="C1261" s="3" t="s">
        <v>736</v>
      </c>
      <c r="D1261" s="3" t="s">
        <v>103</v>
      </c>
      <c r="E1261" s="262">
        <f>ROUND(INSUMOS!$E$93,0)</f>
        <v>9520</v>
      </c>
      <c r="F1261" s="6">
        <v>1</v>
      </c>
      <c r="G1261" s="35">
        <f t="shared" si="28"/>
        <v>9520</v>
      </c>
    </row>
    <row r="1262" spans="1:7">
      <c r="A1262" s="3" t="s">
        <v>484</v>
      </c>
      <c r="B1262" s="3" t="s">
        <v>737</v>
      </c>
      <c r="C1262" s="3" t="s">
        <v>738</v>
      </c>
      <c r="D1262" s="3" t="s">
        <v>103</v>
      </c>
      <c r="E1262" s="262">
        <f>ROUND(INSUMOS!$E$94,0)</f>
        <v>36771</v>
      </c>
      <c r="F1262" s="6">
        <v>1</v>
      </c>
      <c r="G1262" s="35">
        <f t="shared" si="28"/>
        <v>36771</v>
      </c>
    </row>
    <row r="1263" spans="1:7">
      <c r="A1263" s="402" t="s">
        <v>495</v>
      </c>
      <c r="B1263" s="402" t="s">
        <v>495</v>
      </c>
      <c r="C1263" s="402" t="s">
        <v>495</v>
      </c>
      <c r="D1263" s="402" t="s">
        <v>495</v>
      </c>
      <c r="E1263" s="403" t="s">
        <v>495</v>
      </c>
      <c r="F1263" s="402" t="s">
        <v>495</v>
      </c>
      <c r="G1263" s="55">
        <f>ROUND(SUM(G1257:G1262),0)</f>
        <v>52922</v>
      </c>
    </row>
    <row r="1264" spans="1:7">
      <c r="A1264" s="400" t="s">
        <v>496</v>
      </c>
      <c r="B1264" s="400" t="s">
        <v>496</v>
      </c>
      <c r="C1264" s="400" t="s">
        <v>496</v>
      </c>
      <c r="D1264" s="400" t="s">
        <v>496</v>
      </c>
      <c r="E1264" s="401" t="s">
        <v>496</v>
      </c>
      <c r="F1264" s="400" t="s">
        <v>496</v>
      </c>
      <c r="G1264" s="401" t="s">
        <v>496</v>
      </c>
    </row>
    <row r="1265" spans="1:7">
      <c r="A1265" s="3" t="s">
        <v>496</v>
      </c>
      <c r="B1265" s="3" t="s">
        <v>721</v>
      </c>
      <c r="C1265" s="3" t="s">
        <v>722</v>
      </c>
      <c r="D1265" s="3" t="s">
        <v>478</v>
      </c>
      <c r="E1265" s="262">
        <f>ROUND('MANO DE OBRA'!$E$23,0)</f>
        <v>177075</v>
      </c>
      <c r="F1265" s="6">
        <v>0.2</v>
      </c>
      <c r="G1265" s="35">
        <f>ROUND(E1265*F1265,0)</f>
        <v>35415</v>
      </c>
    </row>
    <row r="1266" spans="1:7">
      <c r="A1266" s="3" t="s">
        <v>496</v>
      </c>
      <c r="B1266" s="3" t="s">
        <v>723</v>
      </c>
      <c r="C1266" s="3" t="s">
        <v>724</v>
      </c>
      <c r="D1266" s="3" t="s">
        <v>478</v>
      </c>
      <c r="E1266" s="262">
        <f>ROUND('MANO DE OBRA'!$E$24,0)</f>
        <v>107973</v>
      </c>
      <c r="F1266" s="6">
        <v>0.2</v>
      </c>
      <c r="G1266" s="35">
        <f>ROUND(E1266*F1266,0)</f>
        <v>21595</v>
      </c>
    </row>
    <row r="1267" spans="1:7" ht="12.75" thickBot="1">
      <c r="A1267" s="402" t="s">
        <v>503</v>
      </c>
      <c r="B1267" s="402" t="s">
        <v>503</v>
      </c>
      <c r="C1267" s="402" t="s">
        <v>503</v>
      </c>
      <c r="D1267" s="402" t="s">
        <v>503</v>
      </c>
      <c r="E1267" s="403" t="s">
        <v>503</v>
      </c>
      <c r="F1267" s="402" t="s">
        <v>503</v>
      </c>
      <c r="G1267" s="55">
        <f>ROUND(SUM(G1265:G1266),0)</f>
        <v>57010</v>
      </c>
    </row>
    <row r="1268" spans="1:7" ht="12.75" thickBot="1">
      <c r="A1268" s="404" t="s">
        <v>60</v>
      </c>
      <c r="B1268" s="405" t="s">
        <v>504</v>
      </c>
      <c r="C1268" s="405" t="s">
        <v>504</v>
      </c>
      <c r="D1268" s="405" t="s">
        <v>504</v>
      </c>
      <c r="E1268" s="406" t="s">
        <v>504</v>
      </c>
      <c r="F1268" s="8"/>
      <c r="G1268" s="56">
        <f>ROUND(SUM(G1255,G1263,G1267),0)</f>
        <v>112783</v>
      </c>
    </row>
    <row r="1269" spans="1:7">
      <c r="A1269" s="1"/>
      <c r="B1269" s="1"/>
      <c r="C1269" s="1"/>
      <c r="D1269" s="1"/>
      <c r="E1269" s="52"/>
      <c r="F1269" s="1"/>
      <c r="G1269" s="52"/>
    </row>
    <row r="1270" spans="1:7" ht="42" customHeight="1">
      <c r="A1270" s="5" t="s">
        <v>432</v>
      </c>
      <c r="B1270" s="5" t="s">
        <v>215</v>
      </c>
      <c r="C1270" s="407" t="s">
        <v>216</v>
      </c>
      <c r="D1270" s="407"/>
      <c r="E1270" s="408"/>
      <c r="F1270" s="407"/>
      <c r="G1270" s="53" t="s">
        <v>103</v>
      </c>
    </row>
    <row r="1271" spans="1:7">
      <c r="A1271" s="2" t="s">
        <v>470</v>
      </c>
      <c r="B1271" s="2" t="s">
        <v>471</v>
      </c>
      <c r="C1271" s="2" t="s">
        <v>4</v>
      </c>
      <c r="D1271" s="2" t="s">
        <v>58</v>
      </c>
      <c r="E1271" s="54" t="s">
        <v>472</v>
      </c>
      <c r="F1271" s="2" t="s">
        <v>473</v>
      </c>
      <c r="G1271" s="54" t="s">
        <v>264</v>
      </c>
    </row>
    <row r="1272" spans="1:7">
      <c r="A1272" s="400" t="s">
        <v>474</v>
      </c>
      <c r="B1272" s="400" t="s">
        <v>474</v>
      </c>
      <c r="C1272" s="400" t="s">
        <v>474</v>
      </c>
      <c r="D1272" s="400" t="s">
        <v>474</v>
      </c>
      <c r="E1272" s="401" t="s">
        <v>474</v>
      </c>
      <c r="F1272" s="400" t="s">
        <v>474</v>
      </c>
      <c r="G1272" s="401" t="s">
        <v>474</v>
      </c>
    </row>
    <row r="1273" spans="1:7">
      <c r="A1273" s="3" t="s">
        <v>475</v>
      </c>
      <c r="B1273" s="3" t="s">
        <v>479</v>
      </c>
      <c r="C1273" s="3" t="s">
        <v>480</v>
      </c>
      <c r="D1273" s="3" t="s">
        <v>481</v>
      </c>
      <c r="E1273" s="262">
        <f>ROUND($G$1286,0)</f>
        <v>42757</v>
      </c>
      <c r="F1273" s="7">
        <v>0.05</v>
      </c>
      <c r="G1273" s="35">
        <f>ROUND(E1273*F1273,0)</f>
        <v>2138</v>
      </c>
    </row>
    <row r="1274" spans="1:7">
      <c r="A1274" s="402" t="s">
        <v>482</v>
      </c>
      <c r="B1274" s="402" t="s">
        <v>482</v>
      </c>
      <c r="C1274" s="402" t="s">
        <v>482</v>
      </c>
      <c r="D1274" s="402" t="s">
        <v>482</v>
      </c>
      <c r="E1274" s="403" t="s">
        <v>482</v>
      </c>
      <c r="F1274" s="402" t="s">
        <v>482</v>
      </c>
      <c r="G1274" s="55">
        <f>ROUND(SUM(G1273:G1273),0)</f>
        <v>2138</v>
      </c>
    </row>
    <row r="1275" spans="1:7">
      <c r="A1275" s="400" t="s">
        <v>483</v>
      </c>
      <c r="B1275" s="400" t="s">
        <v>483</v>
      </c>
      <c r="C1275" s="400" t="s">
        <v>483</v>
      </c>
      <c r="D1275" s="400" t="s">
        <v>483</v>
      </c>
      <c r="E1275" s="401" t="s">
        <v>483</v>
      </c>
      <c r="F1275" s="400" t="s">
        <v>483</v>
      </c>
      <c r="G1275" s="401" t="s">
        <v>483</v>
      </c>
    </row>
    <row r="1276" spans="1:7">
      <c r="A1276" s="3" t="s">
        <v>484</v>
      </c>
      <c r="B1276" s="3" t="s">
        <v>739</v>
      </c>
      <c r="C1276" s="3" t="s">
        <v>740</v>
      </c>
      <c r="D1276" s="3" t="s">
        <v>68</v>
      </c>
      <c r="E1276" s="262">
        <f>ROUND(INSUMOS!$E$95,0)</f>
        <v>11790</v>
      </c>
      <c r="F1276" s="6">
        <v>0</v>
      </c>
      <c r="G1276" s="35">
        <f t="shared" ref="G1276:G1281" si="29">ROUND(E1276*F1276,0)</f>
        <v>0</v>
      </c>
    </row>
    <row r="1277" spans="1:7">
      <c r="A1277" s="3" t="s">
        <v>484</v>
      </c>
      <c r="B1277" s="3" t="s">
        <v>733</v>
      </c>
      <c r="C1277" s="3" t="s">
        <v>734</v>
      </c>
      <c r="D1277" s="3" t="s">
        <v>103</v>
      </c>
      <c r="E1277" s="262">
        <f>ROUND(INSUMOS!$E$92,0)</f>
        <v>5593</v>
      </c>
      <c r="F1277" s="6">
        <v>1</v>
      </c>
      <c r="G1277" s="35">
        <f t="shared" si="29"/>
        <v>5593</v>
      </c>
    </row>
    <row r="1278" spans="1:7">
      <c r="A1278" s="3" t="s">
        <v>484</v>
      </c>
      <c r="B1278" s="3" t="s">
        <v>716</v>
      </c>
      <c r="C1278" s="3" t="s">
        <v>717</v>
      </c>
      <c r="D1278" s="3" t="s">
        <v>103</v>
      </c>
      <c r="E1278" s="262">
        <f>ROUND(INSUMOS!$E$86,0)</f>
        <v>61880</v>
      </c>
      <c r="F1278" s="6">
        <v>1.4999999999999999E-2</v>
      </c>
      <c r="G1278" s="35">
        <f t="shared" si="29"/>
        <v>928</v>
      </c>
    </row>
    <row r="1279" spans="1:7">
      <c r="A1279" s="3" t="s">
        <v>484</v>
      </c>
      <c r="B1279" s="3" t="s">
        <v>718</v>
      </c>
      <c r="C1279" s="3" t="s">
        <v>719</v>
      </c>
      <c r="D1279" s="3" t="s">
        <v>720</v>
      </c>
      <c r="E1279" s="262">
        <f>ROUND(INSUMOS!$E$87,0)</f>
        <v>54900</v>
      </c>
      <c r="F1279" s="6">
        <v>2E-3</v>
      </c>
      <c r="G1279" s="35">
        <f t="shared" si="29"/>
        <v>110</v>
      </c>
    </row>
    <row r="1280" spans="1:7">
      <c r="A1280" s="3" t="s">
        <v>484</v>
      </c>
      <c r="B1280" s="3" t="s">
        <v>741</v>
      </c>
      <c r="C1280" s="3" t="s">
        <v>742</v>
      </c>
      <c r="D1280" s="3" t="s">
        <v>103</v>
      </c>
      <c r="E1280" s="262">
        <f>ROUND(INSUMOS!$E$96,0)</f>
        <v>3577</v>
      </c>
      <c r="F1280" s="6">
        <v>2</v>
      </c>
      <c r="G1280" s="35">
        <f t="shared" si="29"/>
        <v>7154</v>
      </c>
    </row>
    <row r="1281" spans="1:7">
      <c r="A1281" s="3" t="s">
        <v>484</v>
      </c>
      <c r="B1281" s="3" t="s">
        <v>743</v>
      </c>
      <c r="C1281" s="3" t="s">
        <v>744</v>
      </c>
      <c r="D1281" s="3" t="s">
        <v>103</v>
      </c>
      <c r="E1281" s="262">
        <f>ROUND(INSUMOS!$E$97,0)</f>
        <v>24947</v>
      </c>
      <c r="F1281" s="6">
        <v>1</v>
      </c>
      <c r="G1281" s="35">
        <f t="shared" si="29"/>
        <v>24947</v>
      </c>
    </row>
    <row r="1282" spans="1:7">
      <c r="A1282" s="402" t="s">
        <v>495</v>
      </c>
      <c r="B1282" s="402" t="s">
        <v>495</v>
      </c>
      <c r="C1282" s="402" t="s">
        <v>495</v>
      </c>
      <c r="D1282" s="402" t="s">
        <v>495</v>
      </c>
      <c r="E1282" s="403" t="s">
        <v>495</v>
      </c>
      <c r="F1282" s="402" t="s">
        <v>495</v>
      </c>
      <c r="G1282" s="55">
        <f>ROUND(SUM(G1276:G1281),0)</f>
        <v>38732</v>
      </c>
    </row>
    <row r="1283" spans="1:7">
      <c r="A1283" s="400" t="s">
        <v>496</v>
      </c>
      <c r="B1283" s="400" t="s">
        <v>496</v>
      </c>
      <c r="C1283" s="400" t="s">
        <v>496</v>
      </c>
      <c r="D1283" s="400" t="s">
        <v>496</v>
      </c>
      <c r="E1283" s="401" t="s">
        <v>496</v>
      </c>
      <c r="F1283" s="400" t="s">
        <v>496</v>
      </c>
      <c r="G1283" s="401" t="s">
        <v>496</v>
      </c>
    </row>
    <row r="1284" spans="1:7">
      <c r="A1284" s="3" t="s">
        <v>496</v>
      </c>
      <c r="B1284" s="3" t="s">
        <v>721</v>
      </c>
      <c r="C1284" s="3" t="s">
        <v>722</v>
      </c>
      <c r="D1284" s="3" t="s">
        <v>478</v>
      </c>
      <c r="E1284" s="262">
        <f>ROUND('MANO DE OBRA'!$E$23,0)</f>
        <v>177075</v>
      </c>
      <c r="F1284" s="6">
        <v>0.15</v>
      </c>
      <c r="G1284" s="35">
        <f>ROUND(E1284*F1284,0)</f>
        <v>26561</v>
      </c>
    </row>
    <row r="1285" spans="1:7">
      <c r="A1285" s="3" t="s">
        <v>496</v>
      </c>
      <c r="B1285" s="3" t="s">
        <v>723</v>
      </c>
      <c r="C1285" s="3" t="s">
        <v>724</v>
      </c>
      <c r="D1285" s="3" t="s">
        <v>478</v>
      </c>
      <c r="E1285" s="262">
        <f>ROUND('MANO DE OBRA'!$E$24,0)</f>
        <v>107973</v>
      </c>
      <c r="F1285" s="6">
        <v>0.15</v>
      </c>
      <c r="G1285" s="35">
        <f>ROUND(E1285*F1285,0)</f>
        <v>16196</v>
      </c>
    </row>
    <row r="1286" spans="1:7" ht="12.75" thickBot="1">
      <c r="A1286" s="402" t="s">
        <v>503</v>
      </c>
      <c r="B1286" s="402" t="s">
        <v>503</v>
      </c>
      <c r="C1286" s="402" t="s">
        <v>503</v>
      </c>
      <c r="D1286" s="402" t="s">
        <v>503</v>
      </c>
      <c r="E1286" s="403" t="s">
        <v>503</v>
      </c>
      <c r="F1286" s="402" t="s">
        <v>503</v>
      </c>
      <c r="G1286" s="55">
        <f>ROUND(SUM(G1284:G1285),0)</f>
        <v>42757</v>
      </c>
    </row>
    <row r="1287" spans="1:7" ht="12.75" thickBot="1">
      <c r="A1287" s="404" t="s">
        <v>60</v>
      </c>
      <c r="B1287" s="405" t="s">
        <v>504</v>
      </c>
      <c r="C1287" s="405" t="s">
        <v>504</v>
      </c>
      <c r="D1287" s="405" t="s">
        <v>504</v>
      </c>
      <c r="E1287" s="406" t="s">
        <v>504</v>
      </c>
      <c r="F1287" s="8"/>
      <c r="G1287" s="56">
        <f>ROUND(SUM(G1274,G1282,G1286),0)</f>
        <v>83627</v>
      </c>
    </row>
    <row r="1288" spans="1:7">
      <c r="A1288" s="1"/>
      <c r="B1288" s="1"/>
      <c r="C1288" s="1"/>
      <c r="D1288" s="1"/>
      <c r="E1288" s="52"/>
      <c r="F1288" s="1"/>
      <c r="G1288" s="52"/>
    </row>
    <row r="1289" spans="1:7" ht="42" customHeight="1">
      <c r="A1289" s="5" t="s">
        <v>434</v>
      </c>
      <c r="B1289" s="5" t="s">
        <v>217</v>
      </c>
      <c r="C1289" s="407" t="s">
        <v>218</v>
      </c>
      <c r="D1289" s="407"/>
      <c r="E1289" s="408"/>
      <c r="F1289" s="407"/>
      <c r="G1289" s="53" t="s">
        <v>103</v>
      </c>
    </row>
    <row r="1290" spans="1:7">
      <c r="A1290" s="2" t="s">
        <v>470</v>
      </c>
      <c r="B1290" s="2" t="s">
        <v>471</v>
      </c>
      <c r="C1290" s="2" t="s">
        <v>4</v>
      </c>
      <c r="D1290" s="2" t="s">
        <v>58</v>
      </c>
      <c r="E1290" s="54" t="s">
        <v>472</v>
      </c>
      <c r="F1290" s="2" t="s">
        <v>473</v>
      </c>
      <c r="G1290" s="54" t="s">
        <v>264</v>
      </c>
    </row>
    <row r="1291" spans="1:7">
      <c r="A1291" s="400" t="s">
        <v>474</v>
      </c>
      <c r="B1291" s="400" t="s">
        <v>474</v>
      </c>
      <c r="C1291" s="400" t="s">
        <v>474</v>
      </c>
      <c r="D1291" s="400" t="s">
        <v>474</v>
      </c>
      <c r="E1291" s="401" t="s">
        <v>474</v>
      </c>
      <c r="F1291" s="400" t="s">
        <v>474</v>
      </c>
      <c r="G1291" s="401" t="s">
        <v>474</v>
      </c>
    </row>
    <row r="1292" spans="1:7">
      <c r="A1292" s="3" t="s">
        <v>475</v>
      </c>
      <c r="B1292" s="3" t="s">
        <v>479</v>
      </c>
      <c r="C1292" s="3" t="s">
        <v>480</v>
      </c>
      <c r="D1292" s="3" t="s">
        <v>481</v>
      </c>
      <c r="E1292" s="262">
        <f>ROUND($G$1300,0)</f>
        <v>42757</v>
      </c>
      <c r="F1292" s="7">
        <v>0.05</v>
      </c>
      <c r="G1292" s="35">
        <f>ROUND(E1292*F1292,0)</f>
        <v>2138</v>
      </c>
    </row>
    <row r="1293" spans="1:7">
      <c r="A1293" s="402" t="s">
        <v>482</v>
      </c>
      <c r="B1293" s="402" t="s">
        <v>482</v>
      </c>
      <c r="C1293" s="402" t="s">
        <v>482</v>
      </c>
      <c r="D1293" s="402" t="s">
        <v>482</v>
      </c>
      <c r="E1293" s="403" t="s">
        <v>482</v>
      </c>
      <c r="F1293" s="402" t="s">
        <v>482</v>
      </c>
      <c r="G1293" s="55">
        <f>ROUND(SUM(G1292:G1292),0)</f>
        <v>2138</v>
      </c>
    </row>
    <row r="1294" spans="1:7">
      <c r="A1294" s="400" t="s">
        <v>483</v>
      </c>
      <c r="B1294" s="400" t="s">
        <v>483</v>
      </c>
      <c r="C1294" s="400" t="s">
        <v>483</v>
      </c>
      <c r="D1294" s="400" t="s">
        <v>483</v>
      </c>
      <c r="E1294" s="401" t="s">
        <v>483</v>
      </c>
      <c r="F1294" s="400" t="s">
        <v>483</v>
      </c>
      <c r="G1294" s="401" t="s">
        <v>483</v>
      </c>
    </row>
    <row r="1295" spans="1:7">
      <c r="A1295" s="3" t="s">
        <v>484</v>
      </c>
      <c r="B1295" s="3" t="s">
        <v>745</v>
      </c>
      <c r="C1295" s="3" t="s">
        <v>746</v>
      </c>
      <c r="D1295" s="3" t="s">
        <v>103</v>
      </c>
      <c r="E1295" s="262">
        <f>ROUND(INSUMOS!$E$98,0)</f>
        <v>17357</v>
      </c>
      <c r="F1295" s="6">
        <v>0</v>
      </c>
      <c r="G1295" s="35">
        <f>ROUND(E1295*F1295,0)</f>
        <v>0</v>
      </c>
    </row>
    <row r="1296" spans="1:7">
      <c r="A1296" s="402" t="s">
        <v>495</v>
      </c>
      <c r="B1296" s="402" t="s">
        <v>495</v>
      </c>
      <c r="C1296" s="402" t="s">
        <v>495</v>
      </c>
      <c r="D1296" s="402" t="s">
        <v>495</v>
      </c>
      <c r="E1296" s="403" t="s">
        <v>495</v>
      </c>
      <c r="F1296" s="402" t="s">
        <v>495</v>
      </c>
      <c r="G1296" s="55">
        <f>ROUND(SUM(G1295:G1295),0)</f>
        <v>0</v>
      </c>
    </row>
    <row r="1297" spans="1:7">
      <c r="A1297" s="400" t="s">
        <v>496</v>
      </c>
      <c r="B1297" s="400" t="s">
        <v>496</v>
      </c>
      <c r="C1297" s="400" t="s">
        <v>496</v>
      </c>
      <c r="D1297" s="400" t="s">
        <v>496</v>
      </c>
      <c r="E1297" s="401" t="s">
        <v>496</v>
      </c>
      <c r="F1297" s="400" t="s">
        <v>496</v>
      </c>
      <c r="G1297" s="401" t="s">
        <v>496</v>
      </c>
    </row>
    <row r="1298" spans="1:7">
      <c r="A1298" s="3" t="s">
        <v>496</v>
      </c>
      <c r="B1298" s="3" t="s">
        <v>721</v>
      </c>
      <c r="C1298" s="3" t="s">
        <v>722</v>
      </c>
      <c r="D1298" s="3" t="s">
        <v>478</v>
      </c>
      <c r="E1298" s="262">
        <f>ROUND('MANO DE OBRA'!$E$23,0)</f>
        <v>177075</v>
      </c>
      <c r="F1298" s="6">
        <v>0.15</v>
      </c>
      <c r="G1298" s="35">
        <f>ROUND(E1298*F1298,0)</f>
        <v>26561</v>
      </c>
    </row>
    <row r="1299" spans="1:7">
      <c r="A1299" s="3" t="s">
        <v>496</v>
      </c>
      <c r="B1299" s="3" t="s">
        <v>723</v>
      </c>
      <c r="C1299" s="3" t="s">
        <v>724</v>
      </c>
      <c r="D1299" s="3" t="s">
        <v>478</v>
      </c>
      <c r="E1299" s="262">
        <f>ROUND('MANO DE OBRA'!$E$24,0)</f>
        <v>107973</v>
      </c>
      <c r="F1299" s="6">
        <v>0.15</v>
      </c>
      <c r="G1299" s="35">
        <f>ROUND(E1299*F1299,0)</f>
        <v>16196</v>
      </c>
    </row>
    <row r="1300" spans="1:7" ht="12.75" thickBot="1">
      <c r="A1300" s="402" t="s">
        <v>503</v>
      </c>
      <c r="B1300" s="402" t="s">
        <v>503</v>
      </c>
      <c r="C1300" s="402" t="s">
        <v>503</v>
      </c>
      <c r="D1300" s="402" t="s">
        <v>503</v>
      </c>
      <c r="E1300" s="403" t="s">
        <v>503</v>
      </c>
      <c r="F1300" s="402" t="s">
        <v>503</v>
      </c>
      <c r="G1300" s="55">
        <f>ROUND(SUM(G1298:G1299),0)</f>
        <v>42757</v>
      </c>
    </row>
    <row r="1301" spans="1:7" ht="12.75" thickBot="1">
      <c r="A1301" s="404" t="s">
        <v>60</v>
      </c>
      <c r="B1301" s="405" t="s">
        <v>504</v>
      </c>
      <c r="C1301" s="405" t="s">
        <v>504</v>
      </c>
      <c r="D1301" s="405" t="s">
        <v>504</v>
      </c>
      <c r="E1301" s="406" t="s">
        <v>504</v>
      </c>
      <c r="F1301" s="8"/>
      <c r="G1301" s="56">
        <f>ROUND(SUM(G1293,G1296,G1300),0)</f>
        <v>44895</v>
      </c>
    </row>
    <row r="1302" spans="1:7">
      <c r="A1302" s="1"/>
      <c r="B1302" s="1"/>
      <c r="C1302" s="1"/>
      <c r="D1302" s="1"/>
      <c r="E1302" s="52"/>
      <c r="F1302" s="1"/>
      <c r="G1302" s="52"/>
    </row>
    <row r="1303" spans="1:7" ht="42" customHeight="1">
      <c r="A1303" s="5" t="s">
        <v>436</v>
      </c>
      <c r="B1303" s="5" t="s">
        <v>219</v>
      </c>
      <c r="C1303" s="407" t="s">
        <v>220</v>
      </c>
      <c r="D1303" s="407"/>
      <c r="E1303" s="408"/>
      <c r="F1303" s="407"/>
      <c r="G1303" s="53" t="s">
        <v>68</v>
      </c>
    </row>
    <row r="1304" spans="1:7">
      <c r="A1304" s="2" t="s">
        <v>470</v>
      </c>
      <c r="B1304" s="2" t="s">
        <v>471</v>
      </c>
      <c r="C1304" s="2" t="s">
        <v>4</v>
      </c>
      <c r="D1304" s="2" t="s">
        <v>58</v>
      </c>
      <c r="E1304" s="54" t="s">
        <v>472</v>
      </c>
      <c r="F1304" s="2" t="s">
        <v>473</v>
      </c>
      <c r="G1304" s="54" t="s">
        <v>264</v>
      </c>
    </row>
    <row r="1305" spans="1:7">
      <c r="A1305" s="400" t="s">
        <v>474</v>
      </c>
      <c r="B1305" s="400" t="s">
        <v>474</v>
      </c>
      <c r="C1305" s="400" t="s">
        <v>474</v>
      </c>
      <c r="D1305" s="400" t="s">
        <v>474</v>
      </c>
      <c r="E1305" s="401" t="s">
        <v>474</v>
      </c>
      <c r="F1305" s="400" t="s">
        <v>474</v>
      </c>
      <c r="G1305" s="401" t="s">
        <v>474</v>
      </c>
    </row>
    <row r="1306" spans="1:7">
      <c r="A1306" s="3" t="s">
        <v>475</v>
      </c>
      <c r="B1306" s="3" t="s">
        <v>479</v>
      </c>
      <c r="C1306" s="3" t="s">
        <v>480</v>
      </c>
      <c r="D1306" s="3" t="s">
        <v>481</v>
      </c>
      <c r="E1306" s="262">
        <f>ROUND($G$1320,0)</f>
        <v>228038</v>
      </c>
      <c r="F1306" s="7">
        <v>0.05</v>
      </c>
      <c r="G1306" s="35">
        <f>ROUND(E1306*F1306,0)</f>
        <v>11402</v>
      </c>
    </row>
    <row r="1307" spans="1:7">
      <c r="A1307" s="402" t="s">
        <v>482</v>
      </c>
      <c r="B1307" s="402" t="s">
        <v>482</v>
      </c>
      <c r="C1307" s="402" t="s">
        <v>482</v>
      </c>
      <c r="D1307" s="402" t="s">
        <v>482</v>
      </c>
      <c r="E1307" s="403" t="s">
        <v>482</v>
      </c>
      <c r="F1307" s="402" t="s">
        <v>482</v>
      </c>
      <c r="G1307" s="55">
        <f>ROUND(SUM(G1306:G1306),0)</f>
        <v>11402</v>
      </c>
    </row>
    <row r="1308" spans="1:7">
      <c r="A1308" s="400" t="s">
        <v>483</v>
      </c>
      <c r="B1308" s="400" t="s">
        <v>483</v>
      </c>
      <c r="C1308" s="400" t="s">
        <v>483</v>
      </c>
      <c r="D1308" s="400" t="s">
        <v>483</v>
      </c>
      <c r="E1308" s="401" t="s">
        <v>483</v>
      </c>
      <c r="F1308" s="400" t="s">
        <v>483</v>
      </c>
      <c r="G1308" s="401" t="s">
        <v>483</v>
      </c>
    </row>
    <row r="1309" spans="1:7">
      <c r="A1309" s="3" t="s">
        <v>484</v>
      </c>
      <c r="B1309" s="3" t="s">
        <v>518</v>
      </c>
      <c r="C1309" s="3" t="s">
        <v>519</v>
      </c>
      <c r="D1309" s="3" t="s">
        <v>72</v>
      </c>
      <c r="E1309" s="262">
        <f>ROUND(APA!$G$137,0)</f>
        <v>860966</v>
      </c>
      <c r="F1309" s="6">
        <v>0.04</v>
      </c>
      <c r="G1309" s="35">
        <f t="shared" ref="G1309:G1315" si="30">ROUND(E1309*F1309,0)</f>
        <v>34439</v>
      </c>
    </row>
    <row r="1310" spans="1:7">
      <c r="A1310" s="3" t="s">
        <v>484</v>
      </c>
      <c r="B1310" s="3" t="s">
        <v>544</v>
      </c>
      <c r="C1310" s="3" t="s">
        <v>545</v>
      </c>
      <c r="D1310" s="3" t="s">
        <v>120</v>
      </c>
      <c r="E1310" s="262">
        <f>ROUND(INSUMOS!$E$27,0)</f>
        <v>7522</v>
      </c>
      <c r="F1310" s="6">
        <v>5</v>
      </c>
      <c r="G1310" s="35">
        <f t="shared" si="30"/>
        <v>37610</v>
      </c>
    </row>
    <row r="1311" spans="1:7">
      <c r="A1311" s="3" t="s">
        <v>484</v>
      </c>
      <c r="B1311" s="3" t="s">
        <v>527</v>
      </c>
      <c r="C1311" s="3" t="s">
        <v>546</v>
      </c>
      <c r="D1311" s="3" t="s">
        <v>120</v>
      </c>
      <c r="E1311" s="262">
        <f>ROUND(INSUMOS!$E$20,0)</f>
        <v>9226</v>
      </c>
      <c r="F1311" s="6">
        <v>2</v>
      </c>
      <c r="G1311" s="35">
        <f t="shared" si="30"/>
        <v>18452</v>
      </c>
    </row>
    <row r="1312" spans="1:7">
      <c r="A1312" s="3" t="s">
        <v>484</v>
      </c>
      <c r="B1312" s="3" t="s">
        <v>747</v>
      </c>
      <c r="C1312" s="3" t="s">
        <v>748</v>
      </c>
      <c r="D1312" s="3" t="s">
        <v>68</v>
      </c>
      <c r="E1312" s="262">
        <f>ROUND(INSUMOS!$E$99,0)</f>
        <v>12500</v>
      </c>
      <c r="F1312" s="6">
        <v>1.05</v>
      </c>
      <c r="G1312" s="35">
        <f t="shared" si="30"/>
        <v>13125</v>
      </c>
    </row>
    <row r="1313" spans="1:7">
      <c r="A1313" s="3" t="s">
        <v>484</v>
      </c>
      <c r="B1313" s="3" t="s">
        <v>749</v>
      </c>
      <c r="C1313" s="3" t="s">
        <v>750</v>
      </c>
      <c r="D1313" s="3" t="s">
        <v>65</v>
      </c>
      <c r="E1313" s="262">
        <f>ROUND(INSUMOS!$E$100,0)</f>
        <v>64022</v>
      </c>
      <c r="F1313" s="6">
        <v>1.05</v>
      </c>
      <c r="G1313" s="35">
        <f t="shared" si="30"/>
        <v>67223</v>
      </c>
    </row>
    <row r="1314" spans="1:7">
      <c r="A1314" s="3" t="s">
        <v>484</v>
      </c>
      <c r="B1314" s="3" t="s">
        <v>540</v>
      </c>
      <c r="C1314" s="3" t="s">
        <v>541</v>
      </c>
      <c r="D1314" s="3" t="s">
        <v>120</v>
      </c>
      <c r="E1314" s="262">
        <f>ROUND(INSUMOS!$E$25,0)</f>
        <v>1918</v>
      </c>
      <c r="F1314" s="6">
        <v>2.9999999999999996</v>
      </c>
      <c r="G1314" s="35">
        <f t="shared" si="30"/>
        <v>5754</v>
      </c>
    </row>
    <row r="1315" spans="1:7">
      <c r="A1315" s="3" t="s">
        <v>484</v>
      </c>
      <c r="B1315" s="3" t="s">
        <v>542</v>
      </c>
      <c r="C1315" s="3" t="s">
        <v>543</v>
      </c>
      <c r="D1315" s="3" t="s">
        <v>120</v>
      </c>
      <c r="E1315" s="262">
        <f>ROUND(INSUMOS!$E$26,0)</f>
        <v>7366</v>
      </c>
      <c r="F1315" s="6">
        <v>0.17999999999999997</v>
      </c>
      <c r="G1315" s="35">
        <f t="shared" si="30"/>
        <v>1326</v>
      </c>
    </row>
    <row r="1316" spans="1:7">
      <c r="A1316" s="402" t="s">
        <v>495</v>
      </c>
      <c r="B1316" s="402" t="s">
        <v>495</v>
      </c>
      <c r="C1316" s="402" t="s">
        <v>495</v>
      </c>
      <c r="D1316" s="402" t="s">
        <v>495</v>
      </c>
      <c r="E1316" s="403" t="s">
        <v>495</v>
      </c>
      <c r="F1316" s="402" t="s">
        <v>495</v>
      </c>
      <c r="G1316" s="55">
        <f>ROUND(SUM(G1309:G1315),0)</f>
        <v>177929</v>
      </c>
    </row>
    <row r="1317" spans="1:7">
      <c r="A1317" s="400" t="s">
        <v>496</v>
      </c>
      <c r="B1317" s="400" t="s">
        <v>496</v>
      </c>
      <c r="C1317" s="400" t="s">
        <v>496</v>
      </c>
      <c r="D1317" s="400" t="s">
        <v>496</v>
      </c>
      <c r="E1317" s="401" t="s">
        <v>496</v>
      </c>
      <c r="F1317" s="400" t="s">
        <v>496</v>
      </c>
      <c r="G1317" s="401" t="s">
        <v>496</v>
      </c>
    </row>
    <row r="1318" spans="1:7">
      <c r="A1318" s="3" t="s">
        <v>496</v>
      </c>
      <c r="B1318" s="3" t="s">
        <v>721</v>
      </c>
      <c r="C1318" s="3" t="s">
        <v>722</v>
      </c>
      <c r="D1318" s="3" t="s">
        <v>478</v>
      </c>
      <c r="E1318" s="262">
        <f>ROUND('MANO DE OBRA'!$E$23,0)</f>
        <v>177075</v>
      </c>
      <c r="F1318" s="6">
        <v>0.8</v>
      </c>
      <c r="G1318" s="35">
        <f>ROUND(E1318*F1318,0)</f>
        <v>141660</v>
      </c>
    </row>
    <row r="1319" spans="1:7">
      <c r="A1319" s="3" t="s">
        <v>496</v>
      </c>
      <c r="B1319" s="3" t="s">
        <v>723</v>
      </c>
      <c r="C1319" s="3" t="s">
        <v>724</v>
      </c>
      <c r="D1319" s="3" t="s">
        <v>478</v>
      </c>
      <c r="E1319" s="262">
        <f>ROUND('MANO DE OBRA'!$E$24,0)</f>
        <v>107973</v>
      </c>
      <c r="F1319" s="6">
        <v>0.8</v>
      </c>
      <c r="G1319" s="35">
        <f>ROUND(E1319*F1319,0)</f>
        <v>86378</v>
      </c>
    </row>
    <row r="1320" spans="1:7" ht="12.75" thickBot="1">
      <c r="A1320" s="402" t="s">
        <v>503</v>
      </c>
      <c r="B1320" s="402" t="s">
        <v>503</v>
      </c>
      <c r="C1320" s="402" t="s">
        <v>503</v>
      </c>
      <c r="D1320" s="402" t="s">
        <v>503</v>
      </c>
      <c r="E1320" s="403" t="s">
        <v>503</v>
      </c>
      <c r="F1320" s="402" t="s">
        <v>503</v>
      </c>
      <c r="G1320" s="55">
        <f>ROUND(SUM(G1318:G1319),0)</f>
        <v>228038</v>
      </c>
    </row>
    <row r="1321" spans="1:7" ht="12.75" thickBot="1">
      <c r="A1321" s="404" t="s">
        <v>60</v>
      </c>
      <c r="B1321" s="405" t="s">
        <v>504</v>
      </c>
      <c r="C1321" s="405" t="s">
        <v>504</v>
      </c>
      <c r="D1321" s="405" t="s">
        <v>504</v>
      </c>
      <c r="E1321" s="406" t="s">
        <v>504</v>
      </c>
      <c r="F1321" s="8"/>
      <c r="G1321" s="56">
        <f>ROUND(SUM(G1307,G1316,G1320),0)</f>
        <v>417369</v>
      </c>
    </row>
    <row r="1322" spans="1:7">
      <c r="A1322" s="1"/>
      <c r="B1322" s="1"/>
      <c r="C1322" s="1"/>
      <c r="D1322" s="1"/>
      <c r="E1322" s="52"/>
      <c r="F1322" s="1"/>
      <c r="G1322" s="52"/>
    </row>
    <row r="1323" spans="1:7" ht="42" customHeight="1">
      <c r="A1323" s="5" t="s">
        <v>438</v>
      </c>
      <c r="B1323" s="5" t="s">
        <v>221</v>
      </c>
      <c r="C1323" s="407" t="s">
        <v>222</v>
      </c>
      <c r="D1323" s="407"/>
      <c r="E1323" s="408"/>
      <c r="F1323" s="407"/>
      <c r="G1323" s="53" t="s">
        <v>65</v>
      </c>
    </row>
    <row r="1324" spans="1:7">
      <c r="A1324" s="2" t="s">
        <v>470</v>
      </c>
      <c r="B1324" s="2" t="s">
        <v>471</v>
      </c>
      <c r="C1324" s="2" t="s">
        <v>4</v>
      </c>
      <c r="D1324" s="2" t="s">
        <v>58</v>
      </c>
      <c r="E1324" s="54" t="s">
        <v>472</v>
      </c>
      <c r="F1324" s="2" t="s">
        <v>473</v>
      </c>
      <c r="G1324" s="54" t="s">
        <v>264</v>
      </c>
    </row>
    <row r="1325" spans="1:7">
      <c r="A1325" s="400" t="s">
        <v>474</v>
      </c>
      <c r="B1325" s="400" t="s">
        <v>474</v>
      </c>
      <c r="C1325" s="400" t="s">
        <v>474</v>
      </c>
      <c r="D1325" s="400" t="s">
        <v>474</v>
      </c>
      <c r="E1325" s="401" t="s">
        <v>474</v>
      </c>
      <c r="F1325" s="400" t="s">
        <v>474</v>
      </c>
      <c r="G1325" s="401" t="s">
        <v>474</v>
      </c>
    </row>
    <row r="1326" spans="1:7">
      <c r="A1326" s="3" t="s">
        <v>475</v>
      </c>
      <c r="B1326" s="3" t="s">
        <v>751</v>
      </c>
      <c r="C1326" s="3" t="s">
        <v>752</v>
      </c>
      <c r="D1326" s="3" t="s">
        <v>478</v>
      </c>
      <c r="E1326" s="262">
        <f>ROUND(EQUIPOS!$E$22,0)</f>
        <v>27500</v>
      </c>
      <c r="F1326" s="6">
        <v>0.02</v>
      </c>
      <c r="G1326" s="35">
        <f>ROUND(E1326*F1326,0)</f>
        <v>550</v>
      </c>
    </row>
    <row r="1327" spans="1:7">
      <c r="A1327" s="3" t="s">
        <v>475</v>
      </c>
      <c r="B1327" s="3" t="s">
        <v>479</v>
      </c>
      <c r="C1327" s="3" t="s">
        <v>480</v>
      </c>
      <c r="D1327" s="3" t="s">
        <v>481</v>
      </c>
      <c r="E1327" s="262">
        <f>ROUND($G$1337,0)</f>
        <v>37056</v>
      </c>
      <c r="F1327" s="7">
        <v>0.05</v>
      </c>
      <c r="G1327" s="35">
        <f>ROUND(E1327*F1327,0)</f>
        <v>1853</v>
      </c>
    </row>
    <row r="1328" spans="1:7">
      <c r="A1328" s="402" t="s">
        <v>482</v>
      </c>
      <c r="B1328" s="402" t="s">
        <v>482</v>
      </c>
      <c r="C1328" s="402" t="s">
        <v>482</v>
      </c>
      <c r="D1328" s="402" t="s">
        <v>482</v>
      </c>
      <c r="E1328" s="403" t="s">
        <v>482</v>
      </c>
      <c r="F1328" s="402" t="s">
        <v>482</v>
      </c>
      <c r="G1328" s="55">
        <f>ROUND(SUM(G1326:G1327),0)</f>
        <v>2403</v>
      </c>
    </row>
    <row r="1329" spans="1:7">
      <c r="A1329" s="400" t="s">
        <v>483</v>
      </c>
      <c r="B1329" s="400" t="s">
        <v>483</v>
      </c>
      <c r="C1329" s="400" t="s">
        <v>483</v>
      </c>
      <c r="D1329" s="400" t="s">
        <v>483</v>
      </c>
      <c r="E1329" s="401" t="s">
        <v>483</v>
      </c>
      <c r="F1329" s="400" t="s">
        <v>483</v>
      </c>
      <c r="G1329" s="401" t="s">
        <v>483</v>
      </c>
    </row>
    <row r="1330" spans="1:7">
      <c r="A1330" s="3" t="s">
        <v>484</v>
      </c>
      <c r="B1330" s="3" t="s">
        <v>749</v>
      </c>
      <c r="C1330" s="3" t="s">
        <v>750</v>
      </c>
      <c r="D1330" s="3" t="s">
        <v>65</v>
      </c>
      <c r="E1330" s="262">
        <f>ROUND(INSUMOS!$E$100,0)</f>
        <v>64022</v>
      </c>
      <c r="F1330" s="6">
        <v>1.05</v>
      </c>
      <c r="G1330" s="35">
        <f>ROUND(E1330*F1330,0)</f>
        <v>67223</v>
      </c>
    </row>
    <row r="1331" spans="1:7">
      <c r="A1331" s="3" t="s">
        <v>484</v>
      </c>
      <c r="B1331" s="3" t="s">
        <v>540</v>
      </c>
      <c r="C1331" s="3" t="s">
        <v>541</v>
      </c>
      <c r="D1331" s="3" t="s">
        <v>120</v>
      </c>
      <c r="E1331" s="262">
        <f>ROUND(INSUMOS!$E$25,0)</f>
        <v>1918</v>
      </c>
      <c r="F1331" s="6">
        <v>5</v>
      </c>
      <c r="G1331" s="35">
        <f>ROUND(E1331*F1331,0)</f>
        <v>9590</v>
      </c>
    </row>
    <row r="1332" spans="1:7">
      <c r="A1332" s="3" t="s">
        <v>484</v>
      </c>
      <c r="B1332" s="3" t="s">
        <v>542</v>
      </c>
      <c r="C1332" s="3" t="s">
        <v>543</v>
      </c>
      <c r="D1332" s="3" t="s">
        <v>120</v>
      </c>
      <c r="E1332" s="262">
        <f>ROUND(INSUMOS!$E$26,0)</f>
        <v>7366</v>
      </c>
      <c r="F1332" s="6">
        <v>0.17999999999999997</v>
      </c>
      <c r="G1332" s="35">
        <f>ROUND(E1332*F1332,0)</f>
        <v>1326</v>
      </c>
    </row>
    <row r="1333" spans="1:7">
      <c r="A1333" s="402" t="s">
        <v>495</v>
      </c>
      <c r="B1333" s="402" t="s">
        <v>495</v>
      </c>
      <c r="C1333" s="402" t="s">
        <v>495</v>
      </c>
      <c r="D1333" s="402" t="s">
        <v>495</v>
      </c>
      <c r="E1333" s="403" t="s">
        <v>495</v>
      </c>
      <c r="F1333" s="402" t="s">
        <v>495</v>
      </c>
      <c r="G1333" s="55">
        <f>ROUND(SUM(G1330:G1332),0)</f>
        <v>78139</v>
      </c>
    </row>
    <row r="1334" spans="1:7">
      <c r="A1334" s="400" t="s">
        <v>496</v>
      </c>
      <c r="B1334" s="400" t="s">
        <v>496</v>
      </c>
      <c r="C1334" s="400" t="s">
        <v>496</v>
      </c>
      <c r="D1334" s="400" t="s">
        <v>496</v>
      </c>
      <c r="E1334" s="401" t="s">
        <v>496</v>
      </c>
      <c r="F1334" s="400" t="s">
        <v>496</v>
      </c>
      <c r="G1334" s="401" t="s">
        <v>496</v>
      </c>
    </row>
    <row r="1335" spans="1:7">
      <c r="A1335" s="3" t="s">
        <v>496</v>
      </c>
      <c r="B1335" s="3" t="s">
        <v>721</v>
      </c>
      <c r="C1335" s="3" t="s">
        <v>722</v>
      </c>
      <c r="D1335" s="3" t="s">
        <v>478</v>
      </c>
      <c r="E1335" s="262">
        <f>ROUND('MANO DE OBRA'!$E$23,0)</f>
        <v>177075</v>
      </c>
      <c r="F1335" s="6">
        <v>0.13</v>
      </c>
      <c r="G1335" s="35">
        <f>ROUND(E1335*F1335,0)</f>
        <v>23020</v>
      </c>
    </row>
    <row r="1336" spans="1:7">
      <c r="A1336" s="3" t="s">
        <v>496</v>
      </c>
      <c r="B1336" s="3" t="s">
        <v>723</v>
      </c>
      <c r="C1336" s="3" t="s">
        <v>724</v>
      </c>
      <c r="D1336" s="3" t="s">
        <v>478</v>
      </c>
      <c r="E1336" s="262">
        <f>ROUND('MANO DE OBRA'!$E$24,0)</f>
        <v>107973</v>
      </c>
      <c r="F1336" s="6">
        <v>0.13</v>
      </c>
      <c r="G1336" s="35">
        <f>ROUND(E1336*F1336,0)</f>
        <v>14036</v>
      </c>
    </row>
    <row r="1337" spans="1:7" ht="12.75" thickBot="1">
      <c r="A1337" s="402" t="s">
        <v>503</v>
      </c>
      <c r="B1337" s="402" t="s">
        <v>503</v>
      </c>
      <c r="C1337" s="402" t="s">
        <v>503</v>
      </c>
      <c r="D1337" s="402" t="s">
        <v>503</v>
      </c>
      <c r="E1337" s="403" t="s">
        <v>503</v>
      </c>
      <c r="F1337" s="402" t="s">
        <v>503</v>
      </c>
      <c r="G1337" s="55">
        <f>ROUND(SUM(G1335:G1336),0)</f>
        <v>37056</v>
      </c>
    </row>
    <row r="1338" spans="1:7" ht="12.75" thickBot="1">
      <c r="A1338" s="404" t="s">
        <v>60</v>
      </c>
      <c r="B1338" s="405" t="s">
        <v>504</v>
      </c>
      <c r="C1338" s="405" t="s">
        <v>504</v>
      </c>
      <c r="D1338" s="405" t="s">
        <v>504</v>
      </c>
      <c r="E1338" s="406" t="s">
        <v>504</v>
      </c>
      <c r="F1338" s="8"/>
      <c r="G1338" s="56">
        <f>ROUND(SUM(G1328,G1333,G1337),0)</f>
        <v>117598</v>
      </c>
    </row>
    <row r="1339" spans="1:7">
      <c r="A1339" s="1"/>
      <c r="B1339" s="1"/>
      <c r="C1339" s="1"/>
      <c r="D1339" s="1"/>
      <c r="E1339" s="52"/>
      <c r="F1339" s="1"/>
      <c r="G1339" s="52"/>
    </row>
    <row r="1340" spans="1:7" ht="42" customHeight="1">
      <c r="A1340" s="5" t="s">
        <v>440</v>
      </c>
      <c r="B1340" s="5" t="s">
        <v>223</v>
      </c>
      <c r="C1340" s="407" t="s">
        <v>224</v>
      </c>
      <c r="D1340" s="407"/>
      <c r="E1340" s="408"/>
      <c r="F1340" s="407"/>
      <c r="G1340" s="53" t="s">
        <v>65</v>
      </c>
    </row>
    <row r="1341" spans="1:7">
      <c r="A1341" s="2" t="s">
        <v>470</v>
      </c>
      <c r="B1341" s="2" t="s">
        <v>471</v>
      </c>
      <c r="C1341" s="2" t="s">
        <v>4</v>
      </c>
      <c r="D1341" s="2" t="s">
        <v>58</v>
      </c>
      <c r="E1341" s="54" t="s">
        <v>472</v>
      </c>
      <c r="F1341" s="2" t="s">
        <v>473</v>
      </c>
      <c r="G1341" s="54" t="s">
        <v>264</v>
      </c>
    </row>
    <row r="1342" spans="1:7">
      <c r="A1342" s="400" t="s">
        <v>474</v>
      </c>
      <c r="B1342" s="400" t="s">
        <v>474</v>
      </c>
      <c r="C1342" s="400" t="s">
        <v>474</v>
      </c>
      <c r="D1342" s="400" t="s">
        <v>474</v>
      </c>
      <c r="E1342" s="401" t="s">
        <v>474</v>
      </c>
      <c r="F1342" s="400" t="s">
        <v>474</v>
      </c>
      <c r="G1342" s="401" t="s">
        <v>474</v>
      </c>
    </row>
    <row r="1343" spans="1:7">
      <c r="A1343" s="3" t="s">
        <v>475</v>
      </c>
      <c r="B1343" s="3" t="s">
        <v>751</v>
      </c>
      <c r="C1343" s="3" t="s">
        <v>752</v>
      </c>
      <c r="D1343" s="3" t="s">
        <v>478</v>
      </c>
      <c r="E1343" s="262">
        <f>ROUND(EQUIPOS!$E$22,0)</f>
        <v>27500</v>
      </c>
      <c r="F1343" s="6">
        <v>0.02</v>
      </c>
      <c r="G1343" s="35">
        <f>ROUND(E1343*F1343,0)</f>
        <v>550</v>
      </c>
    </row>
    <row r="1344" spans="1:7">
      <c r="A1344" s="3" t="s">
        <v>475</v>
      </c>
      <c r="B1344" s="3" t="s">
        <v>479</v>
      </c>
      <c r="C1344" s="3" t="s">
        <v>480</v>
      </c>
      <c r="D1344" s="3" t="s">
        <v>481</v>
      </c>
      <c r="E1344" s="262">
        <f>ROUND($G$1354,0)</f>
        <v>37056</v>
      </c>
      <c r="F1344" s="7">
        <v>0.05</v>
      </c>
      <c r="G1344" s="35">
        <f>ROUND(E1344*F1344,0)</f>
        <v>1853</v>
      </c>
    </row>
    <row r="1345" spans="1:7">
      <c r="A1345" s="402" t="s">
        <v>482</v>
      </c>
      <c r="B1345" s="402" t="s">
        <v>482</v>
      </c>
      <c r="C1345" s="402" t="s">
        <v>482</v>
      </c>
      <c r="D1345" s="402" t="s">
        <v>482</v>
      </c>
      <c r="E1345" s="403" t="s">
        <v>482</v>
      </c>
      <c r="F1345" s="402" t="s">
        <v>482</v>
      </c>
      <c r="G1345" s="55">
        <f>ROUND(SUM(G1343:G1344),0)</f>
        <v>2403</v>
      </c>
    </row>
    <row r="1346" spans="1:7">
      <c r="A1346" s="400" t="s">
        <v>483</v>
      </c>
      <c r="B1346" s="400" t="s">
        <v>483</v>
      </c>
      <c r="C1346" s="400" t="s">
        <v>483</v>
      </c>
      <c r="D1346" s="400" t="s">
        <v>483</v>
      </c>
      <c r="E1346" s="401" t="s">
        <v>483</v>
      </c>
      <c r="F1346" s="400" t="s">
        <v>483</v>
      </c>
      <c r="G1346" s="401" t="s">
        <v>483</v>
      </c>
    </row>
    <row r="1347" spans="1:7">
      <c r="A1347" s="3" t="s">
        <v>484</v>
      </c>
      <c r="B1347" s="3" t="s">
        <v>538</v>
      </c>
      <c r="C1347" s="3" t="s">
        <v>539</v>
      </c>
      <c r="D1347" s="3" t="s">
        <v>65</v>
      </c>
      <c r="E1347" s="262">
        <f>ROUND(INSUMOS!$E$24,0)</f>
        <v>139825</v>
      </c>
      <c r="F1347" s="6">
        <v>1.05</v>
      </c>
      <c r="G1347" s="35">
        <f>ROUND(E1347*F1347,0)</f>
        <v>146816</v>
      </c>
    </row>
    <row r="1348" spans="1:7">
      <c r="A1348" s="3" t="s">
        <v>484</v>
      </c>
      <c r="B1348" s="3" t="s">
        <v>540</v>
      </c>
      <c r="C1348" s="3" t="s">
        <v>541</v>
      </c>
      <c r="D1348" s="3" t="s">
        <v>120</v>
      </c>
      <c r="E1348" s="262">
        <f>ROUND(INSUMOS!$E$25,0)</f>
        <v>1918</v>
      </c>
      <c r="F1348" s="6">
        <v>5</v>
      </c>
      <c r="G1348" s="35">
        <f>ROUND(E1348*F1348,0)</f>
        <v>9590</v>
      </c>
    </row>
    <row r="1349" spans="1:7">
      <c r="A1349" s="3" t="s">
        <v>484</v>
      </c>
      <c r="B1349" s="3" t="s">
        <v>542</v>
      </c>
      <c r="C1349" s="3" t="s">
        <v>543</v>
      </c>
      <c r="D1349" s="3" t="s">
        <v>120</v>
      </c>
      <c r="E1349" s="262">
        <f>ROUND(INSUMOS!$E$26,0)</f>
        <v>7366</v>
      </c>
      <c r="F1349" s="6">
        <v>0.17999999999999997</v>
      </c>
      <c r="G1349" s="35">
        <f>ROUND(E1349*F1349,0)</f>
        <v>1326</v>
      </c>
    </row>
    <row r="1350" spans="1:7">
      <c r="A1350" s="402" t="s">
        <v>495</v>
      </c>
      <c r="B1350" s="402" t="s">
        <v>495</v>
      </c>
      <c r="C1350" s="402" t="s">
        <v>495</v>
      </c>
      <c r="D1350" s="402" t="s">
        <v>495</v>
      </c>
      <c r="E1350" s="403" t="s">
        <v>495</v>
      </c>
      <c r="F1350" s="402" t="s">
        <v>495</v>
      </c>
      <c r="G1350" s="55">
        <f>ROUND(SUM(G1347:G1349),0)</f>
        <v>157732</v>
      </c>
    </row>
    <row r="1351" spans="1:7">
      <c r="A1351" s="400" t="s">
        <v>496</v>
      </c>
      <c r="B1351" s="400" t="s">
        <v>496</v>
      </c>
      <c r="C1351" s="400" t="s">
        <v>496</v>
      </c>
      <c r="D1351" s="400" t="s">
        <v>496</v>
      </c>
      <c r="E1351" s="401" t="s">
        <v>496</v>
      </c>
      <c r="F1351" s="400" t="s">
        <v>496</v>
      </c>
      <c r="G1351" s="401" t="s">
        <v>496</v>
      </c>
    </row>
    <row r="1352" spans="1:7">
      <c r="A1352" s="3" t="s">
        <v>496</v>
      </c>
      <c r="B1352" s="3" t="s">
        <v>721</v>
      </c>
      <c r="C1352" s="3" t="s">
        <v>722</v>
      </c>
      <c r="D1352" s="3" t="s">
        <v>478</v>
      </c>
      <c r="E1352" s="262">
        <f>ROUND('MANO DE OBRA'!$E$23,0)</f>
        <v>177075</v>
      </c>
      <c r="F1352" s="6">
        <v>0.13</v>
      </c>
      <c r="G1352" s="35">
        <f>ROUND(E1352*F1352,0)</f>
        <v>23020</v>
      </c>
    </row>
    <row r="1353" spans="1:7">
      <c r="A1353" s="3" t="s">
        <v>496</v>
      </c>
      <c r="B1353" s="3" t="s">
        <v>723</v>
      </c>
      <c r="C1353" s="3" t="s">
        <v>724</v>
      </c>
      <c r="D1353" s="3" t="s">
        <v>478</v>
      </c>
      <c r="E1353" s="262">
        <f>ROUND('MANO DE OBRA'!$E$24,0)</f>
        <v>107973</v>
      </c>
      <c r="F1353" s="6">
        <v>0.13</v>
      </c>
      <c r="G1353" s="35">
        <f>ROUND(E1353*F1353,0)</f>
        <v>14036</v>
      </c>
    </row>
    <row r="1354" spans="1:7" ht="12.75" thickBot="1">
      <c r="A1354" s="402" t="s">
        <v>503</v>
      </c>
      <c r="B1354" s="402" t="s">
        <v>503</v>
      </c>
      <c r="C1354" s="402" t="s">
        <v>503</v>
      </c>
      <c r="D1354" s="402" t="s">
        <v>503</v>
      </c>
      <c r="E1354" s="403" t="s">
        <v>503</v>
      </c>
      <c r="F1354" s="402" t="s">
        <v>503</v>
      </c>
      <c r="G1354" s="55">
        <f>ROUND(SUM(G1352:G1353),0)</f>
        <v>37056</v>
      </c>
    </row>
    <row r="1355" spans="1:7" ht="12.75" thickBot="1">
      <c r="A1355" s="404" t="s">
        <v>60</v>
      </c>
      <c r="B1355" s="405" t="s">
        <v>504</v>
      </c>
      <c r="C1355" s="405" t="s">
        <v>504</v>
      </c>
      <c r="D1355" s="405" t="s">
        <v>504</v>
      </c>
      <c r="E1355" s="406" t="s">
        <v>504</v>
      </c>
      <c r="F1355" s="8"/>
      <c r="G1355" s="56">
        <f>ROUND(SUM(G1345,G1350,G1354),0)</f>
        <v>197191</v>
      </c>
    </row>
    <row r="1356" spans="1:7">
      <c r="A1356" s="1"/>
      <c r="B1356" s="1"/>
      <c r="C1356" s="1"/>
      <c r="D1356" s="1"/>
      <c r="E1356" s="52"/>
      <c r="F1356" s="1"/>
      <c r="G1356" s="52"/>
    </row>
    <row r="1357" spans="1:7" ht="42" customHeight="1">
      <c r="A1357" s="5" t="s">
        <v>442</v>
      </c>
      <c r="B1357" s="5" t="s">
        <v>225</v>
      </c>
      <c r="C1357" s="407" t="s">
        <v>226</v>
      </c>
      <c r="D1357" s="407"/>
      <c r="E1357" s="408"/>
      <c r="F1357" s="407"/>
      <c r="G1357" s="53" t="s">
        <v>65</v>
      </c>
    </row>
    <row r="1358" spans="1:7">
      <c r="A1358" s="2" t="s">
        <v>470</v>
      </c>
      <c r="B1358" s="2" t="s">
        <v>471</v>
      </c>
      <c r="C1358" s="2" t="s">
        <v>4</v>
      </c>
      <c r="D1358" s="2" t="s">
        <v>58</v>
      </c>
      <c r="E1358" s="54" t="s">
        <v>472</v>
      </c>
      <c r="F1358" s="2" t="s">
        <v>473</v>
      </c>
      <c r="G1358" s="54" t="s">
        <v>264</v>
      </c>
    </row>
    <row r="1359" spans="1:7">
      <c r="A1359" s="400" t="s">
        <v>474</v>
      </c>
      <c r="B1359" s="400" t="s">
        <v>474</v>
      </c>
      <c r="C1359" s="400" t="s">
        <v>474</v>
      </c>
      <c r="D1359" s="400" t="s">
        <v>474</v>
      </c>
      <c r="E1359" s="401" t="s">
        <v>474</v>
      </c>
      <c r="F1359" s="400" t="s">
        <v>474</v>
      </c>
      <c r="G1359" s="401" t="s">
        <v>474</v>
      </c>
    </row>
    <row r="1360" spans="1:7">
      <c r="A1360" s="3" t="s">
        <v>475</v>
      </c>
      <c r="B1360" s="3" t="s">
        <v>751</v>
      </c>
      <c r="C1360" s="3" t="s">
        <v>752</v>
      </c>
      <c r="D1360" s="3" t="s">
        <v>478</v>
      </c>
      <c r="E1360" s="262">
        <f>ROUND(EQUIPOS!$E$22,0)</f>
        <v>27500</v>
      </c>
      <c r="F1360" s="6">
        <v>0.02</v>
      </c>
      <c r="G1360" s="35">
        <f>ROUND(E1360*F1360,0)</f>
        <v>550</v>
      </c>
    </row>
    <row r="1361" spans="1:7">
      <c r="A1361" s="3" t="s">
        <v>475</v>
      </c>
      <c r="B1361" s="3" t="s">
        <v>479</v>
      </c>
      <c r="C1361" s="3" t="s">
        <v>480</v>
      </c>
      <c r="D1361" s="3" t="s">
        <v>481</v>
      </c>
      <c r="E1361" s="262">
        <f>ROUND($G$1369,0)</f>
        <v>42757</v>
      </c>
      <c r="F1361" s="7">
        <v>0.05</v>
      </c>
      <c r="G1361" s="35">
        <f>ROUND(E1361*F1361,0)</f>
        <v>2138</v>
      </c>
    </row>
    <row r="1362" spans="1:7">
      <c r="A1362" s="402" t="s">
        <v>482</v>
      </c>
      <c r="B1362" s="402" t="s">
        <v>482</v>
      </c>
      <c r="C1362" s="402" t="s">
        <v>482</v>
      </c>
      <c r="D1362" s="402" t="s">
        <v>482</v>
      </c>
      <c r="E1362" s="403" t="s">
        <v>482</v>
      </c>
      <c r="F1362" s="402" t="s">
        <v>482</v>
      </c>
      <c r="G1362" s="55">
        <f>ROUND(SUM(G1360:G1361),0)</f>
        <v>2688</v>
      </c>
    </row>
    <row r="1363" spans="1:7">
      <c r="A1363" s="400" t="s">
        <v>483</v>
      </c>
      <c r="B1363" s="400" t="s">
        <v>483</v>
      </c>
      <c r="C1363" s="400" t="s">
        <v>483</v>
      </c>
      <c r="D1363" s="400" t="s">
        <v>483</v>
      </c>
      <c r="E1363" s="401" t="s">
        <v>483</v>
      </c>
      <c r="F1363" s="400" t="s">
        <v>483</v>
      </c>
      <c r="G1363" s="401" t="s">
        <v>483</v>
      </c>
    </row>
    <row r="1364" spans="1:7">
      <c r="A1364" s="3" t="s">
        <v>484</v>
      </c>
      <c r="B1364" s="3" t="s">
        <v>753</v>
      </c>
      <c r="C1364" s="3" t="s">
        <v>754</v>
      </c>
      <c r="D1364" s="3" t="s">
        <v>65</v>
      </c>
      <c r="E1364" s="262">
        <f>ROUND(INSUMOS!$E$101,0)</f>
        <v>582500</v>
      </c>
      <c r="F1364" s="6">
        <v>1</v>
      </c>
      <c r="G1364" s="35">
        <f>ROUND(E1364*F1364,0)</f>
        <v>582500</v>
      </c>
    </row>
    <row r="1365" spans="1:7">
      <c r="A1365" s="402" t="s">
        <v>495</v>
      </c>
      <c r="B1365" s="402" t="s">
        <v>495</v>
      </c>
      <c r="C1365" s="402" t="s">
        <v>495</v>
      </c>
      <c r="D1365" s="402" t="s">
        <v>495</v>
      </c>
      <c r="E1365" s="403" t="s">
        <v>495</v>
      </c>
      <c r="F1365" s="402" t="s">
        <v>495</v>
      </c>
      <c r="G1365" s="55">
        <f>ROUND(SUM(G1364:G1364),0)</f>
        <v>582500</v>
      </c>
    </row>
    <row r="1366" spans="1:7">
      <c r="A1366" s="400" t="s">
        <v>496</v>
      </c>
      <c r="B1366" s="400" t="s">
        <v>496</v>
      </c>
      <c r="C1366" s="400" t="s">
        <v>496</v>
      </c>
      <c r="D1366" s="400" t="s">
        <v>496</v>
      </c>
      <c r="E1366" s="401" t="s">
        <v>496</v>
      </c>
      <c r="F1366" s="400" t="s">
        <v>496</v>
      </c>
      <c r="G1366" s="401" t="s">
        <v>496</v>
      </c>
    </row>
    <row r="1367" spans="1:7">
      <c r="A1367" s="3" t="s">
        <v>496</v>
      </c>
      <c r="B1367" s="3" t="s">
        <v>721</v>
      </c>
      <c r="C1367" s="3" t="s">
        <v>722</v>
      </c>
      <c r="D1367" s="3" t="s">
        <v>478</v>
      </c>
      <c r="E1367" s="262">
        <f>ROUND('MANO DE OBRA'!$E$23,0)</f>
        <v>177075</v>
      </c>
      <c r="F1367" s="6">
        <v>0.15</v>
      </c>
      <c r="G1367" s="35">
        <f>ROUND(E1367*F1367,0)</f>
        <v>26561</v>
      </c>
    </row>
    <row r="1368" spans="1:7">
      <c r="A1368" s="3" t="s">
        <v>496</v>
      </c>
      <c r="B1368" s="3" t="s">
        <v>723</v>
      </c>
      <c r="C1368" s="3" t="s">
        <v>724</v>
      </c>
      <c r="D1368" s="3" t="s">
        <v>478</v>
      </c>
      <c r="E1368" s="262">
        <f>ROUND('MANO DE OBRA'!$E$24,0)</f>
        <v>107973</v>
      </c>
      <c r="F1368" s="6">
        <v>0.15</v>
      </c>
      <c r="G1368" s="35">
        <f>ROUND(E1368*F1368,0)</f>
        <v>16196</v>
      </c>
    </row>
    <row r="1369" spans="1:7" ht="12.75" thickBot="1">
      <c r="A1369" s="402" t="s">
        <v>503</v>
      </c>
      <c r="B1369" s="402" t="s">
        <v>503</v>
      </c>
      <c r="C1369" s="402" t="s">
        <v>503</v>
      </c>
      <c r="D1369" s="402" t="s">
        <v>503</v>
      </c>
      <c r="E1369" s="403" t="s">
        <v>503</v>
      </c>
      <c r="F1369" s="402" t="s">
        <v>503</v>
      </c>
      <c r="G1369" s="55">
        <f>ROUND(SUM(G1367:G1368),0)</f>
        <v>42757</v>
      </c>
    </row>
    <row r="1370" spans="1:7" ht="12.75" thickBot="1">
      <c r="A1370" s="404" t="s">
        <v>60</v>
      </c>
      <c r="B1370" s="405" t="s">
        <v>504</v>
      </c>
      <c r="C1370" s="405" t="s">
        <v>504</v>
      </c>
      <c r="D1370" s="405" t="s">
        <v>504</v>
      </c>
      <c r="E1370" s="406" t="s">
        <v>504</v>
      </c>
      <c r="F1370" s="8"/>
      <c r="G1370" s="56">
        <f>ROUND(SUM(G1362,G1365,G1369),0)</f>
        <v>627945</v>
      </c>
    </row>
    <row r="1371" spans="1:7">
      <c r="A1371" s="1"/>
      <c r="B1371" s="1"/>
      <c r="C1371" s="1"/>
      <c r="D1371" s="1"/>
      <c r="E1371" s="52"/>
      <c r="F1371" s="1"/>
      <c r="G1371" s="52"/>
    </row>
    <row r="1372" spans="1:7" ht="42" customHeight="1">
      <c r="A1372" s="5" t="s">
        <v>444</v>
      </c>
      <c r="B1372" s="5" t="s">
        <v>227</v>
      </c>
      <c r="C1372" s="407" t="s">
        <v>228</v>
      </c>
      <c r="D1372" s="407"/>
      <c r="E1372" s="408"/>
      <c r="F1372" s="407"/>
      <c r="G1372" s="53" t="s">
        <v>103</v>
      </c>
    </row>
    <row r="1373" spans="1:7">
      <c r="A1373" s="2" t="s">
        <v>470</v>
      </c>
      <c r="B1373" s="2" t="s">
        <v>471</v>
      </c>
      <c r="C1373" s="2" t="s">
        <v>4</v>
      </c>
      <c r="D1373" s="2" t="s">
        <v>58</v>
      </c>
      <c r="E1373" s="54" t="s">
        <v>472</v>
      </c>
      <c r="F1373" s="2" t="s">
        <v>473</v>
      </c>
      <c r="G1373" s="54" t="s">
        <v>264</v>
      </c>
    </row>
    <row r="1374" spans="1:7">
      <c r="A1374" s="400" t="s">
        <v>474</v>
      </c>
      <c r="B1374" s="400" t="s">
        <v>474</v>
      </c>
      <c r="C1374" s="400" t="s">
        <v>474</v>
      </c>
      <c r="D1374" s="400" t="s">
        <v>474</v>
      </c>
      <c r="E1374" s="401" t="s">
        <v>474</v>
      </c>
      <c r="F1374" s="400" t="s">
        <v>474</v>
      </c>
      <c r="G1374" s="401" t="s">
        <v>474</v>
      </c>
    </row>
    <row r="1375" spans="1:7">
      <c r="A1375" s="3" t="s">
        <v>475</v>
      </c>
      <c r="B1375" s="3" t="s">
        <v>751</v>
      </c>
      <c r="C1375" s="3" t="s">
        <v>752</v>
      </c>
      <c r="D1375" s="3" t="s">
        <v>478</v>
      </c>
      <c r="E1375" s="262">
        <f>ROUND(EQUIPOS!$E$22,0)</f>
        <v>27500</v>
      </c>
      <c r="F1375" s="6">
        <v>0.02</v>
      </c>
      <c r="G1375" s="35">
        <f>ROUND(E1375*F1375,0)</f>
        <v>550</v>
      </c>
    </row>
    <row r="1376" spans="1:7">
      <c r="A1376" s="3" t="s">
        <v>475</v>
      </c>
      <c r="B1376" s="3" t="s">
        <v>479</v>
      </c>
      <c r="C1376" s="3" t="s">
        <v>480</v>
      </c>
      <c r="D1376" s="3" t="s">
        <v>481</v>
      </c>
      <c r="E1376" s="262">
        <f>ROUND($G$1385,0)</f>
        <v>114019</v>
      </c>
      <c r="F1376" s="7">
        <v>0.05</v>
      </c>
      <c r="G1376" s="35">
        <f>ROUND(E1376*F1376,0)</f>
        <v>5701</v>
      </c>
    </row>
    <row r="1377" spans="1:7">
      <c r="A1377" s="402" t="s">
        <v>482</v>
      </c>
      <c r="B1377" s="402" t="s">
        <v>482</v>
      </c>
      <c r="C1377" s="402" t="s">
        <v>482</v>
      </c>
      <c r="D1377" s="402" t="s">
        <v>482</v>
      </c>
      <c r="E1377" s="403" t="s">
        <v>482</v>
      </c>
      <c r="F1377" s="402" t="s">
        <v>482</v>
      </c>
      <c r="G1377" s="55">
        <f>ROUND(SUM(G1375:G1376),0)</f>
        <v>6251</v>
      </c>
    </row>
    <row r="1378" spans="1:7">
      <c r="A1378" s="400" t="s">
        <v>483</v>
      </c>
      <c r="B1378" s="400" t="s">
        <v>483</v>
      </c>
      <c r="C1378" s="400" t="s">
        <v>483</v>
      </c>
      <c r="D1378" s="400" t="s">
        <v>483</v>
      </c>
      <c r="E1378" s="401" t="s">
        <v>483</v>
      </c>
      <c r="F1378" s="400" t="s">
        <v>483</v>
      </c>
      <c r="G1378" s="401" t="s">
        <v>483</v>
      </c>
    </row>
    <row r="1379" spans="1:7">
      <c r="A1379" s="3" t="s">
        <v>484</v>
      </c>
      <c r="B1379" s="3" t="s">
        <v>755</v>
      </c>
      <c r="C1379" s="3" t="s">
        <v>756</v>
      </c>
      <c r="D1379" s="3" t="s">
        <v>103</v>
      </c>
      <c r="E1379" s="262">
        <f>ROUND(INSUMOS!$E$102,0)</f>
        <v>761600</v>
      </c>
      <c r="F1379" s="6">
        <v>1</v>
      </c>
      <c r="G1379" s="35">
        <f>ROUND(E1379*F1379,0)</f>
        <v>761600</v>
      </c>
    </row>
    <row r="1380" spans="1:7">
      <c r="A1380" s="3" t="s">
        <v>484</v>
      </c>
      <c r="B1380" s="3" t="s">
        <v>757</v>
      </c>
      <c r="C1380" s="3" t="s">
        <v>758</v>
      </c>
      <c r="D1380" s="3" t="s">
        <v>103</v>
      </c>
      <c r="E1380" s="262">
        <f>ROUND(INSUMOS!$E$103,0)</f>
        <v>72471</v>
      </c>
      <c r="F1380" s="6">
        <v>1</v>
      </c>
      <c r="G1380" s="35">
        <f>ROUND(E1380*F1380,0)</f>
        <v>72471</v>
      </c>
    </row>
    <row r="1381" spans="1:7">
      <c r="A1381" s="402" t="s">
        <v>495</v>
      </c>
      <c r="B1381" s="402" t="s">
        <v>495</v>
      </c>
      <c r="C1381" s="402" t="s">
        <v>495</v>
      </c>
      <c r="D1381" s="402" t="s">
        <v>495</v>
      </c>
      <c r="E1381" s="403" t="s">
        <v>495</v>
      </c>
      <c r="F1381" s="402" t="s">
        <v>495</v>
      </c>
      <c r="G1381" s="55">
        <f>ROUND(SUM(G1379:G1380),0)</f>
        <v>834071</v>
      </c>
    </row>
    <row r="1382" spans="1:7">
      <c r="A1382" s="400" t="s">
        <v>496</v>
      </c>
      <c r="B1382" s="400" t="s">
        <v>496</v>
      </c>
      <c r="C1382" s="400" t="s">
        <v>496</v>
      </c>
      <c r="D1382" s="400" t="s">
        <v>496</v>
      </c>
      <c r="E1382" s="401" t="s">
        <v>496</v>
      </c>
      <c r="F1382" s="400" t="s">
        <v>496</v>
      </c>
      <c r="G1382" s="401" t="s">
        <v>496</v>
      </c>
    </row>
    <row r="1383" spans="1:7">
      <c r="A1383" s="3" t="s">
        <v>496</v>
      </c>
      <c r="B1383" s="3" t="s">
        <v>721</v>
      </c>
      <c r="C1383" s="3" t="s">
        <v>722</v>
      </c>
      <c r="D1383" s="3" t="s">
        <v>478</v>
      </c>
      <c r="E1383" s="262">
        <f>ROUND('MANO DE OBRA'!$E$23,0)</f>
        <v>177075</v>
      </c>
      <c r="F1383" s="6">
        <v>0.4</v>
      </c>
      <c r="G1383" s="35">
        <f>ROUND(E1383*F1383,0)</f>
        <v>70830</v>
      </c>
    </row>
    <row r="1384" spans="1:7">
      <c r="A1384" s="3" t="s">
        <v>496</v>
      </c>
      <c r="B1384" s="3" t="s">
        <v>723</v>
      </c>
      <c r="C1384" s="3" t="s">
        <v>724</v>
      </c>
      <c r="D1384" s="3" t="s">
        <v>478</v>
      </c>
      <c r="E1384" s="262">
        <f>ROUND('MANO DE OBRA'!$E$24,0)</f>
        <v>107973</v>
      </c>
      <c r="F1384" s="6">
        <v>0.4</v>
      </c>
      <c r="G1384" s="35">
        <f>ROUND(E1384*F1384,0)</f>
        <v>43189</v>
      </c>
    </row>
    <row r="1385" spans="1:7" ht="12.75" thickBot="1">
      <c r="A1385" s="402" t="s">
        <v>503</v>
      </c>
      <c r="B1385" s="402" t="s">
        <v>503</v>
      </c>
      <c r="C1385" s="402" t="s">
        <v>503</v>
      </c>
      <c r="D1385" s="402" t="s">
        <v>503</v>
      </c>
      <c r="E1385" s="403" t="s">
        <v>503</v>
      </c>
      <c r="F1385" s="402" t="s">
        <v>503</v>
      </c>
      <c r="G1385" s="55">
        <f>ROUND(SUM(G1383:G1384),0)</f>
        <v>114019</v>
      </c>
    </row>
    <row r="1386" spans="1:7" ht="12.75" thickBot="1">
      <c r="A1386" s="404" t="s">
        <v>60</v>
      </c>
      <c r="B1386" s="405" t="s">
        <v>504</v>
      </c>
      <c r="C1386" s="405" t="s">
        <v>504</v>
      </c>
      <c r="D1386" s="405" t="s">
        <v>504</v>
      </c>
      <c r="E1386" s="406" t="s">
        <v>504</v>
      </c>
      <c r="F1386" s="8"/>
      <c r="G1386" s="56">
        <f>ROUND(SUM(G1377,G1381,G1385),0)</f>
        <v>954341</v>
      </c>
    </row>
    <row r="1387" spans="1:7">
      <c r="A1387" s="1"/>
      <c r="B1387" s="1"/>
      <c r="C1387" s="1"/>
      <c r="D1387" s="1"/>
      <c r="E1387" s="52"/>
      <c r="F1387" s="1"/>
      <c r="G1387" s="52"/>
    </row>
    <row r="1388" spans="1:7" ht="42" customHeight="1">
      <c r="A1388" s="5" t="s">
        <v>445</v>
      </c>
      <c r="B1388" s="5" t="s">
        <v>229</v>
      </c>
      <c r="C1388" s="407" t="s">
        <v>230</v>
      </c>
      <c r="D1388" s="407"/>
      <c r="E1388" s="408"/>
      <c r="F1388" s="407"/>
      <c r="G1388" s="53" t="s">
        <v>103</v>
      </c>
    </row>
    <row r="1389" spans="1:7">
      <c r="A1389" s="2" t="s">
        <v>470</v>
      </c>
      <c r="B1389" s="2" t="s">
        <v>471</v>
      </c>
      <c r="C1389" s="2" t="s">
        <v>4</v>
      </c>
      <c r="D1389" s="2" t="s">
        <v>58</v>
      </c>
      <c r="E1389" s="54" t="s">
        <v>472</v>
      </c>
      <c r="F1389" s="2" t="s">
        <v>473</v>
      </c>
      <c r="G1389" s="54" t="s">
        <v>264</v>
      </c>
    </row>
    <row r="1390" spans="1:7">
      <c r="A1390" s="400" t="s">
        <v>474</v>
      </c>
      <c r="B1390" s="400" t="s">
        <v>474</v>
      </c>
      <c r="C1390" s="400" t="s">
        <v>474</v>
      </c>
      <c r="D1390" s="400" t="s">
        <v>474</v>
      </c>
      <c r="E1390" s="401" t="s">
        <v>474</v>
      </c>
      <c r="F1390" s="400" t="s">
        <v>474</v>
      </c>
      <c r="G1390" s="401" t="s">
        <v>474</v>
      </c>
    </row>
    <row r="1391" spans="1:7">
      <c r="A1391" s="3" t="s">
        <v>475</v>
      </c>
      <c r="B1391" s="3" t="s">
        <v>479</v>
      </c>
      <c r="C1391" s="3" t="s">
        <v>480</v>
      </c>
      <c r="D1391" s="3" t="s">
        <v>481</v>
      </c>
      <c r="E1391" s="262">
        <f>ROUND($G$1399,0)</f>
        <v>114019</v>
      </c>
      <c r="F1391" s="7">
        <v>0.05</v>
      </c>
      <c r="G1391" s="35">
        <f>ROUND(E1391*F1391,0)</f>
        <v>5701</v>
      </c>
    </row>
    <row r="1392" spans="1:7">
      <c r="A1392" s="402" t="s">
        <v>482</v>
      </c>
      <c r="B1392" s="402" t="s">
        <v>482</v>
      </c>
      <c r="C1392" s="402" t="s">
        <v>482</v>
      </c>
      <c r="D1392" s="402" t="s">
        <v>482</v>
      </c>
      <c r="E1392" s="403" t="s">
        <v>482</v>
      </c>
      <c r="F1392" s="402" t="s">
        <v>482</v>
      </c>
      <c r="G1392" s="55">
        <f>ROUND(SUM(G1391:G1391),0)</f>
        <v>5701</v>
      </c>
    </row>
    <row r="1393" spans="1:7">
      <c r="A1393" s="400" t="s">
        <v>483</v>
      </c>
      <c r="B1393" s="400" t="s">
        <v>483</v>
      </c>
      <c r="C1393" s="400" t="s">
        <v>483</v>
      </c>
      <c r="D1393" s="400" t="s">
        <v>483</v>
      </c>
      <c r="E1393" s="401" t="s">
        <v>483</v>
      </c>
      <c r="F1393" s="400" t="s">
        <v>483</v>
      </c>
      <c r="G1393" s="401" t="s">
        <v>483</v>
      </c>
    </row>
    <row r="1394" spans="1:7">
      <c r="A1394" s="3" t="s">
        <v>484</v>
      </c>
      <c r="B1394" s="3" t="s">
        <v>759</v>
      </c>
      <c r="C1394" s="3" t="s">
        <v>760</v>
      </c>
      <c r="D1394" s="3" t="s">
        <v>103</v>
      </c>
      <c r="E1394" s="262">
        <f>ROUND(INSUMOS!$E$104,0)</f>
        <v>982900</v>
      </c>
      <c r="F1394" s="6">
        <v>1</v>
      </c>
      <c r="G1394" s="35">
        <f>ROUND(E1394*F1394,0)</f>
        <v>982900</v>
      </c>
    </row>
    <row r="1395" spans="1:7">
      <c r="A1395" s="402" t="s">
        <v>495</v>
      </c>
      <c r="B1395" s="402" t="s">
        <v>495</v>
      </c>
      <c r="C1395" s="402" t="s">
        <v>495</v>
      </c>
      <c r="D1395" s="402" t="s">
        <v>495</v>
      </c>
      <c r="E1395" s="403" t="s">
        <v>495</v>
      </c>
      <c r="F1395" s="402" t="s">
        <v>495</v>
      </c>
      <c r="G1395" s="55">
        <f>ROUND(SUM(G1394:G1394),0)</f>
        <v>982900</v>
      </c>
    </row>
    <row r="1396" spans="1:7">
      <c r="A1396" s="400" t="s">
        <v>496</v>
      </c>
      <c r="B1396" s="400" t="s">
        <v>496</v>
      </c>
      <c r="C1396" s="400" t="s">
        <v>496</v>
      </c>
      <c r="D1396" s="400" t="s">
        <v>496</v>
      </c>
      <c r="E1396" s="401" t="s">
        <v>496</v>
      </c>
      <c r="F1396" s="400" t="s">
        <v>496</v>
      </c>
      <c r="G1396" s="401" t="s">
        <v>496</v>
      </c>
    </row>
    <row r="1397" spans="1:7">
      <c r="A1397" s="3" t="s">
        <v>496</v>
      </c>
      <c r="B1397" s="3" t="s">
        <v>721</v>
      </c>
      <c r="C1397" s="3" t="s">
        <v>722</v>
      </c>
      <c r="D1397" s="3" t="s">
        <v>478</v>
      </c>
      <c r="E1397" s="262">
        <f>ROUND('MANO DE OBRA'!$E$23,0)</f>
        <v>177075</v>
      </c>
      <c r="F1397" s="6">
        <v>0.4</v>
      </c>
      <c r="G1397" s="35">
        <f>ROUND(E1397*F1397,0)</f>
        <v>70830</v>
      </c>
    </row>
    <row r="1398" spans="1:7">
      <c r="A1398" s="3" t="s">
        <v>496</v>
      </c>
      <c r="B1398" s="3" t="s">
        <v>723</v>
      </c>
      <c r="C1398" s="3" t="s">
        <v>724</v>
      </c>
      <c r="D1398" s="3" t="s">
        <v>478</v>
      </c>
      <c r="E1398" s="262">
        <f>ROUND('MANO DE OBRA'!$E$24,0)</f>
        <v>107973</v>
      </c>
      <c r="F1398" s="6">
        <v>0.4</v>
      </c>
      <c r="G1398" s="35">
        <f>ROUND(E1398*F1398,0)</f>
        <v>43189</v>
      </c>
    </row>
    <row r="1399" spans="1:7" ht="12.75" thickBot="1">
      <c r="A1399" s="402" t="s">
        <v>503</v>
      </c>
      <c r="B1399" s="402" t="s">
        <v>503</v>
      </c>
      <c r="C1399" s="402" t="s">
        <v>503</v>
      </c>
      <c r="D1399" s="402" t="s">
        <v>503</v>
      </c>
      <c r="E1399" s="403" t="s">
        <v>503</v>
      </c>
      <c r="F1399" s="402" t="s">
        <v>503</v>
      </c>
      <c r="G1399" s="55">
        <f>ROUND(SUM(G1397:G1398),0)</f>
        <v>114019</v>
      </c>
    </row>
    <row r="1400" spans="1:7" ht="12.75" thickBot="1">
      <c r="A1400" s="404" t="s">
        <v>60</v>
      </c>
      <c r="B1400" s="405" t="s">
        <v>504</v>
      </c>
      <c r="C1400" s="405" t="s">
        <v>504</v>
      </c>
      <c r="D1400" s="405" t="s">
        <v>504</v>
      </c>
      <c r="E1400" s="406" t="s">
        <v>504</v>
      </c>
      <c r="F1400" s="8"/>
      <c r="G1400" s="56">
        <f>ROUND(SUM(G1392,G1395,G1399),0)</f>
        <v>1102620</v>
      </c>
    </row>
    <row r="1401" spans="1:7">
      <c r="A1401" s="1"/>
      <c r="B1401" s="1"/>
      <c r="C1401" s="1"/>
      <c r="D1401" s="1"/>
      <c r="E1401" s="52"/>
      <c r="F1401" s="1"/>
      <c r="G1401" s="52"/>
    </row>
    <row r="1402" spans="1:7" ht="42" customHeight="1">
      <c r="A1402" s="5" t="s">
        <v>447</v>
      </c>
      <c r="B1402" s="5" t="s">
        <v>231</v>
      </c>
      <c r="C1402" s="407" t="s">
        <v>232</v>
      </c>
      <c r="D1402" s="407"/>
      <c r="E1402" s="408"/>
      <c r="F1402" s="407"/>
      <c r="G1402" s="53" t="s">
        <v>103</v>
      </c>
    </row>
    <row r="1403" spans="1:7">
      <c r="A1403" s="2" t="s">
        <v>470</v>
      </c>
      <c r="B1403" s="2" t="s">
        <v>471</v>
      </c>
      <c r="C1403" s="2" t="s">
        <v>4</v>
      </c>
      <c r="D1403" s="2" t="s">
        <v>58</v>
      </c>
      <c r="E1403" s="54" t="s">
        <v>472</v>
      </c>
      <c r="F1403" s="2" t="s">
        <v>473</v>
      </c>
      <c r="G1403" s="54" t="s">
        <v>264</v>
      </c>
    </row>
    <row r="1404" spans="1:7">
      <c r="A1404" s="400" t="s">
        <v>474</v>
      </c>
      <c r="B1404" s="400" t="s">
        <v>474</v>
      </c>
      <c r="C1404" s="400" t="s">
        <v>474</v>
      </c>
      <c r="D1404" s="400" t="s">
        <v>474</v>
      </c>
      <c r="E1404" s="401" t="s">
        <v>474</v>
      </c>
      <c r="F1404" s="400" t="s">
        <v>474</v>
      </c>
      <c r="G1404" s="401" t="s">
        <v>474</v>
      </c>
    </row>
    <row r="1405" spans="1:7">
      <c r="A1405" s="3" t="s">
        <v>475</v>
      </c>
      <c r="B1405" s="3" t="s">
        <v>751</v>
      </c>
      <c r="C1405" s="3" t="s">
        <v>752</v>
      </c>
      <c r="D1405" s="3" t="s">
        <v>478</v>
      </c>
      <c r="E1405" s="262">
        <f>ROUND(EQUIPOS!$E$22,0)</f>
        <v>27500</v>
      </c>
      <c r="F1405" s="6">
        <v>0.02</v>
      </c>
      <c r="G1405" s="35">
        <f>ROUND(E1405*F1405,0)</f>
        <v>550</v>
      </c>
    </row>
    <row r="1406" spans="1:7">
      <c r="A1406" s="3" t="s">
        <v>475</v>
      </c>
      <c r="B1406" s="3" t="s">
        <v>479</v>
      </c>
      <c r="C1406" s="3" t="s">
        <v>480</v>
      </c>
      <c r="D1406" s="3" t="s">
        <v>481</v>
      </c>
      <c r="E1406" s="262">
        <f>ROUND($G$1414,0)</f>
        <v>85515</v>
      </c>
      <c r="F1406" s="7">
        <v>0.05</v>
      </c>
      <c r="G1406" s="35">
        <f>ROUND(E1406*F1406,0)</f>
        <v>4276</v>
      </c>
    </row>
    <row r="1407" spans="1:7">
      <c r="A1407" s="402" t="s">
        <v>482</v>
      </c>
      <c r="B1407" s="402" t="s">
        <v>482</v>
      </c>
      <c r="C1407" s="402" t="s">
        <v>482</v>
      </c>
      <c r="D1407" s="402" t="s">
        <v>482</v>
      </c>
      <c r="E1407" s="403" t="s">
        <v>482</v>
      </c>
      <c r="F1407" s="402" t="s">
        <v>482</v>
      </c>
      <c r="G1407" s="55">
        <f>ROUND(SUM(G1405:G1406),0)</f>
        <v>4826</v>
      </c>
    </row>
    <row r="1408" spans="1:7">
      <c r="A1408" s="400" t="s">
        <v>483</v>
      </c>
      <c r="B1408" s="400" t="s">
        <v>483</v>
      </c>
      <c r="C1408" s="400" t="s">
        <v>483</v>
      </c>
      <c r="D1408" s="400" t="s">
        <v>483</v>
      </c>
      <c r="E1408" s="401" t="s">
        <v>483</v>
      </c>
      <c r="F1408" s="400" t="s">
        <v>483</v>
      </c>
      <c r="G1408" s="401" t="s">
        <v>483</v>
      </c>
    </row>
    <row r="1409" spans="1:7">
      <c r="A1409" s="3" t="s">
        <v>484</v>
      </c>
      <c r="B1409" s="3" t="s">
        <v>761</v>
      </c>
      <c r="C1409" s="3" t="s">
        <v>762</v>
      </c>
      <c r="D1409" s="3" t="s">
        <v>103</v>
      </c>
      <c r="E1409" s="262">
        <f>ROUND(INSUMOS!$E$105,0)</f>
        <v>206941</v>
      </c>
      <c r="F1409" s="6">
        <v>1</v>
      </c>
      <c r="G1409" s="35">
        <f>ROUND(E1409*F1409,0)</f>
        <v>206941</v>
      </c>
    </row>
    <row r="1410" spans="1:7">
      <c r="A1410" s="402" t="s">
        <v>495</v>
      </c>
      <c r="B1410" s="402" t="s">
        <v>495</v>
      </c>
      <c r="C1410" s="402" t="s">
        <v>495</v>
      </c>
      <c r="D1410" s="402" t="s">
        <v>495</v>
      </c>
      <c r="E1410" s="403" t="s">
        <v>495</v>
      </c>
      <c r="F1410" s="402" t="s">
        <v>495</v>
      </c>
      <c r="G1410" s="55">
        <f>ROUND(SUM(G1409:G1409),0)</f>
        <v>206941</v>
      </c>
    </row>
    <row r="1411" spans="1:7">
      <c r="A1411" s="400" t="s">
        <v>496</v>
      </c>
      <c r="B1411" s="400" t="s">
        <v>496</v>
      </c>
      <c r="C1411" s="400" t="s">
        <v>496</v>
      </c>
      <c r="D1411" s="400" t="s">
        <v>496</v>
      </c>
      <c r="E1411" s="401" t="s">
        <v>496</v>
      </c>
      <c r="F1411" s="400" t="s">
        <v>496</v>
      </c>
      <c r="G1411" s="401" t="s">
        <v>496</v>
      </c>
    </row>
    <row r="1412" spans="1:7">
      <c r="A1412" s="3" t="s">
        <v>496</v>
      </c>
      <c r="B1412" s="3" t="s">
        <v>721</v>
      </c>
      <c r="C1412" s="3" t="s">
        <v>722</v>
      </c>
      <c r="D1412" s="3" t="s">
        <v>478</v>
      </c>
      <c r="E1412" s="262">
        <f>ROUND('MANO DE OBRA'!$E$23,0)</f>
        <v>177075</v>
      </c>
      <c r="F1412" s="6">
        <v>0.3</v>
      </c>
      <c r="G1412" s="35">
        <f>ROUND(E1412*F1412,0)</f>
        <v>53123</v>
      </c>
    </row>
    <row r="1413" spans="1:7">
      <c r="A1413" s="3" t="s">
        <v>496</v>
      </c>
      <c r="B1413" s="3" t="s">
        <v>723</v>
      </c>
      <c r="C1413" s="3" t="s">
        <v>724</v>
      </c>
      <c r="D1413" s="3" t="s">
        <v>478</v>
      </c>
      <c r="E1413" s="262">
        <f>ROUND('MANO DE OBRA'!$E$24,0)</f>
        <v>107973</v>
      </c>
      <c r="F1413" s="6">
        <v>0.3</v>
      </c>
      <c r="G1413" s="35">
        <f>ROUND(E1413*F1413,0)</f>
        <v>32392</v>
      </c>
    </row>
    <row r="1414" spans="1:7" ht="12.75" thickBot="1">
      <c r="A1414" s="402" t="s">
        <v>503</v>
      </c>
      <c r="B1414" s="402" t="s">
        <v>503</v>
      </c>
      <c r="C1414" s="402" t="s">
        <v>503</v>
      </c>
      <c r="D1414" s="402" t="s">
        <v>503</v>
      </c>
      <c r="E1414" s="403" t="s">
        <v>503</v>
      </c>
      <c r="F1414" s="402" t="s">
        <v>503</v>
      </c>
      <c r="G1414" s="55">
        <f>ROUND(SUM(G1412:G1413),0)</f>
        <v>85515</v>
      </c>
    </row>
    <row r="1415" spans="1:7" ht="12.75" thickBot="1">
      <c r="A1415" s="404" t="s">
        <v>60</v>
      </c>
      <c r="B1415" s="405" t="s">
        <v>504</v>
      </c>
      <c r="C1415" s="405" t="s">
        <v>504</v>
      </c>
      <c r="D1415" s="405" t="s">
        <v>504</v>
      </c>
      <c r="E1415" s="406" t="s">
        <v>504</v>
      </c>
      <c r="F1415" s="8"/>
      <c r="G1415" s="56">
        <f>ROUND(SUM(G1407,G1410,G1414),0)</f>
        <v>297282</v>
      </c>
    </row>
    <row r="1416" spans="1:7">
      <c r="A1416" s="1"/>
      <c r="B1416" s="1"/>
      <c r="C1416" s="1"/>
      <c r="D1416" s="1"/>
      <c r="E1416" s="52"/>
      <c r="F1416" s="1"/>
      <c r="G1416" s="52"/>
    </row>
    <row r="1417" spans="1:7" ht="42" customHeight="1">
      <c r="A1417" s="5" t="s">
        <v>449</v>
      </c>
      <c r="B1417" s="5" t="s">
        <v>233</v>
      </c>
      <c r="C1417" s="407" t="s">
        <v>234</v>
      </c>
      <c r="D1417" s="407"/>
      <c r="E1417" s="408"/>
      <c r="F1417" s="407"/>
      <c r="G1417" s="53" t="s">
        <v>103</v>
      </c>
    </row>
    <row r="1418" spans="1:7">
      <c r="A1418" s="2" t="s">
        <v>470</v>
      </c>
      <c r="B1418" s="2" t="s">
        <v>471</v>
      </c>
      <c r="C1418" s="2" t="s">
        <v>4</v>
      </c>
      <c r="D1418" s="2" t="s">
        <v>58</v>
      </c>
      <c r="E1418" s="54" t="s">
        <v>472</v>
      </c>
      <c r="F1418" s="2" t="s">
        <v>473</v>
      </c>
      <c r="G1418" s="54" t="s">
        <v>264</v>
      </c>
    </row>
    <row r="1419" spans="1:7">
      <c r="A1419" s="400" t="s">
        <v>474</v>
      </c>
      <c r="B1419" s="400" t="s">
        <v>474</v>
      </c>
      <c r="C1419" s="400" t="s">
        <v>474</v>
      </c>
      <c r="D1419" s="400" t="s">
        <v>474</v>
      </c>
      <c r="E1419" s="401" t="s">
        <v>474</v>
      </c>
      <c r="F1419" s="400" t="s">
        <v>474</v>
      </c>
      <c r="G1419" s="401" t="s">
        <v>474</v>
      </c>
    </row>
    <row r="1420" spans="1:7">
      <c r="A1420" s="3" t="s">
        <v>475</v>
      </c>
      <c r="B1420" s="3" t="s">
        <v>751</v>
      </c>
      <c r="C1420" s="3" t="s">
        <v>752</v>
      </c>
      <c r="D1420" s="3" t="s">
        <v>478</v>
      </c>
      <c r="E1420" s="262">
        <f>ROUND(EQUIPOS!$E$22,0)</f>
        <v>27500</v>
      </c>
      <c r="F1420" s="6">
        <v>0.02</v>
      </c>
      <c r="G1420" s="35">
        <f>ROUND(E1420*F1420,0)</f>
        <v>550</v>
      </c>
    </row>
    <row r="1421" spans="1:7">
      <c r="A1421" s="3" t="s">
        <v>475</v>
      </c>
      <c r="B1421" s="3" t="s">
        <v>479</v>
      </c>
      <c r="C1421" s="3" t="s">
        <v>480</v>
      </c>
      <c r="D1421" s="3" t="s">
        <v>481</v>
      </c>
      <c r="E1421" s="262">
        <f>ROUND($G$1429,0)</f>
        <v>28505</v>
      </c>
      <c r="F1421" s="7">
        <v>0.05</v>
      </c>
      <c r="G1421" s="35">
        <f>ROUND(E1421*F1421,0)</f>
        <v>1425</v>
      </c>
    </row>
    <row r="1422" spans="1:7">
      <c r="A1422" s="402" t="s">
        <v>482</v>
      </c>
      <c r="B1422" s="402" t="s">
        <v>482</v>
      </c>
      <c r="C1422" s="402" t="s">
        <v>482</v>
      </c>
      <c r="D1422" s="402" t="s">
        <v>482</v>
      </c>
      <c r="E1422" s="403" t="s">
        <v>482</v>
      </c>
      <c r="F1422" s="402" t="s">
        <v>482</v>
      </c>
      <c r="G1422" s="55">
        <f>ROUND(SUM(G1420:G1421),0)</f>
        <v>1975</v>
      </c>
    </row>
    <row r="1423" spans="1:7">
      <c r="A1423" s="400" t="s">
        <v>483</v>
      </c>
      <c r="B1423" s="400" t="s">
        <v>483</v>
      </c>
      <c r="C1423" s="400" t="s">
        <v>483</v>
      </c>
      <c r="D1423" s="400" t="s">
        <v>483</v>
      </c>
      <c r="E1423" s="401" t="s">
        <v>483</v>
      </c>
      <c r="F1423" s="400" t="s">
        <v>483</v>
      </c>
      <c r="G1423" s="401" t="s">
        <v>483</v>
      </c>
    </row>
    <row r="1424" spans="1:7">
      <c r="A1424" s="3" t="s">
        <v>484</v>
      </c>
      <c r="B1424" s="3" t="s">
        <v>763</v>
      </c>
      <c r="C1424" s="3" t="s">
        <v>764</v>
      </c>
      <c r="D1424" s="3" t="s">
        <v>103</v>
      </c>
      <c r="E1424" s="262">
        <f>ROUND(INSUMOS!$E$106,0)</f>
        <v>59900</v>
      </c>
      <c r="F1424" s="6">
        <v>1</v>
      </c>
      <c r="G1424" s="35">
        <f>ROUND(E1424*F1424,0)</f>
        <v>59900</v>
      </c>
    </row>
    <row r="1425" spans="1:7">
      <c r="A1425" s="402" t="s">
        <v>495</v>
      </c>
      <c r="B1425" s="402" t="s">
        <v>495</v>
      </c>
      <c r="C1425" s="402" t="s">
        <v>495</v>
      </c>
      <c r="D1425" s="402" t="s">
        <v>495</v>
      </c>
      <c r="E1425" s="403" t="s">
        <v>495</v>
      </c>
      <c r="F1425" s="402" t="s">
        <v>495</v>
      </c>
      <c r="G1425" s="55">
        <f>ROUND(SUM(G1424:G1424),0)</f>
        <v>59900</v>
      </c>
    </row>
    <row r="1426" spans="1:7">
      <c r="A1426" s="400" t="s">
        <v>496</v>
      </c>
      <c r="B1426" s="400" t="s">
        <v>496</v>
      </c>
      <c r="C1426" s="400" t="s">
        <v>496</v>
      </c>
      <c r="D1426" s="400" t="s">
        <v>496</v>
      </c>
      <c r="E1426" s="401" t="s">
        <v>496</v>
      </c>
      <c r="F1426" s="400" t="s">
        <v>496</v>
      </c>
      <c r="G1426" s="401" t="s">
        <v>496</v>
      </c>
    </row>
    <row r="1427" spans="1:7">
      <c r="A1427" s="3" t="s">
        <v>496</v>
      </c>
      <c r="B1427" s="3" t="s">
        <v>721</v>
      </c>
      <c r="C1427" s="3" t="s">
        <v>722</v>
      </c>
      <c r="D1427" s="3" t="s">
        <v>478</v>
      </c>
      <c r="E1427" s="262">
        <f>ROUND('MANO DE OBRA'!$E$23,0)</f>
        <v>177075</v>
      </c>
      <c r="F1427" s="6">
        <v>0.1</v>
      </c>
      <c r="G1427" s="35">
        <f>ROUND(E1427*F1427,0)</f>
        <v>17708</v>
      </c>
    </row>
    <row r="1428" spans="1:7">
      <c r="A1428" s="3" t="s">
        <v>496</v>
      </c>
      <c r="B1428" s="3" t="s">
        <v>723</v>
      </c>
      <c r="C1428" s="3" t="s">
        <v>724</v>
      </c>
      <c r="D1428" s="3" t="s">
        <v>478</v>
      </c>
      <c r="E1428" s="262">
        <f>ROUND('MANO DE OBRA'!$E$24,0)</f>
        <v>107973</v>
      </c>
      <c r="F1428" s="6">
        <v>0.1</v>
      </c>
      <c r="G1428" s="35">
        <f>ROUND(E1428*F1428,0)</f>
        <v>10797</v>
      </c>
    </row>
    <row r="1429" spans="1:7" ht="12.75" thickBot="1">
      <c r="A1429" s="402" t="s">
        <v>503</v>
      </c>
      <c r="B1429" s="402" t="s">
        <v>503</v>
      </c>
      <c r="C1429" s="402" t="s">
        <v>503</v>
      </c>
      <c r="D1429" s="402" t="s">
        <v>503</v>
      </c>
      <c r="E1429" s="403" t="s">
        <v>503</v>
      </c>
      <c r="F1429" s="402" t="s">
        <v>503</v>
      </c>
      <c r="G1429" s="55">
        <f>ROUND(SUM(G1427:G1428),0)</f>
        <v>28505</v>
      </c>
    </row>
    <row r="1430" spans="1:7" ht="12.75" thickBot="1">
      <c r="A1430" s="404" t="s">
        <v>60</v>
      </c>
      <c r="B1430" s="405" t="s">
        <v>504</v>
      </c>
      <c r="C1430" s="405" t="s">
        <v>504</v>
      </c>
      <c r="D1430" s="405" t="s">
        <v>504</v>
      </c>
      <c r="E1430" s="406" t="s">
        <v>504</v>
      </c>
      <c r="F1430" s="8"/>
      <c r="G1430" s="56">
        <f>ROUND(SUM(G1422,G1425,G1429),0)</f>
        <v>90380</v>
      </c>
    </row>
    <row r="1431" spans="1:7">
      <c r="A1431" s="1"/>
      <c r="B1431" s="1"/>
      <c r="C1431" s="1"/>
      <c r="D1431" s="1"/>
      <c r="E1431" s="52"/>
      <c r="F1431" s="1"/>
      <c r="G1431" s="52"/>
    </row>
    <row r="1432" spans="1:7" ht="42" customHeight="1">
      <c r="A1432" s="5" t="s">
        <v>450</v>
      </c>
      <c r="B1432" s="5" t="s">
        <v>235</v>
      </c>
      <c r="C1432" s="407" t="s">
        <v>236</v>
      </c>
      <c r="D1432" s="407"/>
      <c r="E1432" s="408"/>
      <c r="F1432" s="407"/>
      <c r="G1432" s="53" t="s">
        <v>103</v>
      </c>
    </row>
    <row r="1433" spans="1:7">
      <c r="A1433" s="2" t="s">
        <v>470</v>
      </c>
      <c r="B1433" s="2" t="s">
        <v>471</v>
      </c>
      <c r="C1433" s="2" t="s">
        <v>4</v>
      </c>
      <c r="D1433" s="2" t="s">
        <v>58</v>
      </c>
      <c r="E1433" s="54" t="s">
        <v>472</v>
      </c>
      <c r="F1433" s="2" t="s">
        <v>473</v>
      </c>
      <c r="G1433" s="54" t="s">
        <v>264</v>
      </c>
    </row>
    <row r="1434" spans="1:7">
      <c r="A1434" s="400" t="s">
        <v>474</v>
      </c>
      <c r="B1434" s="400" t="s">
        <v>474</v>
      </c>
      <c r="C1434" s="400" t="s">
        <v>474</v>
      </c>
      <c r="D1434" s="400" t="s">
        <v>474</v>
      </c>
      <c r="E1434" s="401" t="s">
        <v>474</v>
      </c>
      <c r="F1434" s="400" t="s">
        <v>474</v>
      </c>
      <c r="G1434" s="401" t="s">
        <v>474</v>
      </c>
    </row>
    <row r="1435" spans="1:7">
      <c r="A1435" s="3" t="s">
        <v>475</v>
      </c>
      <c r="B1435" s="3" t="s">
        <v>751</v>
      </c>
      <c r="C1435" s="3" t="s">
        <v>752</v>
      </c>
      <c r="D1435" s="3" t="s">
        <v>478</v>
      </c>
      <c r="E1435" s="262">
        <f>ROUND(EQUIPOS!$E$22,0)</f>
        <v>27500</v>
      </c>
      <c r="F1435" s="6">
        <v>0.02</v>
      </c>
      <c r="G1435" s="35">
        <f>ROUND(E1435*F1435,0)</f>
        <v>550</v>
      </c>
    </row>
    <row r="1436" spans="1:7">
      <c r="A1436" s="3" t="s">
        <v>475</v>
      </c>
      <c r="B1436" s="3" t="s">
        <v>479</v>
      </c>
      <c r="C1436" s="3" t="s">
        <v>480</v>
      </c>
      <c r="D1436" s="3" t="s">
        <v>481</v>
      </c>
      <c r="E1436" s="262">
        <f>ROUND($G$1444,0)</f>
        <v>285048</v>
      </c>
      <c r="F1436" s="7">
        <v>0.05</v>
      </c>
      <c r="G1436" s="35">
        <f>ROUND(E1436*F1436,0)</f>
        <v>14252</v>
      </c>
    </row>
    <row r="1437" spans="1:7">
      <c r="A1437" s="402" t="s">
        <v>482</v>
      </c>
      <c r="B1437" s="402" t="s">
        <v>482</v>
      </c>
      <c r="C1437" s="402" t="s">
        <v>482</v>
      </c>
      <c r="D1437" s="402" t="s">
        <v>482</v>
      </c>
      <c r="E1437" s="403" t="s">
        <v>482</v>
      </c>
      <c r="F1437" s="402" t="s">
        <v>482</v>
      </c>
      <c r="G1437" s="55">
        <f>ROUND(SUM(G1435:G1436),0)</f>
        <v>14802</v>
      </c>
    </row>
    <row r="1438" spans="1:7">
      <c r="A1438" s="400" t="s">
        <v>483</v>
      </c>
      <c r="B1438" s="400" t="s">
        <v>483</v>
      </c>
      <c r="C1438" s="400" t="s">
        <v>483</v>
      </c>
      <c r="D1438" s="400" t="s">
        <v>483</v>
      </c>
      <c r="E1438" s="401" t="s">
        <v>483</v>
      </c>
      <c r="F1438" s="400" t="s">
        <v>483</v>
      </c>
      <c r="G1438" s="401" t="s">
        <v>483</v>
      </c>
    </row>
    <row r="1439" spans="1:7">
      <c r="A1439" s="3" t="s">
        <v>484</v>
      </c>
      <c r="B1439" s="3" t="s">
        <v>765</v>
      </c>
      <c r="C1439" s="3" t="s">
        <v>766</v>
      </c>
      <c r="D1439" s="3" t="s">
        <v>103</v>
      </c>
      <c r="E1439" s="262">
        <f>ROUND(INSUMOS!$E$107,0)</f>
        <v>4122900</v>
      </c>
      <c r="F1439" s="6">
        <v>1</v>
      </c>
      <c r="G1439" s="35">
        <f>ROUND(E1439*F1439,0)</f>
        <v>4122900</v>
      </c>
    </row>
    <row r="1440" spans="1:7">
      <c r="A1440" s="402" t="s">
        <v>495</v>
      </c>
      <c r="B1440" s="402" t="s">
        <v>495</v>
      </c>
      <c r="C1440" s="402" t="s">
        <v>495</v>
      </c>
      <c r="D1440" s="402" t="s">
        <v>495</v>
      </c>
      <c r="E1440" s="403" t="s">
        <v>495</v>
      </c>
      <c r="F1440" s="402" t="s">
        <v>495</v>
      </c>
      <c r="G1440" s="55">
        <f>ROUND(SUM(G1439:G1439),0)</f>
        <v>4122900</v>
      </c>
    </row>
    <row r="1441" spans="1:7">
      <c r="A1441" s="400" t="s">
        <v>496</v>
      </c>
      <c r="B1441" s="400" t="s">
        <v>496</v>
      </c>
      <c r="C1441" s="400" t="s">
        <v>496</v>
      </c>
      <c r="D1441" s="400" t="s">
        <v>496</v>
      </c>
      <c r="E1441" s="401" t="s">
        <v>496</v>
      </c>
      <c r="F1441" s="400" t="s">
        <v>496</v>
      </c>
      <c r="G1441" s="401" t="s">
        <v>496</v>
      </c>
    </row>
    <row r="1442" spans="1:7">
      <c r="A1442" s="3" t="s">
        <v>496</v>
      </c>
      <c r="B1442" s="3" t="s">
        <v>721</v>
      </c>
      <c r="C1442" s="3" t="s">
        <v>722</v>
      </c>
      <c r="D1442" s="3" t="s">
        <v>478</v>
      </c>
      <c r="E1442" s="262">
        <f>ROUND('MANO DE OBRA'!$E$23,0)</f>
        <v>177075</v>
      </c>
      <c r="F1442" s="6">
        <v>1</v>
      </c>
      <c r="G1442" s="35">
        <f>ROUND(E1442*F1442,0)</f>
        <v>177075</v>
      </c>
    </row>
    <row r="1443" spans="1:7">
      <c r="A1443" s="3" t="s">
        <v>496</v>
      </c>
      <c r="B1443" s="3" t="s">
        <v>723</v>
      </c>
      <c r="C1443" s="3" t="s">
        <v>724</v>
      </c>
      <c r="D1443" s="3" t="s">
        <v>478</v>
      </c>
      <c r="E1443" s="262">
        <f>ROUND('MANO DE OBRA'!$E$24,0)</f>
        <v>107973</v>
      </c>
      <c r="F1443" s="6">
        <v>1</v>
      </c>
      <c r="G1443" s="35">
        <f>ROUND(E1443*F1443,0)</f>
        <v>107973</v>
      </c>
    </row>
    <row r="1444" spans="1:7" ht="12.75" thickBot="1">
      <c r="A1444" s="402" t="s">
        <v>503</v>
      </c>
      <c r="B1444" s="402" t="s">
        <v>503</v>
      </c>
      <c r="C1444" s="402" t="s">
        <v>503</v>
      </c>
      <c r="D1444" s="402" t="s">
        <v>503</v>
      </c>
      <c r="E1444" s="403" t="s">
        <v>503</v>
      </c>
      <c r="F1444" s="402" t="s">
        <v>503</v>
      </c>
      <c r="G1444" s="55">
        <f>ROUND(SUM(G1442:G1443),0)</f>
        <v>285048</v>
      </c>
    </row>
    <row r="1445" spans="1:7" ht="12.75" thickBot="1">
      <c r="A1445" s="404" t="s">
        <v>60</v>
      </c>
      <c r="B1445" s="405" t="s">
        <v>504</v>
      </c>
      <c r="C1445" s="405" t="s">
        <v>504</v>
      </c>
      <c r="D1445" s="405" t="s">
        <v>504</v>
      </c>
      <c r="E1445" s="406" t="s">
        <v>504</v>
      </c>
      <c r="F1445" s="8"/>
      <c r="G1445" s="56">
        <f>ROUND(SUM(G1437,G1440,G1444),0)</f>
        <v>4422750</v>
      </c>
    </row>
    <row r="1446" spans="1:7">
      <c r="A1446" s="1"/>
      <c r="B1446" s="1"/>
      <c r="C1446" s="1"/>
      <c r="D1446" s="1"/>
      <c r="E1446" s="52"/>
      <c r="F1446" s="1"/>
      <c r="G1446" s="52"/>
    </row>
    <row r="1447" spans="1:7" ht="42" customHeight="1">
      <c r="A1447" s="5" t="s">
        <v>452</v>
      </c>
      <c r="B1447" s="5" t="s">
        <v>237</v>
      </c>
      <c r="C1447" s="407" t="s">
        <v>238</v>
      </c>
      <c r="D1447" s="407"/>
      <c r="E1447" s="408"/>
      <c r="F1447" s="407"/>
      <c r="G1447" s="53" t="s">
        <v>103</v>
      </c>
    </row>
    <row r="1448" spans="1:7">
      <c r="A1448" s="2" t="s">
        <v>470</v>
      </c>
      <c r="B1448" s="2" t="s">
        <v>471</v>
      </c>
      <c r="C1448" s="2" t="s">
        <v>4</v>
      </c>
      <c r="D1448" s="2" t="s">
        <v>58</v>
      </c>
      <c r="E1448" s="54" t="s">
        <v>472</v>
      </c>
      <c r="F1448" s="2" t="s">
        <v>473</v>
      </c>
      <c r="G1448" s="54" t="s">
        <v>264</v>
      </c>
    </row>
    <row r="1449" spans="1:7">
      <c r="A1449" s="400" t="s">
        <v>474</v>
      </c>
      <c r="B1449" s="400" t="s">
        <v>474</v>
      </c>
      <c r="C1449" s="400" t="s">
        <v>474</v>
      </c>
      <c r="D1449" s="400" t="s">
        <v>474</v>
      </c>
      <c r="E1449" s="401" t="s">
        <v>474</v>
      </c>
      <c r="F1449" s="400" t="s">
        <v>474</v>
      </c>
      <c r="G1449" s="401" t="s">
        <v>474</v>
      </c>
    </row>
    <row r="1450" spans="1:7">
      <c r="A1450" s="3" t="s">
        <v>475</v>
      </c>
      <c r="B1450" s="3" t="s">
        <v>751</v>
      </c>
      <c r="C1450" s="3" t="s">
        <v>752</v>
      </c>
      <c r="D1450" s="3" t="s">
        <v>478</v>
      </c>
      <c r="E1450" s="262">
        <f>ROUND(EQUIPOS!$E$22,0)</f>
        <v>27500</v>
      </c>
      <c r="F1450" s="6">
        <v>0.02</v>
      </c>
      <c r="G1450" s="35">
        <f>ROUND(E1450*F1450,0)</f>
        <v>550</v>
      </c>
    </row>
    <row r="1451" spans="1:7">
      <c r="A1451" s="3" t="s">
        <v>475</v>
      </c>
      <c r="B1451" s="3" t="s">
        <v>479</v>
      </c>
      <c r="C1451" s="3" t="s">
        <v>480</v>
      </c>
      <c r="D1451" s="3" t="s">
        <v>481</v>
      </c>
      <c r="E1451" s="262">
        <f>ROUND($G$1460,0)</f>
        <v>171029</v>
      </c>
      <c r="F1451" s="7">
        <v>0.05</v>
      </c>
      <c r="G1451" s="35">
        <f>ROUND(E1451*F1451,0)</f>
        <v>8551</v>
      </c>
    </row>
    <row r="1452" spans="1:7">
      <c r="A1452" s="402" t="s">
        <v>482</v>
      </c>
      <c r="B1452" s="402" t="s">
        <v>482</v>
      </c>
      <c r="C1452" s="402" t="s">
        <v>482</v>
      </c>
      <c r="D1452" s="402" t="s">
        <v>482</v>
      </c>
      <c r="E1452" s="403" t="s">
        <v>482</v>
      </c>
      <c r="F1452" s="402" t="s">
        <v>482</v>
      </c>
      <c r="G1452" s="55">
        <f>ROUND(SUM(G1450:G1451),0)</f>
        <v>9101</v>
      </c>
    </row>
    <row r="1453" spans="1:7">
      <c r="A1453" s="400" t="s">
        <v>483</v>
      </c>
      <c r="B1453" s="400" t="s">
        <v>483</v>
      </c>
      <c r="C1453" s="400" t="s">
        <v>483</v>
      </c>
      <c r="D1453" s="400" t="s">
        <v>483</v>
      </c>
      <c r="E1453" s="401" t="s">
        <v>483</v>
      </c>
      <c r="F1453" s="400" t="s">
        <v>483</v>
      </c>
      <c r="G1453" s="401" t="s">
        <v>483</v>
      </c>
    </row>
    <row r="1454" spans="1:7">
      <c r="A1454" s="3" t="s">
        <v>484</v>
      </c>
      <c r="B1454" s="3" t="s">
        <v>518</v>
      </c>
      <c r="C1454" s="3" t="s">
        <v>519</v>
      </c>
      <c r="D1454" s="3" t="s">
        <v>72</v>
      </c>
      <c r="E1454" s="262">
        <f>ROUND(APA!$G$137,0)</f>
        <v>860966</v>
      </c>
      <c r="F1454" s="6">
        <v>0.64</v>
      </c>
      <c r="G1454" s="35">
        <f>ROUND(E1454*F1454,0)</f>
        <v>551018</v>
      </c>
    </row>
    <row r="1455" spans="1:7">
      <c r="A1455" s="3" t="s">
        <v>484</v>
      </c>
      <c r="B1455" s="3" t="s">
        <v>544</v>
      </c>
      <c r="C1455" s="3" t="s">
        <v>545</v>
      </c>
      <c r="D1455" s="3" t="s">
        <v>120</v>
      </c>
      <c r="E1455" s="262">
        <f>ROUND(INSUMOS!$E$27,0)</f>
        <v>7522</v>
      </c>
      <c r="F1455" s="6">
        <v>57.6</v>
      </c>
      <c r="G1455" s="35">
        <f>ROUND(E1455*F1455,0)</f>
        <v>433267</v>
      </c>
    </row>
    <row r="1456" spans="1:7">
      <c r="A1456" s="402" t="s">
        <v>495</v>
      </c>
      <c r="B1456" s="402" t="s">
        <v>495</v>
      </c>
      <c r="C1456" s="402" t="s">
        <v>495</v>
      </c>
      <c r="D1456" s="402" t="s">
        <v>495</v>
      </c>
      <c r="E1456" s="403" t="s">
        <v>495</v>
      </c>
      <c r="F1456" s="402" t="s">
        <v>495</v>
      </c>
      <c r="G1456" s="55">
        <f>ROUND(SUM(G1454:G1455),0)</f>
        <v>984285</v>
      </c>
    </row>
    <row r="1457" spans="1:7">
      <c r="A1457" s="400" t="s">
        <v>496</v>
      </c>
      <c r="B1457" s="400" t="s">
        <v>496</v>
      </c>
      <c r="C1457" s="400" t="s">
        <v>496</v>
      </c>
      <c r="D1457" s="400" t="s">
        <v>496</v>
      </c>
      <c r="E1457" s="401" t="s">
        <v>496</v>
      </c>
      <c r="F1457" s="400" t="s">
        <v>496</v>
      </c>
      <c r="G1457" s="401" t="s">
        <v>496</v>
      </c>
    </row>
    <row r="1458" spans="1:7">
      <c r="A1458" s="3" t="s">
        <v>496</v>
      </c>
      <c r="B1458" s="3" t="s">
        <v>721</v>
      </c>
      <c r="C1458" s="3" t="s">
        <v>722</v>
      </c>
      <c r="D1458" s="3" t="s">
        <v>478</v>
      </c>
      <c r="E1458" s="262">
        <f>ROUND('MANO DE OBRA'!$E$23,0)</f>
        <v>177075</v>
      </c>
      <c r="F1458" s="6">
        <v>0.6</v>
      </c>
      <c r="G1458" s="35">
        <f>ROUND(E1458*F1458,0)</f>
        <v>106245</v>
      </c>
    </row>
    <row r="1459" spans="1:7">
      <c r="A1459" s="3" t="s">
        <v>496</v>
      </c>
      <c r="B1459" s="3" t="s">
        <v>723</v>
      </c>
      <c r="C1459" s="3" t="s">
        <v>724</v>
      </c>
      <c r="D1459" s="3" t="s">
        <v>478</v>
      </c>
      <c r="E1459" s="262">
        <f>ROUND('MANO DE OBRA'!$E$24,0)</f>
        <v>107973</v>
      </c>
      <c r="F1459" s="6">
        <v>0.6</v>
      </c>
      <c r="G1459" s="35">
        <f>ROUND(E1459*F1459,0)</f>
        <v>64784</v>
      </c>
    </row>
    <row r="1460" spans="1:7" ht="12.75" thickBot="1">
      <c r="A1460" s="402" t="s">
        <v>503</v>
      </c>
      <c r="B1460" s="402" t="s">
        <v>503</v>
      </c>
      <c r="C1460" s="402" t="s">
        <v>503</v>
      </c>
      <c r="D1460" s="402" t="s">
        <v>503</v>
      </c>
      <c r="E1460" s="403" t="s">
        <v>503</v>
      </c>
      <c r="F1460" s="402" t="s">
        <v>503</v>
      </c>
      <c r="G1460" s="55">
        <f>ROUND(SUM(G1458:G1459),0)</f>
        <v>171029</v>
      </c>
    </row>
    <row r="1461" spans="1:7" ht="12.75" thickBot="1">
      <c r="A1461" s="404" t="s">
        <v>60</v>
      </c>
      <c r="B1461" s="405" t="s">
        <v>504</v>
      </c>
      <c r="C1461" s="405" t="s">
        <v>504</v>
      </c>
      <c r="D1461" s="405" t="s">
        <v>504</v>
      </c>
      <c r="E1461" s="406" t="s">
        <v>504</v>
      </c>
      <c r="F1461" s="8"/>
      <c r="G1461" s="56">
        <f>ROUND(SUM(G1452,G1456,G1460),0)</f>
        <v>1164415</v>
      </c>
    </row>
    <row r="1462" spans="1:7">
      <c r="A1462" s="1"/>
      <c r="B1462" s="1"/>
      <c r="C1462" s="1"/>
      <c r="D1462" s="1"/>
      <c r="E1462" s="52"/>
      <c r="F1462" s="1"/>
      <c r="G1462" s="52"/>
    </row>
    <row r="1463" spans="1:7" ht="42" customHeight="1">
      <c r="A1463" s="5" t="s">
        <v>454</v>
      </c>
      <c r="B1463" s="5" t="s">
        <v>239</v>
      </c>
      <c r="C1463" s="407" t="s">
        <v>240</v>
      </c>
      <c r="D1463" s="407"/>
      <c r="E1463" s="408"/>
      <c r="F1463" s="407"/>
      <c r="G1463" s="53" t="s">
        <v>68</v>
      </c>
    </row>
    <row r="1464" spans="1:7">
      <c r="A1464" s="2" t="s">
        <v>470</v>
      </c>
      <c r="B1464" s="2" t="s">
        <v>471</v>
      </c>
      <c r="C1464" s="2" t="s">
        <v>4</v>
      </c>
      <c r="D1464" s="2" t="s">
        <v>58</v>
      </c>
      <c r="E1464" s="54" t="s">
        <v>472</v>
      </c>
      <c r="F1464" s="2" t="s">
        <v>473</v>
      </c>
      <c r="G1464" s="54" t="s">
        <v>264</v>
      </c>
    </row>
    <row r="1465" spans="1:7">
      <c r="A1465" s="400" t="s">
        <v>474</v>
      </c>
      <c r="B1465" s="400" t="s">
        <v>474</v>
      </c>
      <c r="C1465" s="400" t="s">
        <v>474</v>
      </c>
      <c r="D1465" s="400" t="s">
        <v>474</v>
      </c>
      <c r="E1465" s="401" t="s">
        <v>474</v>
      </c>
      <c r="F1465" s="400" t="s">
        <v>474</v>
      </c>
      <c r="G1465" s="401" t="s">
        <v>474</v>
      </c>
    </row>
    <row r="1466" spans="1:7">
      <c r="A1466" s="3" t="s">
        <v>475</v>
      </c>
      <c r="B1466" s="3" t="s">
        <v>479</v>
      </c>
      <c r="C1466" s="3" t="s">
        <v>480</v>
      </c>
      <c r="D1466" s="3" t="s">
        <v>481</v>
      </c>
      <c r="E1466" s="262">
        <f>ROUND($G$1479,0)</f>
        <v>34206</v>
      </c>
      <c r="F1466" s="7">
        <v>0.05</v>
      </c>
      <c r="G1466" s="35">
        <f>ROUND(E1466*F1466,0)</f>
        <v>1710</v>
      </c>
    </row>
    <row r="1467" spans="1:7">
      <c r="A1467" s="402" t="s">
        <v>482</v>
      </c>
      <c r="B1467" s="402" t="s">
        <v>482</v>
      </c>
      <c r="C1467" s="402" t="s">
        <v>482</v>
      </c>
      <c r="D1467" s="402" t="s">
        <v>482</v>
      </c>
      <c r="E1467" s="403" t="s">
        <v>482</v>
      </c>
      <c r="F1467" s="402" t="s">
        <v>482</v>
      </c>
      <c r="G1467" s="55">
        <f>ROUND(SUM(G1466:G1466),0)</f>
        <v>1710</v>
      </c>
    </row>
    <row r="1468" spans="1:7">
      <c r="A1468" s="400" t="s">
        <v>483</v>
      </c>
      <c r="B1468" s="400" t="s">
        <v>483</v>
      </c>
      <c r="C1468" s="400" t="s">
        <v>483</v>
      </c>
      <c r="D1468" s="400" t="s">
        <v>483</v>
      </c>
      <c r="E1468" s="401" t="s">
        <v>483</v>
      </c>
      <c r="F1468" s="400" t="s">
        <v>483</v>
      </c>
      <c r="G1468" s="401" t="s">
        <v>483</v>
      </c>
    </row>
    <row r="1469" spans="1:7">
      <c r="A1469" s="3" t="s">
        <v>484</v>
      </c>
      <c r="B1469" s="3" t="s">
        <v>767</v>
      </c>
      <c r="C1469" s="3" t="s">
        <v>768</v>
      </c>
      <c r="D1469" s="3" t="s">
        <v>68</v>
      </c>
      <c r="E1469" s="262">
        <f>ROUND(INSUMOS!$E$108,0)</f>
        <v>28752</v>
      </c>
      <c r="F1469" s="6">
        <v>1</v>
      </c>
      <c r="G1469" s="35">
        <f t="shared" ref="G1469:G1474" si="31">ROUND(E1469*F1469,0)</f>
        <v>28752</v>
      </c>
    </row>
    <row r="1470" spans="1:7">
      <c r="A1470" s="3" t="s">
        <v>484</v>
      </c>
      <c r="B1470" s="3" t="s">
        <v>733</v>
      </c>
      <c r="C1470" s="3" t="s">
        <v>734</v>
      </c>
      <c r="D1470" s="3" t="s">
        <v>103</v>
      </c>
      <c r="E1470" s="262">
        <f>ROUND(INSUMOS!$E$92,0)</f>
        <v>5593</v>
      </c>
      <c r="F1470" s="6">
        <v>1</v>
      </c>
      <c r="G1470" s="35">
        <f t="shared" si="31"/>
        <v>5593</v>
      </c>
    </row>
    <row r="1471" spans="1:7">
      <c r="A1471" s="3" t="s">
        <v>484</v>
      </c>
      <c r="B1471" s="3" t="s">
        <v>735</v>
      </c>
      <c r="C1471" s="3" t="s">
        <v>736</v>
      </c>
      <c r="D1471" s="3" t="s">
        <v>103</v>
      </c>
      <c r="E1471" s="262">
        <f>ROUND(INSUMOS!$E$93,0)</f>
        <v>9520</v>
      </c>
      <c r="F1471" s="6">
        <v>0.5</v>
      </c>
      <c r="G1471" s="35">
        <f t="shared" si="31"/>
        <v>4760</v>
      </c>
    </row>
    <row r="1472" spans="1:7">
      <c r="A1472" s="3" t="s">
        <v>484</v>
      </c>
      <c r="B1472" s="3" t="s">
        <v>737</v>
      </c>
      <c r="C1472" s="3" t="s">
        <v>738</v>
      </c>
      <c r="D1472" s="3" t="s">
        <v>103</v>
      </c>
      <c r="E1472" s="262">
        <f>ROUND(INSUMOS!$E$94,0)</f>
        <v>36771</v>
      </c>
      <c r="F1472" s="6">
        <v>0.3</v>
      </c>
      <c r="G1472" s="35">
        <f t="shared" si="31"/>
        <v>11031</v>
      </c>
    </row>
    <row r="1473" spans="1:7">
      <c r="A1473" s="3" t="s">
        <v>484</v>
      </c>
      <c r="B1473" s="3" t="s">
        <v>613</v>
      </c>
      <c r="C1473" s="3" t="s">
        <v>614</v>
      </c>
      <c r="D1473" s="3" t="s">
        <v>103</v>
      </c>
      <c r="E1473" s="262">
        <f>ROUND(INSUMOS!$E$54,0)</f>
        <v>33866</v>
      </c>
      <c r="F1473" s="6">
        <v>0.01</v>
      </c>
      <c r="G1473" s="35">
        <f t="shared" si="31"/>
        <v>339</v>
      </c>
    </row>
    <row r="1474" spans="1:7">
      <c r="A1474" s="3" t="s">
        <v>484</v>
      </c>
      <c r="B1474" s="3" t="s">
        <v>716</v>
      </c>
      <c r="C1474" s="3" t="s">
        <v>717</v>
      </c>
      <c r="D1474" s="3" t="s">
        <v>103</v>
      </c>
      <c r="E1474" s="262">
        <f>ROUND(INSUMOS!$E$86,0)</f>
        <v>61880</v>
      </c>
      <c r="F1474" s="6">
        <v>1.0000000000000002E-2</v>
      </c>
      <c r="G1474" s="35">
        <f t="shared" si="31"/>
        <v>619</v>
      </c>
    </row>
    <row r="1475" spans="1:7">
      <c r="A1475" s="402" t="s">
        <v>495</v>
      </c>
      <c r="B1475" s="402" t="s">
        <v>495</v>
      </c>
      <c r="C1475" s="402" t="s">
        <v>495</v>
      </c>
      <c r="D1475" s="402" t="s">
        <v>495</v>
      </c>
      <c r="E1475" s="403" t="s">
        <v>495</v>
      </c>
      <c r="F1475" s="402" t="s">
        <v>495</v>
      </c>
      <c r="G1475" s="55">
        <f>ROUND(SUM(G1469:G1474),0)</f>
        <v>51094</v>
      </c>
    </row>
    <row r="1476" spans="1:7">
      <c r="A1476" s="400" t="s">
        <v>496</v>
      </c>
      <c r="B1476" s="400" t="s">
        <v>496</v>
      </c>
      <c r="C1476" s="400" t="s">
        <v>496</v>
      </c>
      <c r="D1476" s="400" t="s">
        <v>496</v>
      </c>
      <c r="E1476" s="401" t="s">
        <v>496</v>
      </c>
      <c r="F1476" s="400" t="s">
        <v>496</v>
      </c>
      <c r="G1476" s="401" t="s">
        <v>496</v>
      </c>
    </row>
    <row r="1477" spans="1:7">
      <c r="A1477" s="3" t="s">
        <v>496</v>
      </c>
      <c r="B1477" s="3" t="s">
        <v>721</v>
      </c>
      <c r="C1477" s="3" t="s">
        <v>722</v>
      </c>
      <c r="D1477" s="3" t="s">
        <v>478</v>
      </c>
      <c r="E1477" s="262">
        <f>ROUND('MANO DE OBRA'!$E$23,0)</f>
        <v>177075</v>
      </c>
      <c r="F1477" s="6">
        <v>0.12</v>
      </c>
      <c r="G1477" s="35">
        <f>ROUND(E1477*F1477,0)</f>
        <v>21249</v>
      </c>
    </row>
    <row r="1478" spans="1:7">
      <c r="A1478" s="3" t="s">
        <v>496</v>
      </c>
      <c r="B1478" s="3" t="s">
        <v>723</v>
      </c>
      <c r="C1478" s="3" t="s">
        <v>724</v>
      </c>
      <c r="D1478" s="3" t="s">
        <v>478</v>
      </c>
      <c r="E1478" s="262">
        <f>ROUND('MANO DE OBRA'!$E$24,0)</f>
        <v>107973</v>
      </c>
      <c r="F1478" s="6">
        <v>0.12</v>
      </c>
      <c r="G1478" s="35">
        <f>ROUND(E1478*F1478,0)</f>
        <v>12957</v>
      </c>
    </row>
    <row r="1479" spans="1:7" ht="12.75" thickBot="1">
      <c r="A1479" s="402" t="s">
        <v>503</v>
      </c>
      <c r="B1479" s="402" t="s">
        <v>503</v>
      </c>
      <c r="C1479" s="402" t="s">
        <v>503</v>
      </c>
      <c r="D1479" s="402" t="s">
        <v>503</v>
      </c>
      <c r="E1479" s="403" t="s">
        <v>503</v>
      </c>
      <c r="F1479" s="402" t="s">
        <v>503</v>
      </c>
      <c r="G1479" s="55">
        <f>ROUND(SUM(G1477:G1478),0)</f>
        <v>34206</v>
      </c>
    </row>
    <row r="1480" spans="1:7" ht="12.75" thickBot="1">
      <c r="A1480" s="404" t="s">
        <v>60</v>
      </c>
      <c r="B1480" s="405" t="s">
        <v>504</v>
      </c>
      <c r="C1480" s="405" t="s">
        <v>504</v>
      </c>
      <c r="D1480" s="405" t="s">
        <v>504</v>
      </c>
      <c r="E1480" s="406" t="s">
        <v>504</v>
      </c>
      <c r="F1480" s="8"/>
      <c r="G1480" s="56">
        <f>ROUND(SUM(G1467,G1475,G1479),0)</f>
        <v>87010</v>
      </c>
    </row>
    <row r="1481" spans="1:7">
      <c r="A1481" s="1"/>
      <c r="B1481" s="1"/>
      <c r="C1481" s="1"/>
      <c r="D1481" s="1"/>
      <c r="E1481" s="52"/>
      <c r="F1481" s="1"/>
      <c r="G1481" s="52"/>
    </row>
    <row r="1482" spans="1:7" ht="42" customHeight="1">
      <c r="A1482" s="5" t="s">
        <v>455</v>
      </c>
      <c r="B1482" s="5" t="s">
        <v>140</v>
      </c>
      <c r="C1482" s="407" t="s">
        <v>242</v>
      </c>
      <c r="D1482" s="407"/>
      <c r="E1482" s="408"/>
      <c r="F1482" s="407"/>
      <c r="G1482" s="53" t="s">
        <v>103</v>
      </c>
    </row>
    <row r="1483" spans="1:7">
      <c r="A1483" s="2" t="s">
        <v>470</v>
      </c>
      <c r="B1483" s="2" t="s">
        <v>471</v>
      </c>
      <c r="C1483" s="2" t="s">
        <v>4</v>
      </c>
      <c r="D1483" s="2" t="s">
        <v>58</v>
      </c>
      <c r="E1483" s="54" t="s">
        <v>472</v>
      </c>
      <c r="F1483" s="2" t="s">
        <v>473</v>
      </c>
      <c r="G1483" s="54" t="s">
        <v>264</v>
      </c>
    </row>
    <row r="1484" spans="1:7">
      <c r="A1484" s="400" t="s">
        <v>474</v>
      </c>
      <c r="B1484" s="400" t="s">
        <v>474</v>
      </c>
      <c r="C1484" s="400" t="s">
        <v>474</v>
      </c>
      <c r="D1484" s="400" t="s">
        <v>474</v>
      </c>
      <c r="E1484" s="401" t="s">
        <v>474</v>
      </c>
      <c r="F1484" s="400" t="s">
        <v>474</v>
      </c>
      <c r="G1484" s="401" t="s">
        <v>474</v>
      </c>
    </row>
    <row r="1485" spans="1:7">
      <c r="A1485" s="3" t="s">
        <v>475</v>
      </c>
      <c r="B1485" s="3" t="s">
        <v>685</v>
      </c>
      <c r="C1485" s="3" t="s">
        <v>686</v>
      </c>
      <c r="D1485" s="3" t="s">
        <v>478</v>
      </c>
      <c r="E1485" s="262">
        <f>ROUND(EQUIPOS!$E$19,0)</f>
        <v>360000</v>
      </c>
      <c r="F1485" s="6">
        <v>0.2</v>
      </c>
      <c r="G1485" s="35">
        <f>ROUND(E1485*F1485,0)</f>
        <v>72000</v>
      </c>
    </row>
    <row r="1486" spans="1:7">
      <c r="A1486" s="3" t="s">
        <v>475</v>
      </c>
      <c r="B1486" s="3" t="s">
        <v>479</v>
      </c>
      <c r="C1486" s="3" t="s">
        <v>480</v>
      </c>
      <c r="D1486" s="3" t="s">
        <v>481</v>
      </c>
      <c r="E1486" s="262">
        <f>ROUND($G$1499,0)</f>
        <v>142525</v>
      </c>
      <c r="F1486" s="7">
        <v>0.05</v>
      </c>
      <c r="G1486" s="35">
        <f>ROUND(E1486*F1486,0)</f>
        <v>7126</v>
      </c>
    </row>
    <row r="1487" spans="1:7">
      <c r="A1487" s="402" t="s">
        <v>482</v>
      </c>
      <c r="B1487" s="402" t="s">
        <v>482</v>
      </c>
      <c r="C1487" s="402" t="s">
        <v>482</v>
      </c>
      <c r="D1487" s="402" t="s">
        <v>482</v>
      </c>
      <c r="E1487" s="403" t="s">
        <v>482</v>
      </c>
      <c r="F1487" s="402" t="s">
        <v>482</v>
      </c>
      <c r="G1487" s="55">
        <f>ROUND(SUM(G1485:G1486),0)</f>
        <v>79126</v>
      </c>
    </row>
    <row r="1488" spans="1:7">
      <c r="A1488" s="400" t="s">
        <v>483</v>
      </c>
      <c r="B1488" s="400" t="s">
        <v>483</v>
      </c>
      <c r="C1488" s="400" t="s">
        <v>483</v>
      </c>
      <c r="D1488" s="400" t="s">
        <v>483</v>
      </c>
      <c r="E1488" s="401" t="s">
        <v>483</v>
      </c>
      <c r="F1488" s="400" t="s">
        <v>483</v>
      </c>
      <c r="G1488" s="401" t="s">
        <v>483</v>
      </c>
    </row>
    <row r="1489" spans="1:7">
      <c r="A1489" s="3" t="s">
        <v>484</v>
      </c>
      <c r="B1489" s="3" t="s">
        <v>687</v>
      </c>
      <c r="C1489" s="3" t="s">
        <v>688</v>
      </c>
      <c r="D1489" s="3" t="s">
        <v>103</v>
      </c>
      <c r="E1489" s="262">
        <f>ROUND(INSUMOS!$E$78,0)</f>
        <v>260664</v>
      </c>
      <c r="F1489" s="6">
        <v>2.1800000000000002</v>
      </c>
      <c r="G1489" s="35">
        <f t="shared" ref="G1489:G1494" si="32">ROUND(E1489*F1489,0)</f>
        <v>568248</v>
      </c>
    </row>
    <row r="1490" spans="1:7">
      <c r="A1490" s="3" t="s">
        <v>484</v>
      </c>
      <c r="B1490" s="3" t="s">
        <v>487</v>
      </c>
      <c r="C1490" s="3" t="s">
        <v>488</v>
      </c>
      <c r="D1490" s="3" t="s">
        <v>489</v>
      </c>
      <c r="E1490" s="262">
        <f>ROUND(INSUMOS!$E$12,0)</f>
        <v>130781</v>
      </c>
      <c r="F1490" s="6">
        <v>0.2</v>
      </c>
      <c r="G1490" s="35">
        <f t="shared" si="32"/>
        <v>26156</v>
      </c>
    </row>
    <row r="1491" spans="1:7">
      <c r="A1491" s="3" t="s">
        <v>484</v>
      </c>
      <c r="B1491" s="3" t="s">
        <v>689</v>
      </c>
      <c r="C1491" s="3" t="s">
        <v>690</v>
      </c>
      <c r="D1491" s="3" t="s">
        <v>103</v>
      </c>
      <c r="E1491" s="262">
        <f>ROUND(INSUMOS!$E$79,0)</f>
        <v>128520</v>
      </c>
      <c r="F1491" s="6">
        <v>1</v>
      </c>
      <c r="G1491" s="35">
        <f t="shared" si="32"/>
        <v>128520</v>
      </c>
    </row>
    <row r="1492" spans="1:7">
      <c r="A1492" s="3" t="s">
        <v>484</v>
      </c>
      <c r="B1492" s="3" t="s">
        <v>567</v>
      </c>
      <c r="C1492" s="3" t="s">
        <v>568</v>
      </c>
      <c r="D1492" s="3" t="s">
        <v>120</v>
      </c>
      <c r="E1492" s="262">
        <f>ROUND(INSUMOS!$E$35,0)</f>
        <v>14732</v>
      </c>
      <c r="F1492" s="6">
        <v>0.5</v>
      </c>
      <c r="G1492" s="35">
        <f t="shared" si="32"/>
        <v>7366</v>
      </c>
    </row>
    <row r="1493" spans="1:7">
      <c r="A1493" s="3" t="s">
        <v>484</v>
      </c>
      <c r="B1493" s="3" t="s">
        <v>691</v>
      </c>
      <c r="C1493" s="3" t="s">
        <v>692</v>
      </c>
      <c r="D1493" s="3" t="s">
        <v>103</v>
      </c>
      <c r="E1493" s="262">
        <f>ROUND(INSUMOS!$E$80,0)</f>
        <v>125250</v>
      </c>
      <c r="F1493" s="6">
        <v>0.34699999999999998</v>
      </c>
      <c r="G1493" s="35">
        <f t="shared" si="32"/>
        <v>43462</v>
      </c>
    </row>
    <row r="1494" spans="1:7">
      <c r="A1494" s="3" t="s">
        <v>484</v>
      </c>
      <c r="B1494" s="3" t="s">
        <v>693</v>
      </c>
      <c r="C1494" s="3" t="s">
        <v>694</v>
      </c>
      <c r="D1494" s="3" t="s">
        <v>103</v>
      </c>
      <c r="E1494" s="262">
        <f>ROUND(INSUMOS!$E$81,0)</f>
        <v>6747</v>
      </c>
      <c r="F1494" s="6">
        <v>0.5</v>
      </c>
      <c r="G1494" s="35">
        <f t="shared" si="32"/>
        <v>3374</v>
      </c>
    </row>
    <row r="1495" spans="1:7">
      <c r="A1495" s="402" t="s">
        <v>495</v>
      </c>
      <c r="B1495" s="402" t="s">
        <v>495</v>
      </c>
      <c r="C1495" s="402" t="s">
        <v>495</v>
      </c>
      <c r="D1495" s="402" t="s">
        <v>495</v>
      </c>
      <c r="E1495" s="403" t="s">
        <v>495</v>
      </c>
      <c r="F1495" s="402" t="s">
        <v>495</v>
      </c>
      <c r="G1495" s="55">
        <f>ROUND(SUM(G1489:G1494),0)</f>
        <v>777126</v>
      </c>
    </row>
    <row r="1496" spans="1:7">
      <c r="A1496" s="400" t="s">
        <v>496</v>
      </c>
      <c r="B1496" s="400" t="s">
        <v>496</v>
      </c>
      <c r="C1496" s="400" t="s">
        <v>496</v>
      </c>
      <c r="D1496" s="400" t="s">
        <v>496</v>
      </c>
      <c r="E1496" s="401" t="s">
        <v>496</v>
      </c>
      <c r="F1496" s="400" t="s">
        <v>496</v>
      </c>
      <c r="G1496" s="401" t="s">
        <v>496</v>
      </c>
    </row>
    <row r="1497" spans="1:7">
      <c r="A1497" s="3" t="s">
        <v>496</v>
      </c>
      <c r="B1497" s="3" t="s">
        <v>695</v>
      </c>
      <c r="C1497" s="3" t="s">
        <v>696</v>
      </c>
      <c r="D1497" s="3" t="s">
        <v>478</v>
      </c>
      <c r="E1497" s="262">
        <f>ROUND('MANO DE OBRA'!$E$19,0)</f>
        <v>177075</v>
      </c>
      <c r="F1497" s="6">
        <v>0.5</v>
      </c>
      <c r="G1497" s="35">
        <f>ROUND(E1497*F1497,0)</f>
        <v>88538</v>
      </c>
    </row>
    <row r="1498" spans="1:7">
      <c r="A1498" s="3" t="s">
        <v>496</v>
      </c>
      <c r="B1498" s="3" t="s">
        <v>697</v>
      </c>
      <c r="C1498" s="3" t="s">
        <v>698</v>
      </c>
      <c r="D1498" s="3" t="s">
        <v>478</v>
      </c>
      <c r="E1498" s="262">
        <f>ROUND('MANO DE OBRA'!$E$20,0)</f>
        <v>107973</v>
      </c>
      <c r="F1498" s="6">
        <v>0.5</v>
      </c>
      <c r="G1498" s="35">
        <f>ROUND(E1498*F1498,0)</f>
        <v>53987</v>
      </c>
    </row>
    <row r="1499" spans="1:7" ht="12.75" thickBot="1">
      <c r="A1499" s="402" t="s">
        <v>503</v>
      </c>
      <c r="B1499" s="402" t="s">
        <v>503</v>
      </c>
      <c r="C1499" s="402" t="s">
        <v>503</v>
      </c>
      <c r="D1499" s="402" t="s">
        <v>503</v>
      </c>
      <c r="E1499" s="403" t="s">
        <v>503</v>
      </c>
      <c r="F1499" s="402" t="s">
        <v>503</v>
      </c>
      <c r="G1499" s="55">
        <f>ROUND(SUM(G1497:G1498),0)</f>
        <v>142525</v>
      </c>
    </row>
    <row r="1500" spans="1:7" ht="12.75" thickBot="1">
      <c r="A1500" s="404" t="s">
        <v>60</v>
      </c>
      <c r="B1500" s="405" t="s">
        <v>504</v>
      </c>
      <c r="C1500" s="405" t="s">
        <v>504</v>
      </c>
      <c r="D1500" s="405" t="s">
        <v>504</v>
      </c>
      <c r="E1500" s="406" t="s">
        <v>504</v>
      </c>
      <c r="F1500" s="8"/>
      <c r="G1500" s="56">
        <f>ROUND(SUM(G1487,G1495,G1499),0)</f>
        <v>998777</v>
      </c>
    </row>
    <row r="1501" spans="1:7">
      <c r="A1501" s="1"/>
      <c r="B1501" s="1"/>
      <c r="C1501" s="1"/>
      <c r="D1501" s="1"/>
      <c r="E1501" s="52"/>
      <c r="F1501" s="1"/>
      <c r="G1501" s="52"/>
    </row>
    <row r="1502" spans="1:7" ht="42" customHeight="1">
      <c r="A1502" s="5" t="s">
        <v>457</v>
      </c>
      <c r="B1502" s="5" t="s">
        <v>243</v>
      </c>
      <c r="C1502" s="407" t="s">
        <v>244</v>
      </c>
      <c r="D1502" s="407"/>
      <c r="E1502" s="408"/>
      <c r="F1502" s="407"/>
      <c r="G1502" s="53" t="s">
        <v>65</v>
      </c>
    </row>
    <row r="1503" spans="1:7">
      <c r="A1503" s="2" t="s">
        <v>470</v>
      </c>
      <c r="B1503" s="2" t="s">
        <v>471</v>
      </c>
      <c r="C1503" s="2" t="s">
        <v>4</v>
      </c>
      <c r="D1503" s="2" t="s">
        <v>58</v>
      </c>
      <c r="E1503" s="54" t="s">
        <v>472</v>
      </c>
      <c r="F1503" s="2" t="s">
        <v>473</v>
      </c>
      <c r="G1503" s="54" t="s">
        <v>264</v>
      </c>
    </row>
    <row r="1504" spans="1:7">
      <c r="A1504" s="400" t="s">
        <v>474</v>
      </c>
      <c r="B1504" s="400" t="s">
        <v>474</v>
      </c>
      <c r="C1504" s="400" t="s">
        <v>474</v>
      </c>
      <c r="D1504" s="400" t="s">
        <v>474</v>
      </c>
      <c r="E1504" s="401" t="s">
        <v>474</v>
      </c>
      <c r="F1504" s="400" t="s">
        <v>474</v>
      </c>
      <c r="G1504" s="401" t="s">
        <v>474</v>
      </c>
    </row>
    <row r="1505" spans="1:7">
      <c r="A1505" s="3" t="s">
        <v>475</v>
      </c>
      <c r="B1505" s="3" t="s">
        <v>751</v>
      </c>
      <c r="C1505" s="3" t="s">
        <v>752</v>
      </c>
      <c r="D1505" s="3" t="s">
        <v>478</v>
      </c>
      <c r="E1505" s="262">
        <f>ROUND(EQUIPOS!$E$22,0)</f>
        <v>27500</v>
      </c>
      <c r="F1505" s="6">
        <v>0.02</v>
      </c>
      <c r="G1505" s="35">
        <f>ROUND(E1505*F1505,0)</f>
        <v>550</v>
      </c>
    </row>
    <row r="1506" spans="1:7">
      <c r="A1506" s="3" t="s">
        <v>475</v>
      </c>
      <c r="B1506" s="3" t="s">
        <v>479</v>
      </c>
      <c r="C1506" s="3" t="s">
        <v>480</v>
      </c>
      <c r="D1506" s="3" t="s">
        <v>481</v>
      </c>
      <c r="E1506" s="262">
        <f>ROUND($G$1514,0)</f>
        <v>57010</v>
      </c>
      <c r="F1506" s="7">
        <v>0.05</v>
      </c>
      <c r="G1506" s="35">
        <f>ROUND(E1506*F1506,0)</f>
        <v>2851</v>
      </c>
    </row>
    <row r="1507" spans="1:7">
      <c r="A1507" s="402" t="s">
        <v>482</v>
      </c>
      <c r="B1507" s="402" t="s">
        <v>482</v>
      </c>
      <c r="C1507" s="402" t="s">
        <v>482</v>
      </c>
      <c r="D1507" s="402" t="s">
        <v>482</v>
      </c>
      <c r="E1507" s="403" t="s">
        <v>482</v>
      </c>
      <c r="F1507" s="402" t="s">
        <v>482</v>
      </c>
      <c r="G1507" s="55">
        <f>ROUND(SUM(G1505:G1506),0)</f>
        <v>3401</v>
      </c>
    </row>
    <row r="1508" spans="1:7">
      <c r="A1508" s="400" t="s">
        <v>483</v>
      </c>
      <c r="B1508" s="400" t="s">
        <v>483</v>
      </c>
      <c r="C1508" s="400" t="s">
        <v>483</v>
      </c>
      <c r="D1508" s="400" t="s">
        <v>483</v>
      </c>
      <c r="E1508" s="401" t="s">
        <v>483</v>
      </c>
      <c r="F1508" s="400" t="s">
        <v>483</v>
      </c>
      <c r="G1508" s="401" t="s">
        <v>483</v>
      </c>
    </row>
    <row r="1509" spans="1:7">
      <c r="A1509" s="3" t="s">
        <v>484</v>
      </c>
      <c r="B1509" s="3" t="s">
        <v>769</v>
      </c>
      <c r="C1509" s="3" t="s">
        <v>770</v>
      </c>
      <c r="D1509" s="3" t="s">
        <v>65</v>
      </c>
      <c r="E1509" s="262">
        <f>ROUND(INSUMOS!$E$109,0)</f>
        <v>537880</v>
      </c>
      <c r="F1509" s="6">
        <v>1</v>
      </c>
      <c r="G1509" s="35">
        <f>ROUND(E1509*F1509,0)</f>
        <v>537880</v>
      </c>
    </row>
    <row r="1510" spans="1:7">
      <c r="A1510" s="402" t="s">
        <v>495</v>
      </c>
      <c r="B1510" s="402" t="s">
        <v>495</v>
      </c>
      <c r="C1510" s="402" t="s">
        <v>495</v>
      </c>
      <c r="D1510" s="402" t="s">
        <v>495</v>
      </c>
      <c r="E1510" s="403" t="s">
        <v>495</v>
      </c>
      <c r="F1510" s="402" t="s">
        <v>495</v>
      </c>
      <c r="G1510" s="55">
        <f>ROUND(SUM(G1509:G1509),0)</f>
        <v>537880</v>
      </c>
    </row>
    <row r="1511" spans="1:7">
      <c r="A1511" s="400" t="s">
        <v>496</v>
      </c>
      <c r="B1511" s="400" t="s">
        <v>496</v>
      </c>
      <c r="C1511" s="400" t="s">
        <v>496</v>
      </c>
      <c r="D1511" s="400" t="s">
        <v>496</v>
      </c>
      <c r="E1511" s="401" t="s">
        <v>496</v>
      </c>
      <c r="F1511" s="400" t="s">
        <v>496</v>
      </c>
      <c r="G1511" s="401" t="s">
        <v>496</v>
      </c>
    </row>
    <row r="1512" spans="1:7">
      <c r="A1512" s="3" t="s">
        <v>496</v>
      </c>
      <c r="B1512" s="3" t="s">
        <v>695</v>
      </c>
      <c r="C1512" s="3" t="s">
        <v>696</v>
      </c>
      <c r="D1512" s="3" t="s">
        <v>478</v>
      </c>
      <c r="E1512" s="262">
        <f>ROUND('MANO DE OBRA'!$E$19,0)</f>
        <v>177075</v>
      </c>
      <c r="F1512" s="6">
        <v>0.2</v>
      </c>
      <c r="G1512" s="35">
        <f>ROUND(E1512*F1512,0)</f>
        <v>35415</v>
      </c>
    </row>
    <row r="1513" spans="1:7">
      <c r="A1513" s="3" t="s">
        <v>496</v>
      </c>
      <c r="B1513" s="3" t="s">
        <v>697</v>
      </c>
      <c r="C1513" s="3" t="s">
        <v>698</v>
      </c>
      <c r="D1513" s="3" t="s">
        <v>478</v>
      </c>
      <c r="E1513" s="262">
        <f>ROUND('MANO DE OBRA'!$E$20,0)</f>
        <v>107973</v>
      </c>
      <c r="F1513" s="6">
        <v>0.2</v>
      </c>
      <c r="G1513" s="35">
        <f>ROUND(E1513*F1513,0)</f>
        <v>21595</v>
      </c>
    </row>
    <row r="1514" spans="1:7" ht="12.75" thickBot="1">
      <c r="A1514" s="402" t="s">
        <v>503</v>
      </c>
      <c r="B1514" s="402" t="s">
        <v>503</v>
      </c>
      <c r="C1514" s="402" t="s">
        <v>503</v>
      </c>
      <c r="D1514" s="402" t="s">
        <v>503</v>
      </c>
      <c r="E1514" s="403" t="s">
        <v>503</v>
      </c>
      <c r="F1514" s="402" t="s">
        <v>503</v>
      </c>
      <c r="G1514" s="55">
        <f>ROUND(SUM(G1512:G1513),0)</f>
        <v>57010</v>
      </c>
    </row>
    <row r="1515" spans="1:7" ht="12.75" thickBot="1">
      <c r="A1515" s="404" t="s">
        <v>60</v>
      </c>
      <c r="B1515" s="405" t="s">
        <v>504</v>
      </c>
      <c r="C1515" s="405" t="s">
        <v>504</v>
      </c>
      <c r="D1515" s="405" t="s">
        <v>504</v>
      </c>
      <c r="E1515" s="406" t="s">
        <v>504</v>
      </c>
      <c r="F1515" s="8"/>
      <c r="G1515" s="56">
        <f>ROUND(SUM(G1507,G1510,G1514),0)</f>
        <v>598291</v>
      </c>
    </row>
    <row r="1516" spans="1:7">
      <c r="A1516" s="1"/>
      <c r="B1516" s="1"/>
      <c r="C1516" s="1"/>
      <c r="D1516" s="1"/>
      <c r="E1516" s="52"/>
      <c r="F1516" s="1"/>
      <c r="G1516" s="52"/>
    </row>
    <row r="1517" spans="1:7" ht="42" customHeight="1">
      <c r="A1517" s="5" t="s">
        <v>458</v>
      </c>
      <c r="B1517" s="5" t="s">
        <v>143</v>
      </c>
      <c r="C1517" s="407" t="s">
        <v>246</v>
      </c>
      <c r="D1517" s="407"/>
      <c r="E1517" s="408"/>
      <c r="F1517" s="407"/>
      <c r="G1517" s="53" t="s">
        <v>65</v>
      </c>
    </row>
    <row r="1518" spans="1:7">
      <c r="A1518" s="2" t="s">
        <v>470</v>
      </c>
      <c r="B1518" s="2" t="s">
        <v>471</v>
      </c>
      <c r="C1518" s="2" t="s">
        <v>4</v>
      </c>
      <c r="D1518" s="2" t="s">
        <v>58</v>
      </c>
      <c r="E1518" s="54" t="s">
        <v>472</v>
      </c>
      <c r="F1518" s="2" t="s">
        <v>473</v>
      </c>
      <c r="G1518" s="54" t="s">
        <v>264</v>
      </c>
    </row>
    <row r="1519" spans="1:7">
      <c r="A1519" s="400" t="s">
        <v>474</v>
      </c>
      <c r="B1519" s="400" t="s">
        <v>474</v>
      </c>
      <c r="C1519" s="400" t="s">
        <v>474</v>
      </c>
      <c r="D1519" s="400" t="s">
        <v>474</v>
      </c>
      <c r="E1519" s="401" t="s">
        <v>474</v>
      </c>
      <c r="F1519" s="400" t="s">
        <v>474</v>
      </c>
      <c r="G1519" s="401" t="s">
        <v>474</v>
      </c>
    </row>
    <row r="1520" spans="1:7">
      <c r="A1520" s="3" t="s">
        <v>475</v>
      </c>
      <c r="B1520" s="3" t="s">
        <v>699</v>
      </c>
      <c r="C1520" s="3" t="s">
        <v>700</v>
      </c>
      <c r="D1520" s="3" t="s">
        <v>701</v>
      </c>
      <c r="E1520" s="262">
        <f>ROUND(EQUIPOS!$E$20,0)</f>
        <v>25000</v>
      </c>
      <c r="F1520" s="6">
        <v>0.03</v>
      </c>
      <c r="G1520" s="35">
        <f>ROUND(E1520*F1520,0)</f>
        <v>750</v>
      </c>
    </row>
    <row r="1521" spans="1:7">
      <c r="A1521" s="3" t="s">
        <v>475</v>
      </c>
      <c r="B1521" s="3" t="s">
        <v>702</v>
      </c>
      <c r="C1521" s="3" t="s">
        <v>703</v>
      </c>
      <c r="D1521" s="3" t="s">
        <v>701</v>
      </c>
      <c r="E1521" s="262">
        <f>ROUND(EQUIPOS!$E$21,0)</f>
        <v>295</v>
      </c>
      <c r="F1521" s="6">
        <v>0.03</v>
      </c>
      <c r="G1521" s="35">
        <f>ROUND(E1521*F1521,0)</f>
        <v>9</v>
      </c>
    </row>
    <row r="1522" spans="1:7">
      <c r="A1522" s="3" t="s">
        <v>475</v>
      </c>
      <c r="B1522" s="3" t="s">
        <v>479</v>
      </c>
      <c r="C1522" s="3" t="s">
        <v>480</v>
      </c>
      <c r="D1522" s="3" t="s">
        <v>481</v>
      </c>
      <c r="E1522" s="262">
        <f>ROUND($G$1530,0)</f>
        <v>14253</v>
      </c>
      <c r="F1522" s="7">
        <v>0.05</v>
      </c>
      <c r="G1522" s="35">
        <f>ROUND(E1522*F1522,0)</f>
        <v>713</v>
      </c>
    </row>
    <row r="1523" spans="1:7">
      <c r="A1523" s="402" t="s">
        <v>482</v>
      </c>
      <c r="B1523" s="402" t="s">
        <v>482</v>
      </c>
      <c r="C1523" s="402" t="s">
        <v>482</v>
      </c>
      <c r="D1523" s="402" t="s">
        <v>482</v>
      </c>
      <c r="E1523" s="403" t="s">
        <v>482</v>
      </c>
      <c r="F1523" s="402" t="s">
        <v>482</v>
      </c>
      <c r="G1523" s="55">
        <f>ROUND(SUM(G1520:G1522),0)</f>
        <v>1472</v>
      </c>
    </row>
    <row r="1524" spans="1:7">
      <c r="A1524" s="400" t="s">
        <v>483</v>
      </c>
      <c r="B1524" s="400" t="s">
        <v>483</v>
      </c>
      <c r="C1524" s="400" t="s">
        <v>483</v>
      </c>
      <c r="D1524" s="400" t="s">
        <v>483</v>
      </c>
      <c r="E1524" s="401" t="s">
        <v>483</v>
      </c>
      <c r="F1524" s="400" t="s">
        <v>483</v>
      </c>
      <c r="G1524" s="401" t="s">
        <v>483</v>
      </c>
    </row>
    <row r="1525" spans="1:7">
      <c r="A1525" s="3" t="s">
        <v>484</v>
      </c>
      <c r="B1525" s="3" t="s">
        <v>704</v>
      </c>
      <c r="C1525" s="3" t="s">
        <v>705</v>
      </c>
      <c r="D1525" s="3" t="s">
        <v>489</v>
      </c>
      <c r="E1525" s="262">
        <f>ROUND(INSUMOS!$E$82,0)</f>
        <v>140420</v>
      </c>
      <c r="F1525" s="6">
        <v>0.1</v>
      </c>
      <c r="G1525" s="35">
        <f>ROUND(E1525*F1525,0)</f>
        <v>14042</v>
      </c>
    </row>
    <row r="1526" spans="1:7">
      <c r="A1526" s="402" t="s">
        <v>495</v>
      </c>
      <c r="B1526" s="402" t="s">
        <v>495</v>
      </c>
      <c r="C1526" s="402" t="s">
        <v>495</v>
      </c>
      <c r="D1526" s="402" t="s">
        <v>495</v>
      </c>
      <c r="E1526" s="403" t="s">
        <v>495</v>
      </c>
      <c r="F1526" s="402" t="s">
        <v>495</v>
      </c>
      <c r="G1526" s="55">
        <f>ROUND(SUM(G1525:G1525),0)</f>
        <v>14042</v>
      </c>
    </row>
    <row r="1527" spans="1:7">
      <c r="A1527" s="400" t="s">
        <v>496</v>
      </c>
      <c r="B1527" s="400" t="s">
        <v>496</v>
      </c>
      <c r="C1527" s="400" t="s">
        <v>496</v>
      </c>
      <c r="D1527" s="400" t="s">
        <v>496</v>
      </c>
      <c r="E1527" s="401" t="s">
        <v>496</v>
      </c>
      <c r="F1527" s="400" t="s">
        <v>496</v>
      </c>
      <c r="G1527" s="401" t="s">
        <v>496</v>
      </c>
    </row>
    <row r="1528" spans="1:7">
      <c r="A1528" s="3" t="s">
        <v>496</v>
      </c>
      <c r="B1528" s="3" t="s">
        <v>706</v>
      </c>
      <c r="C1528" s="3" t="s">
        <v>707</v>
      </c>
      <c r="D1528" s="3" t="s">
        <v>478</v>
      </c>
      <c r="E1528" s="262">
        <f>ROUND('MANO DE OBRA'!$E$21,0)</f>
        <v>177075</v>
      </c>
      <c r="F1528" s="6">
        <v>0.05</v>
      </c>
      <c r="G1528" s="35">
        <f>ROUND(E1528*F1528,0)</f>
        <v>8854</v>
      </c>
    </row>
    <row r="1529" spans="1:7">
      <c r="A1529" s="3" t="s">
        <v>496</v>
      </c>
      <c r="B1529" s="3" t="s">
        <v>708</v>
      </c>
      <c r="C1529" s="3" t="s">
        <v>709</v>
      </c>
      <c r="D1529" s="3" t="s">
        <v>478</v>
      </c>
      <c r="E1529" s="262">
        <f>ROUND('MANO DE OBRA'!$E$22,0)</f>
        <v>107973</v>
      </c>
      <c r="F1529" s="6">
        <v>0.05</v>
      </c>
      <c r="G1529" s="35">
        <f>ROUND(E1529*F1529,0)</f>
        <v>5399</v>
      </c>
    </row>
    <row r="1530" spans="1:7" ht="12.75" thickBot="1">
      <c r="A1530" s="402" t="s">
        <v>503</v>
      </c>
      <c r="B1530" s="402" t="s">
        <v>503</v>
      </c>
      <c r="C1530" s="402" t="s">
        <v>503</v>
      </c>
      <c r="D1530" s="402" t="s">
        <v>503</v>
      </c>
      <c r="E1530" s="403" t="s">
        <v>503</v>
      </c>
      <c r="F1530" s="402" t="s">
        <v>503</v>
      </c>
      <c r="G1530" s="55">
        <f>ROUND(SUM(G1528:G1529),0)</f>
        <v>14253</v>
      </c>
    </row>
    <row r="1531" spans="1:7" ht="12.75" thickBot="1">
      <c r="A1531" s="404" t="s">
        <v>60</v>
      </c>
      <c r="B1531" s="405" t="s">
        <v>504</v>
      </c>
      <c r="C1531" s="405" t="s">
        <v>504</v>
      </c>
      <c r="D1531" s="405" t="s">
        <v>504</v>
      </c>
      <c r="E1531" s="406" t="s">
        <v>504</v>
      </c>
      <c r="F1531" s="8"/>
      <c r="G1531" s="56">
        <f>ROUND(SUM(G1523,G1526,G1530),0)</f>
        <v>29767</v>
      </c>
    </row>
    <row r="1532" spans="1:7">
      <c r="A1532" s="1"/>
      <c r="B1532" s="1"/>
      <c r="C1532" s="1"/>
      <c r="D1532" s="1"/>
      <c r="E1532" s="52"/>
      <c r="F1532" s="1"/>
      <c r="G1532" s="52"/>
    </row>
    <row r="1533" spans="1:7" ht="42" customHeight="1">
      <c r="A1533" s="5" t="s">
        <v>461</v>
      </c>
      <c r="B1533" s="5" t="s">
        <v>145</v>
      </c>
      <c r="C1533" s="407" t="s">
        <v>247</v>
      </c>
      <c r="D1533" s="407"/>
      <c r="E1533" s="408"/>
      <c r="F1533" s="407"/>
      <c r="G1533" s="53" t="s">
        <v>65</v>
      </c>
    </row>
    <row r="1534" spans="1:7">
      <c r="A1534" s="2" t="s">
        <v>470</v>
      </c>
      <c r="B1534" s="2" t="s">
        <v>471</v>
      </c>
      <c r="C1534" s="2" t="s">
        <v>4</v>
      </c>
      <c r="D1534" s="2" t="s">
        <v>58</v>
      </c>
      <c r="E1534" s="54" t="s">
        <v>472</v>
      </c>
      <c r="F1534" s="2" t="s">
        <v>473</v>
      </c>
      <c r="G1534" s="54" t="s">
        <v>264</v>
      </c>
    </row>
    <row r="1535" spans="1:7">
      <c r="A1535" s="400" t="s">
        <v>474</v>
      </c>
      <c r="B1535" s="400" t="s">
        <v>474</v>
      </c>
      <c r="C1535" s="400" t="s">
        <v>474</v>
      </c>
      <c r="D1535" s="400" t="s">
        <v>474</v>
      </c>
      <c r="E1535" s="401" t="s">
        <v>474</v>
      </c>
      <c r="F1535" s="400" t="s">
        <v>474</v>
      </c>
      <c r="G1535" s="401" t="s">
        <v>474</v>
      </c>
    </row>
    <row r="1536" spans="1:7">
      <c r="A1536" s="3" t="s">
        <v>475</v>
      </c>
      <c r="B1536" s="3" t="s">
        <v>699</v>
      </c>
      <c r="C1536" s="3" t="s">
        <v>700</v>
      </c>
      <c r="D1536" s="3" t="s">
        <v>701</v>
      </c>
      <c r="E1536" s="262">
        <f>ROUND(EQUIPOS!$E$20,0)</f>
        <v>25000</v>
      </c>
      <c r="F1536" s="6">
        <v>0.03</v>
      </c>
      <c r="G1536" s="35">
        <f>ROUND(E1536*F1536,0)</f>
        <v>750</v>
      </c>
    </row>
    <row r="1537" spans="1:7">
      <c r="A1537" s="3" t="s">
        <v>475</v>
      </c>
      <c r="B1537" s="3" t="s">
        <v>702</v>
      </c>
      <c r="C1537" s="3" t="s">
        <v>703</v>
      </c>
      <c r="D1537" s="3" t="s">
        <v>701</v>
      </c>
      <c r="E1537" s="262">
        <f>ROUND(EQUIPOS!$E$21,0)</f>
        <v>295</v>
      </c>
      <c r="F1537" s="6">
        <v>0.03</v>
      </c>
      <c r="G1537" s="35">
        <f>ROUND(E1537*F1537,0)</f>
        <v>9</v>
      </c>
    </row>
    <row r="1538" spans="1:7">
      <c r="A1538" s="3" t="s">
        <v>475</v>
      </c>
      <c r="B1538" s="3" t="s">
        <v>479</v>
      </c>
      <c r="C1538" s="3" t="s">
        <v>480</v>
      </c>
      <c r="D1538" s="3" t="s">
        <v>481</v>
      </c>
      <c r="E1538" s="262">
        <f>ROUND($G$1546,0)</f>
        <v>22804</v>
      </c>
      <c r="F1538" s="7">
        <v>0.05</v>
      </c>
      <c r="G1538" s="35">
        <f>ROUND(E1538*F1538,0)</f>
        <v>1140</v>
      </c>
    </row>
    <row r="1539" spans="1:7">
      <c r="A1539" s="402" t="s">
        <v>482</v>
      </c>
      <c r="B1539" s="402" t="s">
        <v>482</v>
      </c>
      <c r="C1539" s="402" t="s">
        <v>482</v>
      </c>
      <c r="D1539" s="402" t="s">
        <v>482</v>
      </c>
      <c r="E1539" s="403" t="s">
        <v>482</v>
      </c>
      <c r="F1539" s="402" t="s">
        <v>482</v>
      </c>
      <c r="G1539" s="55">
        <f>ROUND(SUM(G1536:G1538),0)</f>
        <v>1899</v>
      </c>
    </row>
    <row r="1540" spans="1:7">
      <c r="A1540" s="400" t="s">
        <v>483</v>
      </c>
      <c r="B1540" s="400" t="s">
        <v>483</v>
      </c>
      <c r="C1540" s="400" t="s">
        <v>483</v>
      </c>
      <c r="D1540" s="400" t="s">
        <v>483</v>
      </c>
      <c r="E1540" s="401" t="s">
        <v>483</v>
      </c>
      <c r="F1540" s="400" t="s">
        <v>483</v>
      </c>
      <c r="G1540" s="401" t="s">
        <v>483</v>
      </c>
    </row>
    <row r="1541" spans="1:7">
      <c r="A1541" s="3" t="s">
        <v>484</v>
      </c>
      <c r="B1541" s="3" t="s">
        <v>487</v>
      </c>
      <c r="C1541" s="3" t="s">
        <v>488</v>
      </c>
      <c r="D1541" s="3" t="s">
        <v>489</v>
      </c>
      <c r="E1541" s="262">
        <f>ROUND(INSUMOS!$E$12,0)</f>
        <v>130781</v>
      </c>
      <c r="F1541" s="6">
        <v>0.1</v>
      </c>
      <c r="G1541" s="35">
        <f>ROUND(E1541*F1541,0)</f>
        <v>13078</v>
      </c>
    </row>
    <row r="1542" spans="1:7">
      <c r="A1542" s="402" t="s">
        <v>495</v>
      </c>
      <c r="B1542" s="402" t="s">
        <v>495</v>
      </c>
      <c r="C1542" s="402" t="s">
        <v>495</v>
      </c>
      <c r="D1542" s="402" t="s">
        <v>495</v>
      </c>
      <c r="E1542" s="403" t="s">
        <v>495</v>
      </c>
      <c r="F1542" s="402" t="s">
        <v>495</v>
      </c>
      <c r="G1542" s="55">
        <f>ROUND(SUM(G1541:G1541),0)</f>
        <v>13078</v>
      </c>
    </row>
    <row r="1543" spans="1:7">
      <c r="A1543" s="400" t="s">
        <v>496</v>
      </c>
      <c r="B1543" s="400" t="s">
        <v>496</v>
      </c>
      <c r="C1543" s="400" t="s">
        <v>496</v>
      </c>
      <c r="D1543" s="400" t="s">
        <v>496</v>
      </c>
      <c r="E1543" s="401" t="s">
        <v>496</v>
      </c>
      <c r="F1543" s="400" t="s">
        <v>496</v>
      </c>
      <c r="G1543" s="401" t="s">
        <v>496</v>
      </c>
    </row>
    <row r="1544" spans="1:7">
      <c r="A1544" s="3" t="s">
        <v>496</v>
      </c>
      <c r="B1544" s="3" t="s">
        <v>706</v>
      </c>
      <c r="C1544" s="3" t="s">
        <v>707</v>
      </c>
      <c r="D1544" s="3" t="s">
        <v>478</v>
      </c>
      <c r="E1544" s="262">
        <f>ROUND('MANO DE OBRA'!$E$21,0)</f>
        <v>177075</v>
      </c>
      <c r="F1544" s="6">
        <v>0.08</v>
      </c>
      <c r="G1544" s="35">
        <f>ROUND(E1544*F1544,0)</f>
        <v>14166</v>
      </c>
    </row>
    <row r="1545" spans="1:7">
      <c r="A1545" s="3" t="s">
        <v>496</v>
      </c>
      <c r="B1545" s="3" t="s">
        <v>708</v>
      </c>
      <c r="C1545" s="3" t="s">
        <v>709</v>
      </c>
      <c r="D1545" s="3" t="s">
        <v>478</v>
      </c>
      <c r="E1545" s="262">
        <f>ROUND('MANO DE OBRA'!$E$22,0)</f>
        <v>107973</v>
      </c>
      <c r="F1545" s="6">
        <v>0.08</v>
      </c>
      <c r="G1545" s="35">
        <f>ROUND(E1545*F1545,0)</f>
        <v>8638</v>
      </c>
    </row>
    <row r="1546" spans="1:7" ht="12.75" thickBot="1">
      <c r="A1546" s="402" t="s">
        <v>503</v>
      </c>
      <c r="B1546" s="402" t="s">
        <v>503</v>
      </c>
      <c r="C1546" s="402" t="s">
        <v>503</v>
      </c>
      <c r="D1546" s="402" t="s">
        <v>503</v>
      </c>
      <c r="E1546" s="403" t="s">
        <v>503</v>
      </c>
      <c r="F1546" s="402" t="s">
        <v>503</v>
      </c>
      <c r="G1546" s="55">
        <f>ROUND(SUM(G1544:G1545),0)</f>
        <v>22804</v>
      </c>
    </row>
    <row r="1547" spans="1:7" ht="12.75" thickBot="1">
      <c r="A1547" s="404" t="s">
        <v>60</v>
      </c>
      <c r="B1547" s="405" t="s">
        <v>504</v>
      </c>
      <c r="C1547" s="405" t="s">
        <v>504</v>
      </c>
      <c r="D1547" s="405" t="s">
        <v>504</v>
      </c>
      <c r="E1547" s="406" t="s">
        <v>504</v>
      </c>
      <c r="F1547" s="8"/>
      <c r="G1547" s="56">
        <f>ROUND(SUM(G1539,G1542,G1546),0)</f>
        <v>37781</v>
      </c>
    </row>
    <row r="1548" spans="1:7">
      <c r="A1548" s="1"/>
      <c r="B1548" s="1"/>
      <c r="C1548" s="1"/>
      <c r="D1548" s="1"/>
      <c r="E1548" s="52"/>
      <c r="F1548" s="1"/>
      <c r="G1548" s="52"/>
    </row>
    <row r="1549" spans="1:7" ht="42" customHeight="1">
      <c r="A1549" s="5" t="s">
        <v>463</v>
      </c>
      <c r="B1549" s="5" t="s">
        <v>166</v>
      </c>
      <c r="C1549" s="407" t="s">
        <v>138</v>
      </c>
      <c r="D1549" s="407"/>
      <c r="E1549" s="408"/>
      <c r="F1549" s="407"/>
      <c r="G1549" s="53" t="s">
        <v>65</v>
      </c>
    </row>
    <row r="1550" spans="1:7">
      <c r="A1550" s="2" t="s">
        <v>470</v>
      </c>
      <c r="B1550" s="2" t="s">
        <v>471</v>
      </c>
      <c r="C1550" s="2" t="s">
        <v>4</v>
      </c>
      <c r="D1550" s="2" t="s">
        <v>58</v>
      </c>
      <c r="E1550" s="54" t="s">
        <v>472</v>
      </c>
      <c r="F1550" s="2" t="s">
        <v>473</v>
      </c>
      <c r="G1550" s="54" t="s">
        <v>264</v>
      </c>
    </row>
    <row r="1551" spans="1:7">
      <c r="A1551" s="400" t="s">
        <v>474</v>
      </c>
      <c r="B1551" s="400" t="s">
        <v>474</v>
      </c>
      <c r="C1551" s="400" t="s">
        <v>474</v>
      </c>
      <c r="D1551" s="400" t="s">
        <v>474</v>
      </c>
      <c r="E1551" s="401" t="s">
        <v>474</v>
      </c>
      <c r="F1551" s="400" t="s">
        <v>474</v>
      </c>
      <c r="G1551" s="401" t="s">
        <v>474</v>
      </c>
    </row>
    <row r="1552" spans="1:7">
      <c r="A1552" s="3" t="s">
        <v>475</v>
      </c>
      <c r="B1552" s="3" t="s">
        <v>563</v>
      </c>
      <c r="C1552" s="3" t="s">
        <v>564</v>
      </c>
      <c r="D1552" s="3" t="s">
        <v>478</v>
      </c>
      <c r="E1552" s="262">
        <f>ROUND(EQUIPOS!$E$11,0)</f>
        <v>57120</v>
      </c>
      <c r="F1552" s="6">
        <v>0.08</v>
      </c>
      <c r="G1552" s="35">
        <f>ROUND(E1552*F1552,0)</f>
        <v>4570</v>
      </c>
    </row>
    <row r="1553" spans="1:7">
      <c r="A1553" s="3" t="s">
        <v>475</v>
      </c>
      <c r="B1553" s="3" t="s">
        <v>578</v>
      </c>
      <c r="C1553" s="3" t="s">
        <v>579</v>
      </c>
      <c r="D1553" s="3" t="s">
        <v>478</v>
      </c>
      <c r="E1553" s="262">
        <f>ROUND(EQUIPOS!$E$12,0)</f>
        <v>35000</v>
      </c>
      <c r="F1553" s="6">
        <v>0.08</v>
      </c>
      <c r="G1553" s="35">
        <f>ROUND(E1553*F1553,0)</f>
        <v>2800</v>
      </c>
    </row>
    <row r="1554" spans="1:7">
      <c r="A1554" s="3" t="s">
        <v>475</v>
      </c>
      <c r="B1554" s="3" t="s">
        <v>479</v>
      </c>
      <c r="C1554" s="3" t="s">
        <v>480</v>
      </c>
      <c r="D1554" s="3" t="s">
        <v>481</v>
      </c>
      <c r="E1554" s="262">
        <f>ROUND($G$1562,0)</f>
        <v>19003</v>
      </c>
      <c r="F1554" s="7">
        <v>0.05</v>
      </c>
      <c r="G1554" s="35">
        <f>ROUND(E1554*F1554,0)</f>
        <v>950</v>
      </c>
    </row>
    <row r="1555" spans="1:7">
      <c r="A1555" s="402" t="s">
        <v>482</v>
      </c>
      <c r="B1555" s="402" t="s">
        <v>482</v>
      </c>
      <c r="C1555" s="402" t="s">
        <v>482</v>
      </c>
      <c r="D1555" s="402" t="s">
        <v>482</v>
      </c>
      <c r="E1555" s="403" t="s">
        <v>482</v>
      </c>
      <c r="F1555" s="402" t="s">
        <v>482</v>
      </c>
      <c r="G1555" s="55">
        <f>ROUND(SUM(G1552:G1554),0)</f>
        <v>8320</v>
      </c>
    </row>
    <row r="1556" spans="1:7">
      <c r="A1556" s="400" t="s">
        <v>483</v>
      </c>
      <c r="B1556" s="400" t="s">
        <v>483</v>
      </c>
      <c r="C1556" s="400" t="s">
        <v>483</v>
      </c>
      <c r="D1556" s="400" t="s">
        <v>483</v>
      </c>
      <c r="E1556" s="401" t="s">
        <v>483</v>
      </c>
      <c r="F1556" s="400" t="s">
        <v>483</v>
      </c>
      <c r="G1556" s="401" t="s">
        <v>483</v>
      </c>
    </row>
    <row r="1557" spans="1:7" ht="24">
      <c r="A1557" s="3" t="s">
        <v>484</v>
      </c>
      <c r="B1557" s="3" t="s">
        <v>584</v>
      </c>
      <c r="C1557" s="3" t="s">
        <v>585</v>
      </c>
      <c r="D1557" s="3" t="s">
        <v>65</v>
      </c>
      <c r="E1557" s="262">
        <f>ROUND(INSUMOS!$E$41,0)</f>
        <v>290127</v>
      </c>
      <c r="F1557" s="6">
        <v>1.05</v>
      </c>
      <c r="G1557" s="35">
        <f>ROUND(E1557*F1557,0)</f>
        <v>304633</v>
      </c>
    </row>
    <row r="1558" spans="1:7">
      <c r="A1558" s="402" t="s">
        <v>586</v>
      </c>
      <c r="B1558" s="402" t="s">
        <v>586</v>
      </c>
      <c r="C1558" s="402" t="s">
        <v>586</v>
      </c>
      <c r="D1558" s="402" t="s">
        <v>586</v>
      </c>
      <c r="E1558" s="403" t="s">
        <v>586</v>
      </c>
      <c r="F1558" s="402" t="s">
        <v>586</v>
      </c>
      <c r="G1558" s="55">
        <f>ROUND(SUM(G1557)+TRANSPORTE!$E$12,0)</f>
        <v>329633</v>
      </c>
    </row>
    <row r="1559" spans="1:7">
      <c r="A1559" s="400" t="s">
        <v>496</v>
      </c>
      <c r="B1559" s="400" t="s">
        <v>496</v>
      </c>
      <c r="C1559" s="400" t="s">
        <v>496</v>
      </c>
      <c r="D1559" s="400" t="s">
        <v>496</v>
      </c>
      <c r="E1559" s="401" t="s">
        <v>496</v>
      </c>
      <c r="F1559" s="400" t="s">
        <v>496</v>
      </c>
      <c r="G1559" s="401" t="s">
        <v>496</v>
      </c>
    </row>
    <row r="1560" spans="1:7">
      <c r="A1560" s="3" t="s">
        <v>496</v>
      </c>
      <c r="B1560" s="3" t="s">
        <v>574</v>
      </c>
      <c r="C1560" s="3" t="s">
        <v>575</v>
      </c>
      <c r="D1560" s="3" t="s">
        <v>478</v>
      </c>
      <c r="E1560" s="262">
        <f>ROUND('MANO DE OBRA'!$E$13,0)</f>
        <v>177075</v>
      </c>
      <c r="F1560" s="6">
        <f>1/15</f>
        <v>6.6666666666666666E-2</v>
      </c>
      <c r="G1560" s="35">
        <f>ROUND(E1560*F1560,0)</f>
        <v>11805</v>
      </c>
    </row>
    <row r="1561" spans="1:7">
      <c r="A1561" s="3" t="s">
        <v>496</v>
      </c>
      <c r="B1561" s="3" t="s">
        <v>576</v>
      </c>
      <c r="C1561" s="3" t="s">
        <v>577</v>
      </c>
      <c r="D1561" s="3" t="s">
        <v>478</v>
      </c>
      <c r="E1561" s="262">
        <f>ROUND('MANO DE OBRA'!$E$14,0)</f>
        <v>107973</v>
      </c>
      <c r="F1561" s="6">
        <f>1/15</f>
        <v>6.6666666666666666E-2</v>
      </c>
      <c r="G1561" s="35">
        <f>ROUND(E1561*F1561,0)</f>
        <v>7198</v>
      </c>
    </row>
    <row r="1562" spans="1:7" ht="12.75" thickBot="1">
      <c r="A1562" s="402" t="s">
        <v>503</v>
      </c>
      <c r="B1562" s="402" t="s">
        <v>503</v>
      </c>
      <c r="C1562" s="402" t="s">
        <v>503</v>
      </c>
      <c r="D1562" s="402" t="s">
        <v>503</v>
      </c>
      <c r="E1562" s="403" t="s">
        <v>503</v>
      </c>
      <c r="F1562" s="402" t="s">
        <v>503</v>
      </c>
      <c r="G1562" s="55">
        <f>ROUND(SUM(G1560:G1561),0)</f>
        <v>19003</v>
      </c>
    </row>
    <row r="1563" spans="1:7" ht="12.75" thickBot="1">
      <c r="A1563" s="404" t="s">
        <v>60</v>
      </c>
      <c r="B1563" s="405" t="s">
        <v>504</v>
      </c>
      <c r="C1563" s="405" t="s">
        <v>504</v>
      </c>
      <c r="D1563" s="405" t="s">
        <v>504</v>
      </c>
      <c r="E1563" s="406" t="s">
        <v>504</v>
      </c>
      <c r="F1563" s="8"/>
      <c r="G1563" s="56">
        <f>ROUND(SUM(G1555,G1558,G1562),0)</f>
        <v>356956</v>
      </c>
    </row>
    <row r="1564" spans="1:7">
      <c r="A1564" s="1"/>
      <c r="B1564" s="1"/>
      <c r="C1564" s="1"/>
      <c r="D1564" s="1"/>
      <c r="E1564" s="52"/>
      <c r="F1564" s="1"/>
      <c r="G1564" s="52"/>
    </row>
    <row r="1565" spans="1:7" ht="42" customHeight="1">
      <c r="A1565" s="5" t="s">
        <v>464</v>
      </c>
      <c r="B1565" s="5" t="s">
        <v>168</v>
      </c>
      <c r="C1565" s="407" t="s">
        <v>249</v>
      </c>
      <c r="D1565" s="407"/>
      <c r="E1565" s="408"/>
      <c r="F1565" s="407"/>
      <c r="G1565" s="53" t="s">
        <v>120</v>
      </c>
    </row>
    <row r="1566" spans="1:7">
      <c r="A1566" s="2" t="s">
        <v>470</v>
      </c>
      <c r="B1566" s="2" t="s">
        <v>471</v>
      </c>
      <c r="C1566" s="2" t="s">
        <v>4</v>
      </c>
      <c r="D1566" s="2" t="s">
        <v>58</v>
      </c>
      <c r="E1566" s="54" t="s">
        <v>472</v>
      </c>
      <c r="F1566" s="2" t="s">
        <v>473</v>
      </c>
      <c r="G1566" s="54" t="s">
        <v>264</v>
      </c>
    </row>
    <row r="1567" spans="1:7">
      <c r="A1567" s="400" t="s">
        <v>474</v>
      </c>
      <c r="B1567" s="400" t="s">
        <v>474</v>
      </c>
      <c r="C1567" s="400" t="s">
        <v>474</v>
      </c>
      <c r="D1567" s="400" t="s">
        <v>474</v>
      </c>
      <c r="E1567" s="401" t="s">
        <v>474</v>
      </c>
      <c r="F1567" s="400" t="s">
        <v>474</v>
      </c>
      <c r="G1567" s="401" t="s">
        <v>474</v>
      </c>
    </row>
    <row r="1568" spans="1:7">
      <c r="A1568" s="3" t="s">
        <v>475</v>
      </c>
      <c r="B1568" s="3" t="s">
        <v>563</v>
      </c>
      <c r="C1568" s="3" t="s">
        <v>564</v>
      </c>
      <c r="D1568" s="3" t="s">
        <v>478</v>
      </c>
      <c r="E1568" s="262">
        <f>ROUND(EQUIPOS!$E$11,0)</f>
        <v>57120</v>
      </c>
      <c r="F1568" s="6">
        <v>0.02</v>
      </c>
      <c r="G1568" s="35">
        <f>ROUND(E1568*F1568,0)</f>
        <v>1142</v>
      </c>
    </row>
    <row r="1569" spans="1:7">
      <c r="A1569" s="3" t="s">
        <v>475</v>
      </c>
      <c r="B1569" s="3" t="s">
        <v>479</v>
      </c>
      <c r="C1569" s="3" t="s">
        <v>480</v>
      </c>
      <c r="D1569" s="3" t="s">
        <v>481</v>
      </c>
      <c r="E1569" s="262">
        <f>ROUND($G$1581,0)</f>
        <v>5701</v>
      </c>
      <c r="F1569" s="7">
        <v>0.05</v>
      </c>
      <c r="G1569" s="35">
        <f>ROUND(E1569*F1569,0)</f>
        <v>285</v>
      </c>
    </row>
    <row r="1570" spans="1:7">
      <c r="A1570" s="402" t="s">
        <v>482</v>
      </c>
      <c r="B1570" s="402" t="s">
        <v>482</v>
      </c>
      <c r="C1570" s="402" t="s">
        <v>482</v>
      </c>
      <c r="D1570" s="402" t="s">
        <v>482</v>
      </c>
      <c r="E1570" s="403" t="s">
        <v>482</v>
      </c>
      <c r="F1570" s="402" t="s">
        <v>482</v>
      </c>
      <c r="G1570" s="55">
        <f>ROUND(SUM(G1568:G1569),0)</f>
        <v>1427</v>
      </c>
    </row>
    <row r="1571" spans="1:7">
      <c r="A1571" s="400" t="s">
        <v>483</v>
      </c>
      <c r="B1571" s="400" t="s">
        <v>483</v>
      </c>
      <c r="C1571" s="400" t="s">
        <v>483</v>
      </c>
      <c r="D1571" s="400" t="s">
        <v>483</v>
      </c>
      <c r="E1571" s="401" t="s">
        <v>483</v>
      </c>
      <c r="F1571" s="400" t="s">
        <v>483</v>
      </c>
      <c r="G1571" s="401" t="s">
        <v>483</v>
      </c>
    </row>
    <row r="1572" spans="1:7">
      <c r="A1572" s="3" t="s">
        <v>484</v>
      </c>
      <c r="B1572" s="3" t="s">
        <v>771</v>
      </c>
      <c r="C1572" s="3" t="s">
        <v>772</v>
      </c>
      <c r="D1572" s="3" t="s">
        <v>120</v>
      </c>
      <c r="E1572" s="262">
        <f>ROUND(INSUMOS!$E$34,0)</f>
        <v>11305</v>
      </c>
      <c r="F1572" s="6">
        <v>1</v>
      </c>
      <c r="G1572" s="35">
        <f>ROUND(E1572*F1572,0)</f>
        <v>11305</v>
      </c>
    </row>
    <row r="1573" spans="1:7">
      <c r="A1573" s="3" t="s">
        <v>484</v>
      </c>
      <c r="B1573" s="3" t="s">
        <v>567</v>
      </c>
      <c r="C1573" s="3" t="s">
        <v>568</v>
      </c>
      <c r="D1573" s="3" t="s">
        <v>120</v>
      </c>
      <c r="E1573" s="262">
        <f>ROUND(INSUMOS!$E$35,0)</f>
        <v>14732</v>
      </c>
      <c r="F1573" s="6">
        <v>0.1</v>
      </c>
      <c r="G1573" s="35">
        <f>ROUND(E1573*F1573,0)</f>
        <v>1473</v>
      </c>
    </row>
    <row r="1574" spans="1:7">
      <c r="A1574" s="3" t="s">
        <v>484</v>
      </c>
      <c r="B1574" s="3" t="s">
        <v>569</v>
      </c>
      <c r="C1574" s="3" t="s">
        <v>29</v>
      </c>
      <c r="D1574" s="3" t="s">
        <v>489</v>
      </c>
      <c r="E1574" s="262">
        <f>ROUND(INSUMOS!$E$36,0)</f>
        <v>101031</v>
      </c>
      <c r="F1574" s="6">
        <v>0.02</v>
      </c>
      <c r="G1574" s="35">
        <f>ROUND(E1574*F1574,0)</f>
        <v>2021</v>
      </c>
    </row>
    <row r="1575" spans="1:7">
      <c r="A1575" s="3" t="s">
        <v>484</v>
      </c>
      <c r="B1575" s="3" t="s">
        <v>570</v>
      </c>
      <c r="C1575" s="3" t="s">
        <v>571</v>
      </c>
      <c r="D1575" s="3" t="s">
        <v>103</v>
      </c>
      <c r="E1575" s="262">
        <f>ROUND(INSUMOS!$E$37,0)</f>
        <v>2261</v>
      </c>
      <c r="F1575" s="6">
        <v>0.2</v>
      </c>
      <c r="G1575" s="35">
        <f>ROUND(E1575*F1575,0)</f>
        <v>452</v>
      </c>
    </row>
    <row r="1576" spans="1:7">
      <c r="A1576" s="3" t="s">
        <v>484</v>
      </c>
      <c r="B1576" s="3" t="s">
        <v>572</v>
      </c>
      <c r="C1576" s="3" t="s">
        <v>573</v>
      </c>
      <c r="D1576" s="3" t="s">
        <v>489</v>
      </c>
      <c r="E1576" s="262">
        <f>ROUND(INSUMOS!$E$38,0)</f>
        <v>89131</v>
      </c>
      <c r="F1576" s="6">
        <v>0.02</v>
      </c>
      <c r="G1576" s="35">
        <f>ROUND(E1576*F1576,0)</f>
        <v>1783</v>
      </c>
    </row>
    <row r="1577" spans="1:7">
      <c r="A1577" s="402" t="s">
        <v>495</v>
      </c>
      <c r="B1577" s="402" t="s">
        <v>495</v>
      </c>
      <c r="C1577" s="402" t="s">
        <v>495</v>
      </c>
      <c r="D1577" s="402" t="s">
        <v>495</v>
      </c>
      <c r="E1577" s="403" t="s">
        <v>495</v>
      </c>
      <c r="F1577" s="402" t="s">
        <v>495</v>
      </c>
      <c r="G1577" s="55">
        <f>ROUND(SUM(G1572:G1576),0)</f>
        <v>17034</v>
      </c>
    </row>
    <row r="1578" spans="1:7">
      <c r="A1578" s="400" t="s">
        <v>496</v>
      </c>
      <c r="B1578" s="400" t="s">
        <v>496</v>
      </c>
      <c r="C1578" s="400" t="s">
        <v>496</v>
      </c>
      <c r="D1578" s="400" t="s">
        <v>496</v>
      </c>
      <c r="E1578" s="401" t="s">
        <v>496</v>
      </c>
      <c r="F1578" s="400" t="s">
        <v>496</v>
      </c>
      <c r="G1578" s="401" t="s">
        <v>496</v>
      </c>
    </row>
    <row r="1579" spans="1:7">
      <c r="A1579" s="3" t="s">
        <v>496</v>
      </c>
      <c r="B1579" s="3" t="s">
        <v>574</v>
      </c>
      <c r="C1579" s="3" t="s">
        <v>575</v>
      </c>
      <c r="D1579" s="3" t="s">
        <v>478</v>
      </c>
      <c r="E1579" s="262">
        <f>ROUND('MANO DE OBRA'!$E$13,0)</f>
        <v>177075</v>
      </c>
      <c r="F1579" s="6">
        <v>0.02</v>
      </c>
      <c r="G1579" s="35">
        <f>ROUND(E1579*F1579,0)</f>
        <v>3542</v>
      </c>
    </row>
    <row r="1580" spans="1:7">
      <c r="A1580" s="3" t="s">
        <v>496</v>
      </c>
      <c r="B1580" s="3" t="s">
        <v>576</v>
      </c>
      <c r="C1580" s="3" t="s">
        <v>577</v>
      </c>
      <c r="D1580" s="3" t="s">
        <v>478</v>
      </c>
      <c r="E1580" s="262">
        <f>ROUND('MANO DE OBRA'!$E$14,0)</f>
        <v>107973</v>
      </c>
      <c r="F1580" s="6">
        <v>0.02</v>
      </c>
      <c r="G1580" s="35">
        <f>ROUND(E1580*F1580,0)</f>
        <v>2159</v>
      </c>
    </row>
    <row r="1581" spans="1:7" ht="12.75" thickBot="1">
      <c r="A1581" s="402" t="s">
        <v>503</v>
      </c>
      <c r="B1581" s="402" t="s">
        <v>503</v>
      </c>
      <c r="C1581" s="402" t="s">
        <v>503</v>
      </c>
      <c r="D1581" s="402" t="s">
        <v>503</v>
      </c>
      <c r="E1581" s="403" t="s">
        <v>503</v>
      </c>
      <c r="F1581" s="402" t="s">
        <v>503</v>
      </c>
      <c r="G1581" s="55">
        <f>ROUND(SUM(G1579:G1580),0)</f>
        <v>5701</v>
      </c>
    </row>
    <row r="1582" spans="1:7" ht="12.75" thickBot="1">
      <c r="A1582" s="404" t="s">
        <v>60</v>
      </c>
      <c r="B1582" s="405" t="s">
        <v>504</v>
      </c>
      <c r="C1582" s="405" t="s">
        <v>504</v>
      </c>
      <c r="D1582" s="405" t="s">
        <v>504</v>
      </c>
      <c r="E1582" s="406" t="s">
        <v>504</v>
      </c>
      <c r="F1582" s="8"/>
      <c r="G1582" s="56">
        <f>ROUND(SUM(G1570,G1577,G1581),0)</f>
        <v>24162</v>
      </c>
    </row>
    <row r="1583" spans="1:7">
      <c r="A1583" s="1"/>
      <c r="B1583" s="1"/>
      <c r="C1583" s="1"/>
      <c r="D1583" s="1"/>
      <c r="E1583" s="52"/>
      <c r="F1583" s="1"/>
      <c r="G1583" s="52"/>
    </row>
    <row r="1584" spans="1:7" ht="42" customHeight="1">
      <c r="A1584" s="5" t="s">
        <v>467</v>
      </c>
      <c r="B1584" s="5" t="s">
        <v>250</v>
      </c>
      <c r="C1584" s="407" t="s">
        <v>251</v>
      </c>
      <c r="D1584" s="407"/>
      <c r="E1584" s="408"/>
      <c r="F1584" s="407"/>
      <c r="G1584" s="53" t="s">
        <v>120</v>
      </c>
    </row>
    <row r="1585" spans="1:7">
      <c r="A1585" s="2" t="s">
        <v>470</v>
      </c>
      <c r="B1585" s="2" t="s">
        <v>471</v>
      </c>
      <c r="C1585" s="2" t="s">
        <v>4</v>
      </c>
      <c r="D1585" s="2" t="s">
        <v>58</v>
      </c>
      <c r="E1585" s="54" t="s">
        <v>472</v>
      </c>
      <c r="F1585" s="2" t="s">
        <v>473</v>
      </c>
      <c r="G1585" s="54" t="s">
        <v>264</v>
      </c>
    </row>
    <row r="1586" spans="1:7">
      <c r="A1586" s="400" t="s">
        <v>474</v>
      </c>
      <c r="B1586" s="400" t="s">
        <v>474</v>
      </c>
      <c r="C1586" s="400" t="s">
        <v>474</v>
      </c>
      <c r="D1586" s="400" t="s">
        <v>474</v>
      </c>
      <c r="E1586" s="401" t="s">
        <v>474</v>
      </c>
      <c r="F1586" s="400" t="s">
        <v>474</v>
      </c>
      <c r="G1586" s="401" t="s">
        <v>474</v>
      </c>
    </row>
    <row r="1587" spans="1:7">
      <c r="A1587" s="3" t="s">
        <v>475</v>
      </c>
      <c r="B1587" s="3" t="s">
        <v>563</v>
      </c>
      <c r="C1587" s="3" t="s">
        <v>564</v>
      </c>
      <c r="D1587" s="3" t="s">
        <v>478</v>
      </c>
      <c r="E1587" s="262">
        <f>ROUND(EQUIPOS!$E$11,0)</f>
        <v>57120</v>
      </c>
      <c r="F1587" s="6">
        <v>0.08</v>
      </c>
      <c r="G1587" s="35">
        <f>ROUND(E1587*F1587,0)</f>
        <v>4570</v>
      </c>
    </row>
    <row r="1588" spans="1:7">
      <c r="A1588" s="3" t="s">
        <v>475</v>
      </c>
      <c r="B1588" s="3" t="s">
        <v>479</v>
      </c>
      <c r="C1588" s="3" t="s">
        <v>480</v>
      </c>
      <c r="D1588" s="3" t="s">
        <v>481</v>
      </c>
      <c r="E1588" s="262">
        <f>ROUND($G$1600,0)</f>
        <v>5701</v>
      </c>
      <c r="F1588" s="7">
        <v>0.05</v>
      </c>
      <c r="G1588" s="35">
        <f>ROUND(E1588*F1588,0)</f>
        <v>285</v>
      </c>
    </row>
    <row r="1589" spans="1:7">
      <c r="A1589" s="402" t="s">
        <v>482</v>
      </c>
      <c r="B1589" s="402" t="s">
        <v>482</v>
      </c>
      <c r="C1589" s="402" t="s">
        <v>482</v>
      </c>
      <c r="D1589" s="402" t="s">
        <v>482</v>
      </c>
      <c r="E1589" s="403" t="s">
        <v>482</v>
      </c>
      <c r="F1589" s="402" t="s">
        <v>482</v>
      </c>
      <c r="G1589" s="55">
        <f>ROUND(SUM(G1587:G1588),0)</f>
        <v>4855</v>
      </c>
    </row>
    <row r="1590" spans="1:7">
      <c r="A1590" s="400" t="s">
        <v>483</v>
      </c>
      <c r="B1590" s="400" t="s">
        <v>483</v>
      </c>
      <c r="C1590" s="400" t="s">
        <v>483</v>
      </c>
      <c r="D1590" s="400" t="s">
        <v>483</v>
      </c>
      <c r="E1590" s="401" t="s">
        <v>483</v>
      </c>
      <c r="F1590" s="400" t="s">
        <v>483</v>
      </c>
      <c r="G1590" s="401" t="s">
        <v>483</v>
      </c>
    </row>
    <row r="1591" spans="1:7">
      <c r="A1591" s="3" t="s">
        <v>484</v>
      </c>
      <c r="B1591" s="3" t="s">
        <v>773</v>
      </c>
      <c r="C1591" s="3" t="s">
        <v>774</v>
      </c>
      <c r="D1591" s="3" t="s">
        <v>120</v>
      </c>
      <c r="E1591" s="262">
        <f>ROUND(INSUMOS!$E$110,0)</f>
        <v>12000</v>
      </c>
      <c r="F1591" s="6">
        <v>1</v>
      </c>
      <c r="G1591" s="35">
        <f>ROUND(E1591*F1591,0)</f>
        <v>12000</v>
      </c>
    </row>
    <row r="1592" spans="1:7">
      <c r="A1592" s="3" t="s">
        <v>484</v>
      </c>
      <c r="B1592" s="3" t="s">
        <v>567</v>
      </c>
      <c r="C1592" s="3" t="s">
        <v>568</v>
      </c>
      <c r="D1592" s="3" t="s">
        <v>120</v>
      </c>
      <c r="E1592" s="262">
        <f>ROUND(INSUMOS!$E$35,0)</f>
        <v>14732</v>
      </c>
      <c r="F1592" s="6">
        <v>0.1</v>
      </c>
      <c r="G1592" s="35">
        <f>ROUND(E1592*F1592,0)</f>
        <v>1473</v>
      </c>
    </row>
    <row r="1593" spans="1:7">
      <c r="A1593" s="3" t="s">
        <v>484</v>
      </c>
      <c r="B1593" s="3" t="s">
        <v>569</v>
      </c>
      <c r="C1593" s="3" t="s">
        <v>29</v>
      </c>
      <c r="D1593" s="3" t="s">
        <v>489</v>
      </c>
      <c r="E1593" s="262">
        <f>ROUND(INSUMOS!$E$36,0)</f>
        <v>101031</v>
      </c>
      <c r="F1593" s="6">
        <v>0.02</v>
      </c>
      <c r="G1593" s="35">
        <f>ROUND(E1593*F1593,0)</f>
        <v>2021</v>
      </c>
    </row>
    <row r="1594" spans="1:7">
      <c r="A1594" s="3" t="s">
        <v>484</v>
      </c>
      <c r="B1594" s="3" t="s">
        <v>570</v>
      </c>
      <c r="C1594" s="3" t="s">
        <v>571</v>
      </c>
      <c r="D1594" s="3" t="s">
        <v>103</v>
      </c>
      <c r="E1594" s="262">
        <f>ROUND(INSUMOS!$E$37,0)</f>
        <v>2261</v>
      </c>
      <c r="F1594" s="6">
        <v>0.2</v>
      </c>
      <c r="G1594" s="35">
        <f>ROUND(E1594*F1594,0)</f>
        <v>452</v>
      </c>
    </row>
    <row r="1595" spans="1:7">
      <c r="A1595" s="3" t="s">
        <v>484</v>
      </c>
      <c r="B1595" s="3" t="s">
        <v>572</v>
      </c>
      <c r="C1595" s="3" t="s">
        <v>573</v>
      </c>
      <c r="D1595" s="3" t="s">
        <v>489</v>
      </c>
      <c r="E1595" s="262">
        <f>ROUND(INSUMOS!$E$38,0)</f>
        <v>89131</v>
      </c>
      <c r="F1595" s="6">
        <v>0.02</v>
      </c>
      <c r="G1595" s="35">
        <f>ROUND(E1595*F1595,0)</f>
        <v>1783</v>
      </c>
    </row>
    <row r="1596" spans="1:7">
      <c r="A1596" s="402" t="s">
        <v>495</v>
      </c>
      <c r="B1596" s="402" t="s">
        <v>495</v>
      </c>
      <c r="C1596" s="402" t="s">
        <v>495</v>
      </c>
      <c r="D1596" s="402" t="s">
        <v>495</v>
      </c>
      <c r="E1596" s="403" t="s">
        <v>495</v>
      </c>
      <c r="F1596" s="402" t="s">
        <v>495</v>
      </c>
      <c r="G1596" s="55">
        <f>ROUND(SUM(G1591:G1595),0)</f>
        <v>17729</v>
      </c>
    </row>
    <row r="1597" spans="1:7">
      <c r="A1597" s="400" t="s">
        <v>496</v>
      </c>
      <c r="B1597" s="400" t="s">
        <v>496</v>
      </c>
      <c r="C1597" s="400" t="s">
        <v>496</v>
      </c>
      <c r="D1597" s="400" t="s">
        <v>496</v>
      </c>
      <c r="E1597" s="401" t="s">
        <v>496</v>
      </c>
      <c r="F1597" s="400" t="s">
        <v>496</v>
      </c>
      <c r="G1597" s="401" t="s">
        <v>496</v>
      </c>
    </row>
    <row r="1598" spans="1:7">
      <c r="A1598" s="3" t="s">
        <v>496</v>
      </c>
      <c r="B1598" s="3" t="s">
        <v>574</v>
      </c>
      <c r="C1598" s="3" t="s">
        <v>575</v>
      </c>
      <c r="D1598" s="3" t="s">
        <v>478</v>
      </c>
      <c r="E1598" s="262">
        <f>ROUND('MANO DE OBRA'!$E$13,0)</f>
        <v>177075</v>
      </c>
      <c r="F1598" s="6">
        <v>0.02</v>
      </c>
      <c r="G1598" s="35">
        <f>ROUND(E1598*F1598,0)</f>
        <v>3542</v>
      </c>
    </row>
    <row r="1599" spans="1:7">
      <c r="A1599" s="3" t="s">
        <v>496</v>
      </c>
      <c r="B1599" s="3" t="s">
        <v>576</v>
      </c>
      <c r="C1599" s="3" t="s">
        <v>577</v>
      </c>
      <c r="D1599" s="3" t="s">
        <v>478</v>
      </c>
      <c r="E1599" s="262">
        <f>ROUND('MANO DE OBRA'!$E$14,0)</f>
        <v>107973</v>
      </c>
      <c r="F1599" s="6">
        <v>0.02</v>
      </c>
      <c r="G1599" s="35">
        <f>ROUND(E1599*F1599,0)</f>
        <v>2159</v>
      </c>
    </row>
    <row r="1600" spans="1:7" ht="12.75" thickBot="1">
      <c r="A1600" s="402" t="s">
        <v>503</v>
      </c>
      <c r="B1600" s="402" t="s">
        <v>503</v>
      </c>
      <c r="C1600" s="402" t="s">
        <v>503</v>
      </c>
      <c r="D1600" s="402" t="s">
        <v>503</v>
      </c>
      <c r="E1600" s="403" t="s">
        <v>503</v>
      </c>
      <c r="F1600" s="402" t="s">
        <v>503</v>
      </c>
      <c r="G1600" s="55">
        <f>ROUND(SUM(G1598:G1599),0)</f>
        <v>5701</v>
      </c>
    </row>
    <row r="1601" spans="1:7" ht="12.75" thickBot="1">
      <c r="A1601" s="404" t="s">
        <v>60</v>
      </c>
      <c r="B1601" s="405" t="s">
        <v>504</v>
      </c>
      <c r="C1601" s="405" t="s">
        <v>504</v>
      </c>
      <c r="D1601" s="405" t="s">
        <v>504</v>
      </c>
      <c r="E1601" s="406" t="s">
        <v>504</v>
      </c>
      <c r="F1601" s="8"/>
      <c r="G1601" s="56">
        <f>ROUND(SUM(G1589,G1596,G1600),0)</f>
        <v>28285</v>
      </c>
    </row>
    <row r="1602" spans="1:7">
      <c r="E1602" s="69"/>
      <c r="G1602" s="69"/>
    </row>
    <row r="1603" spans="1:7" ht="43.9" customHeight="1">
      <c r="A1603" s="90" t="s">
        <v>380</v>
      </c>
      <c r="B1603" s="90" t="s">
        <v>177</v>
      </c>
      <c r="C1603" s="90" t="s">
        <v>178</v>
      </c>
      <c r="D1603" s="90"/>
      <c r="E1603" s="263"/>
      <c r="F1603" s="90"/>
      <c r="G1603" s="263" t="s">
        <v>65</v>
      </c>
    </row>
    <row r="1604" spans="1:7">
      <c r="A1604" s="91" t="s">
        <v>470</v>
      </c>
      <c r="B1604" s="91" t="s">
        <v>471</v>
      </c>
      <c r="C1604" s="91" t="s">
        <v>4</v>
      </c>
      <c r="D1604" s="91" t="s">
        <v>58</v>
      </c>
      <c r="E1604" s="264" t="s">
        <v>472</v>
      </c>
      <c r="F1604" s="91" t="s">
        <v>473</v>
      </c>
      <c r="G1604" s="264" t="s">
        <v>264</v>
      </c>
    </row>
    <row r="1605" spans="1:7" ht="12" customHeight="1">
      <c r="A1605" s="400" t="s">
        <v>474</v>
      </c>
      <c r="B1605" s="400" t="s">
        <v>474</v>
      </c>
      <c r="C1605" s="400" t="s">
        <v>474</v>
      </c>
      <c r="D1605" s="400" t="s">
        <v>474</v>
      </c>
      <c r="E1605" s="401" t="s">
        <v>474</v>
      </c>
      <c r="F1605" s="400" t="s">
        <v>474</v>
      </c>
      <c r="G1605" s="401" t="s">
        <v>474</v>
      </c>
    </row>
    <row r="1606" spans="1:7">
      <c r="A1606" s="70" t="s">
        <v>475</v>
      </c>
      <c r="B1606" s="70" t="s">
        <v>479</v>
      </c>
      <c r="C1606" s="70" t="s">
        <v>480</v>
      </c>
      <c r="D1606" s="70" t="s">
        <v>481</v>
      </c>
      <c r="E1606" s="265">
        <f>ROUND($G$1613,0)</f>
        <v>2851</v>
      </c>
      <c r="F1606" s="71">
        <v>0.05</v>
      </c>
      <c r="G1606" s="72">
        <f>ROUND(E1606*F1606,0)</f>
        <v>143</v>
      </c>
    </row>
    <row r="1607" spans="1:7">
      <c r="A1607" s="409" t="s">
        <v>482</v>
      </c>
      <c r="B1607" s="409" t="s">
        <v>482</v>
      </c>
      <c r="C1607" s="409" t="s">
        <v>482</v>
      </c>
      <c r="D1607" s="409" t="s">
        <v>482</v>
      </c>
      <c r="E1607" s="410" t="s">
        <v>482</v>
      </c>
      <c r="F1607" s="412" t="s">
        <v>482</v>
      </c>
      <c r="G1607" s="266">
        <f>ROUND(SUM(G1606:G1606),0)</f>
        <v>143</v>
      </c>
    </row>
    <row r="1608" spans="1:7">
      <c r="A1608" s="400" t="s">
        <v>483</v>
      </c>
      <c r="B1608" s="400" t="s">
        <v>483</v>
      </c>
      <c r="C1608" s="400" t="s">
        <v>483</v>
      </c>
      <c r="D1608" s="400" t="s">
        <v>483</v>
      </c>
      <c r="E1608" s="401" t="s">
        <v>483</v>
      </c>
      <c r="F1608" s="400" t="s">
        <v>483</v>
      </c>
      <c r="G1608" s="401" t="s">
        <v>483</v>
      </c>
    </row>
    <row r="1609" spans="1:7">
      <c r="A1609" s="409" t="s">
        <v>495</v>
      </c>
      <c r="B1609" s="409" t="s">
        <v>495</v>
      </c>
      <c r="C1609" s="409" t="s">
        <v>495</v>
      </c>
      <c r="D1609" s="409" t="s">
        <v>495</v>
      </c>
      <c r="E1609" s="410" t="s">
        <v>495</v>
      </c>
      <c r="F1609" s="412" t="s">
        <v>495</v>
      </c>
      <c r="G1609" s="266">
        <f>ROUND(0,0)</f>
        <v>0</v>
      </c>
    </row>
    <row r="1610" spans="1:7">
      <c r="A1610" s="400" t="s">
        <v>496</v>
      </c>
      <c r="B1610" s="400" t="s">
        <v>496</v>
      </c>
      <c r="C1610" s="400" t="s">
        <v>496</v>
      </c>
      <c r="D1610" s="400" t="s">
        <v>496</v>
      </c>
      <c r="E1610" s="401" t="s">
        <v>496</v>
      </c>
      <c r="F1610" s="400" t="s">
        <v>496</v>
      </c>
      <c r="G1610" s="401" t="s">
        <v>496</v>
      </c>
    </row>
    <row r="1611" spans="1:7">
      <c r="A1611" s="70" t="s">
        <v>496</v>
      </c>
      <c r="B1611" s="70" t="s">
        <v>509</v>
      </c>
      <c r="C1611" s="70" t="s">
        <v>510</v>
      </c>
      <c r="D1611" s="70" t="s">
        <v>478</v>
      </c>
      <c r="E1611" s="72">
        <f>ROUND('MANO DE OBRA'!$E$12,0)</f>
        <v>177075</v>
      </c>
      <c r="F1611" s="71">
        <v>0.01</v>
      </c>
      <c r="G1611" s="72">
        <f>ROUND(E1611*F1611,0)</f>
        <v>1771</v>
      </c>
    </row>
    <row r="1612" spans="1:7">
      <c r="A1612" s="70" t="s">
        <v>496</v>
      </c>
      <c r="B1612" s="70" t="s">
        <v>501</v>
      </c>
      <c r="C1612" s="70" t="s">
        <v>502</v>
      </c>
      <c r="D1612" s="70" t="s">
        <v>478</v>
      </c>
      <c r="E1612" s="72">
        <f>ROUND('MANO DE OBRA'!$E$11,0)</f>
        <v>107973</v>
      </c>
      <c r="F1612" s="71">
        <v>0.01</v>
      </c>
      <c r="G1612" s="72">
        <f>ROUND(E1612*F1612,0)</f>
        <v>1080</v>
      </c>
    </row>
    <row r="1613" spans="1:7">
      <c r="A1613" s="409" t="s">
        <v>503</v>
      </c>
      <c r="B1613" s="409" t="s">
        <v>503</v>
      </c>
      <c r="C1613" s="409" t="s">
        <v>503</v>
      </c>
      <c r="D1613" s="409" t="s">
        <v>503</v>
      </c>
      <c r="E1613" s="410" t="s">
        <v>503</v>
      </c>
      <c r="F1613" s="411" t="s">
        <v>503</v>
      </c>
      <c r="G1613" s="266">
        <f>ROUND(SUM(G1611:G1612),0)</f>
        <v>2851</v>
      </c>
    </row>
    <row r="1614" spans="1:7">
      <c r="A1614" s="400" t="s">
        <v>621</v>
      </c>
      <c r="B1614" s="400" t="s">
        <v>621</v>
      </c>
      <c r="C1614" s="400" t="s">
        <v>621</v>
      </c>
      <c r="D1614" s="400" t="s">
        <v>621</v>
      </c>
      <c r="E1614" s="401" t="s">
        <v>621</v>
      </c>
      <c r="F1614" s="400" t="s">
        <v>621</v>
      </c>
      <c r="G1614" s="401" t="s">
        <v>621</v>
      </c>
    </row>
    <row r="1615" spans="1:7" ht="12.75" thickBot="1">
      <c r="A1615" s="409" t="s">
        <v>624</v>
      </c>
      <c r="B1615" s="409" t="s">
        <v>624</v>
      </c>
      <c r="C1615" s="409" t="s">
        <v>624</v>
      </c>
      <c r="D1615" s="409" t="s">
        <v>624</v>
      </c>
      <c r="E1615" s="410" t="s">
        <v>624</v>
      </c>
      <c r="F1615" s="411" t="s">
        <v>624</v>
      </c>
      <c r="G1615" s="266">
        <f>ROUND(0,0)</f>
        <v>0</v>
      </c>
    </row>
    <row r="1616" spans="1:7" ht="12" customHeight="1" thickBot="1">
      <c r="A1616" s="404" t="s">
        <v>60</v>
      </c>
      <c r="B1616" s="405" t="s">
        <v>504</v>
      </c>
      <c r="C1616" s="405" t="s">
        <v>504</v>
      </c>
      <c r="D1616" s="405" t="s">
        <v>504</v>
      </c>
      <c r="E1616" s="406" t="s">
        <v>504</v>
      </c>
      <c r="F1616" s="8"/>
      <c r="G1616" s="56">
        <f>ROUND(SUM(G1607,G1609,G1613,G1615),0)</f>
        <v>2994</v>
      </c>
    </row>
  </sheetData>
  <mergeCells count="732">
    <mergeCell ref="A1615:F1615"/>
    <mergeCell ref="A1616:E1616"/>
    <mergeCell ref="A1605:G1605"/>
    <mergeCell ref="A1608:G1608"/>
    <mergeCell ref="A1610:G1610"/>
    <mergeCell ref="A1614:G1614"/>
    <mergeCell ref="A1607:F1607"/>
    <mergeCell ref="A1609:F1609"/>
    <mergeCell ref="A1613:F1613"/>
    <mergeCell ref="A1601:E1601"/>
    <mergeCell ref="A1558:F1558"/>
    <mergeCell ref="A1559:G1559"/>
    <mergeCell ref="A1562:F1562"/>
    <mergeCell ref="A1563:E1563"/>
    <mergeCell ref="C1565:F1565"/>
    <mergeCell ref="A1567:G1567"/>
    <mergeCell ref="A1570:F1570"/>
    <mergeCell ref="A1571:G1571"/>
    <mergeCell ref="A1577:F1577"/>
    <mergeCell ref="A1578:G1578"/>
    <mergeCell ref="A1581:F1581"/>
    <mergeCell ref="A1582:E1582"/>
    <mergeCell ref="C1584:F1584"/>
    <mergeCell ref="A1586:G1586"/>
    <mergeCell ref="A1589:F1589"/>
    <mergeCell ref="A1590:G1590"/>
    <mergeCell ref="A1596:F1596"/>
    <mergeCell ref="A1597:G1597"/>
    <mergeCell ref="A1600:F1600"/>
    <mergeCell ref="A1556:G1556"/>
    <mergeCell ref="C1517:F1517"/>
    <mergeCell ref="A1519:G1519"/>
    <mergeCell ref="A1523:F1523"/>
    <mergeCell ref="A1524:G1524"/>
    <mergeCell ref="A1526:F1526"/>
    <mergeCell ref="A1527:G1527"/>
    <mergeCell ref="A1530:F1530"/>
    <mergeCell ref="A1531:E1531"/>
    <mergeCell ref="C1533:F1533"/>
    <mergeCell ref="A1535:G1535"/>
    <mergeCell ref="A1539:F1539"/>
    <mergeCell ref="A1540:G1540"/>
    <mergeCell ref="A1542:F1542"/>
    <mergeCell ref="A1543:G1543"/>
    <mergeCell ref="A1546:F1546"/>
    <mergeCell ref="A1547:E1547"/>
    <mergeCell ref="C1549:F1549"/>
    <mergeCell ref="A1551:G1551"/>
    <mergeCell ref="A1555:F1555"/>
    <mergeCell ref="A1515:E1515"/>
    <mergeCell ref="A1475:F1475"/>
    <mergeCell ref="A1476:G1476"/>
    <mergeCell ref="A1479:F1479"/>
    <mergeCell ref="A1480:E1480"/>
    <mergeCell ref="C1482:F1482"/>
    <mergeCell ref="A1484:G1484"/>
    <mergeCell ref="A1487:F1487"/>
    <mergeCell ref="A1488:G1488"/>
    <mergeCell ref="A1495:F1495"/>
    <mergeCell ref="A1496:G1496"/>
    <mergeCell ref="A1499:F1499"/>
    <mergeCell ref="A1500:E1500"/>
    <mergeCell ref="C1502:F1502"/>
    <mergeCell ref="A1504:G1504"/>
    <mergeCell ref="A1507:F1507"/>
    <mergeCell ref="A1508:G1508"/>
    <mergeCell ref="A1510:F1510"/>
    <mergeCell ref="A1511:G1511"/>
    <mergeCell ref="A1514:F1514"/>
    <mergeCell ref="A1468:G1468"/>
    <mergeCell ref="C1432:F1432"/>
    <mergeCell ref="A1434:G1434"/>
    <mergeCell ref="A1437:F1437"/>
    <mergeCell ref="A1438:G1438"/>
    <mergeCell ref="A1440:F1440"/>
    <mergeCell ref="A1441:G1441"/>
    <mergeCell ref="A1444:F1444"/>
    <mergeCell ref="A1445:E1445"/>
    <mergeCell ref="C1447:F1447"/>
    <mergeCell ref="A1449:G1449"/>
    <mergeCell ref="A1452:F1452"/>
    <mergeCell ref="A1453:G1453"/>
    <mergeCell ref="A1456:F1456"/>
    <mergeCell ref="A1457:G1457"/>
    <mergeCell ref="A1460:F1460"/>
    <mergeCell ref="A1461:E1461"/>
    <mergeCell ref="C1463:F1463"/>
    <mergeCell ref="A1465:G1465"/>
    <mergeCell ref="A1467:F1467"/>
    <mergeCell ref="A1430:E1430"/>
    <mergeCell ref="A1395:F1395"/>
    <mergeCell ref="A1396:G1396"/>
    <mergeCell ref="A1399:F1399"/>
    <mergeCell ref="A1400:E1400"/>
    <mergeCell ref="C1402:F1402"/>
    <mergeCell ref="A1404:G1404"/>
    <mergeCell ref="A1407:F1407"/>
    <mergeCell ref="A1408:G1408"/>
    <mergeCell ref="A1410:F1410"/>
    <mergeCell ref="A1411:G1411"/>
    <mergeCell ref="A1414:F1414"/>
    <mergeCell ref="A1415:E1415"/>
    <mergeCell ref="C1417:F1417"/>
    <mergeCell ref="A1419:G1419"/>
    <mergeCell ref="A1422:F1422"/>
    <mergeCell ref="A1423:G1423"/>
    <mergeCell ref="A1425:F1425"/>
    <mergeCell ref="A1426:G1426"/>
    <mergeCell ref="A1429:F1429"/>
    <mergeCell ref="A1393:G1393"/>
    <mergeCell ref="C1357:F1357"/>
    <mergeCell ref="A1359:G1359"/>
    <mergeCell ref="A1362:F1362"/>
    <mergeCell ref="A1363:G1363"/>
    <mergeCell ref="A1365:F1365"/>
    <mergeCell ref="A1366:G1366"/>
    <mergeCell ref="A1369:F1369"/>
    <mergeCell ref="A1370:E1370"/>
    <mergeCell ref="C1372:F1372"/>
    <mergeCell ref="A1374:G1374"/>
    <mergeCell ref="A1377:F1377"/>
    <mergeCell ref="A1378:G1378"/>
    <mergeCell ref="A1381:F1381"/>
    <mergeCell ref="A1382:G1382"/>
    <mergeCell ref="A1385:F1385"/>
    <mergeCell ref="A1386:E1386"/>
    <mergeCell ref="C1388:F1388"/>
    <mergeCell ref="A1390:G1390"/>
    <mergeCell ref="A1392:F1392"/>
    <mergeCell ref="A1355:E1355"/>
    <mergeCell ref="A1316:F1316"/>
    <mergeCell ref="A1317:G1317"/>
    <mergeCell ref="A1320:F1320"/>
    <mergeCell ref="A1321:E1321"/>
    <mergeCell ref="C1323:F1323"/>
    <mergeCell ref="A1325:G1325"/>
    <mergeCell ref="A1328:F1328"/>
    <mergeCell ref="A1329:G1329"/>
    <mergeCell ref="A1333:F1333"/>
    <mergeCell ref="A1334:G1334"/>
    <mergeCell ref="A1337:F1337"/>
    <mergeCell ref="A1338:E1338"/>
    <mergeCell ref="C1340:F1340"/>
    <mergeCell ref="A1342:G1342"/>
    <mergeCell ref="A1345:F1345"/>
    <mergeCell ref="A1346:G1346"/>
    <mergeCell ref="A1350:F1350"/>
    <mergeCell ref="A1351:G1351"/>
    <mergeCell ref="A1354:F1354"/>
    <mergeCell ref="A1308:G1308"/>
    <mergeCell ref="C1270:F1270"/>
    <mergeCell ref="A1272:G1272"/>
    <mergeCell ref="A1274:F1274"/>
    <mergeCell ref="A1275:G1275"/>
    <mergeCell ref="A1282:F1282"/>
    <mergeCell ref="A1283:G1283"/>
    <mergeCell ref="A1286:F1286"/>
    <mergeCell ref="A1287:E1287"/>
    <mergeCell ref="C1289:F1289"/>
    <mergeCell ref="A1291:G1291"/>
    <mergeCell ref="A1293:F1293"/>
    <mergeCell ref="A1294:G1294"/>
    <mergeCell ref="A1296:F1296"/>
    <mergeCell ref="A1297:G1297"/>
    <mergeCell ref="A1300:F1300"/>
    <mergeCell ref="A1301:E1301"/>
    <mergeCell ref="C1303:F1303"/>
    <mergeCell ref="A1305:G1305"/>
    <mergeCell ref="A1307:F1307"/>
    <mergeCell ref="A1268:E1268"/>
    <mergeCell ref="A1225:F1225"/>
    <mergeCell ref="A1226:G1226"/>
    <mergeCell ref="A1229:F1229"/>
    <mergeCell ref="A1230:E1230"/>
    <mergeCell ref="C1232:F1232"/>
    <mergeCell ref="A1234:G1234"/>
    <mergeCell ref="A1236:F1236"/>
    <mergeCell ref="A1237:G1237"/>
    <mergeCell ref="A1244:F1244"/>
    <mergeCell ref="A1245:G1245"/>
    <mergeCell ref="A1248:F1248"/>
    <mergeCell ref="A1249:E1249"/>
    <mergeCell ref="C1251:F1251"/>
    <mergeCell ref="A1253:G1253"/>
    <mergeCell ref="A1255:F1255"/>
    <mergeCell ref="A1256:G1256"/>
    <mergeCell ref="A1263:F1263"/>
    <mergeCell ref="A1264:G1264"/>
    <mergeCell ref="A1267:F1267"/>
    <mergeCell ref="A1217:G1217"/>
    <mergeCell ref="A1181:F1181"/>
    <mergeCell ref="A1182:G1182"/>
    <mergeCell ref="A1185:F1185"/>
    <mergeCell ref="A1186:G1186"/>
    <mergeCell ref="A1189:F1189"/>
    <mergeCell ref="A1190:G1190"/>
    <mergeCell ref="A1192:F1192"/>
    <mergeCell ref="A1193:E1193"/>
    <mergeCell ref="C1195:F1195"/>
    <mergeCell ref="A1197:G1197"/>
    <mergeCell ref="A1199:F1199"/>
    <mergeCell ref="A1200:G1200"/>
    <mergeCell ref="A1205:F1205"/>
    <mergeCell ref="A1206:G1206"/>
    <mergeCell ref="A1209:F1209"/>
    <mergeCell ref="A1210:E1210"/>
    <mergeCell ref="C1212:F1212"/>
    <mergeCell ref="A1214:G1214"/>
    <mergeCell ref="A1216:F1216"/>
    <mergeCell ref="A1177:G1177"/>
    <mergeCell ref="C1133:F1133"/>
    <mergeCell ref="A1135:G1135"/>
    <mergeCell ref="A1137:F1137"/>
    <mergeCell ref="A1138:G1138"/>
    <mergeCell ref="A1140:F1140"/>
    <mergeCell ref="A1141:G1141"/>
    <mergeCell ref="A1144:F1144"/>
    <mergeCell ref="A1145:E1145"/>
    <mergeCell ref="C1147:F1147"/>
    <mergeCell ref="A1149:G1149"/>
    <mergeCell ref="A1154:F1154"/>
    <mergeCell ref="A1155:G1155"/>
    <mergeCell ref="A1165:F1165"/>
    <mergeCell ref="A1166:G1166"/>
    <mergeCell ref="A1169:F1169"/>
    <mergeCell ref="A1170:G1170"/>
    <mergeCell ref="A1172:F1172"/>
    <mergeCell ref="A1173:E1173"/>
    <mergeCell ref="C1175:F1175"/>
    <mergeCell ref="A1131:E1131"/>
    <mergeCell ref="A1096:F1096"/>
    <mergeCell ref="A1097:G1097"/>
    <mergeCell ref="A1100:F1100"/>
    <mergeCell ref="A1101:E1101"/>
    <mergeCell ref="C1103:F1103"/>
    <mergeCell ref="A1105:G1105"/>
    <mergeCell ref="A1107:F1107"/>
    <mergeCell ref="A1108:G1108"/>
    <mergeCell ref="A1111:F1111"/>
    <mergeCell ref="A1112:G1112"/>
    <mergeCell ref="A1115:F1115"/>
    <mergeCell ref="A1116:E1116"/>
    <mergeCell ref="C1118:F1118"/>
    <mergeCell ref="A1120:G1120"/>
    <mergeCell ref="A1122:F1122"/>
    <mergeCell ref="A1123:G1123"/>
    <mergeCell ref="A1126:F1126"/>
    <mergeCell ref="A1127:G1127"/>
    <mergeCell ref="A1130:F1130"/>
    <mergeCell ref="A1090:G1090"/>
    <mergeCell ref="C1042:F1042"/>
    <mergeCell ref="A1044:G1044"/>
    <mergeCell ref="A1048:F1048"/>
    <mergeCell ref="A1049:G1049"/>
    <mergeCell ref="A1056:F1056"/>
    <mergeCell ref="A1057:G1057"/>
    <mergeCell ref="A1060:F1060"/>
    <mergeCell ref="A1061:E1061"/>
    <mergeCell ref="C1063:F1063"/>
    <mergeCell ref="A1065:G1065"/>
    <mergeCell ref="A1069:F1069"/>
    <mergeCell ref="A1070:G1070"/>
    <mergeCell ref="A1077:F1077"/>
    <mergeCell ref="A1078:G1078"/>
    <mergeCell ref="A1081:F1081"/>
    <mergeCell ref="A1082:E1082"/>
    <mergeCell ref="C1084:F1084"/>
    <mergeCell ref="A1086:G1086"/>
    <mergeCell ref="A1089:F1089"/>
    <mergeCell ref="A1040:E1040"/>
    <mergeCell ref="A995:F995"/>
    <mergeCell ref="A996:G996"/>
    <mergeCell ref="A999:F999"/>
    <mergeCell ref="A1000:E1000"/>
    <mergeCell ref="C1002:F1002"/>
    <mergeCell ref="A1004:G1004"/>
    <mergeCell ref="A1007:F1007"/>
    <mergeCell ref="A1008:G1008"/>
    <mergeCell ref="A1015:F1015"/>
    <mergeCell ref="A1016:G1016"/>
    <mergeCell ref="A1019:F1019"/>
    <mergeCell ref="A1020:E1020"/>
    <mergeCell ref="C1022:F1022"/>
    <mergeCell ref="A1024:G1024"/>
    <mergeCell ref="A1027:F1027"/>
    <mergeCell ref="A1028:G1028"/>
    <mergeCell ref="A1035:F1035"/>
    <mergeCell ref="A1036:G1036"/>
    <mergeCell ref="A1039:F1039"/>
    <mergeCell ref="A988:G988"/>
    <mergeCell ref="A952:F952"/>
    <mergeCell ref="A953:G953"/>
    <mergeCell ref="A957:F957"/>
    <mergeCell ref="A958:E958"/>
    <mergeCell ref="C960:F960"/>
    <mergeCell ref="A962:G962"/>
    <mergeCell ref="A965:F965"/>
    <mergeCell ref="A966:G966"/>
    <mergeCell ref="A969:F969"/>
    <mergeCell ref="A970:E970"/>
    <mergeCell ref="C972:F972"/>
    <mergeCell ref="A974:G974"/>
    <mergeCell ref="A976:F976"/>
    <mergeCell ref="A977:G977"/>
    <mergeCell ref="A979:F979"/>
    <mergeCell ref="A980:E980"/>
    <mergeCell ref="C982:F982"/>
    <mergeCell ref="A984:G984"/>
    <mergeCell ref="A987:F987"/>
    <mergeCell ref="A947:G947"/>
    <mergeCell ref="C905:F905"/>
    <mergeCell ref="A907:G907"/>
    <mergeCell ref="A910:F910"/>
    <mergeCell ref="A911:G911"/>
    <mergeCell ref="A918:F918"/>
    <mergeCell ref="A919:G919"/>
    <mergeCell ref="A922:F922"/>
    <mergeCell ref="A923:E923"/>
    <mergeCell ref="C925:F925"/>
    <mergeCell ref="A927:G927"/>
    <mergeCell ref="A931:F931"/>
    <mergeCell ref="A932:G932"/>
    <mergeCell ref="A934:F934"/>
    <mergeCell ref="A935:G935"/>
    <mergeCell ref="A938:F938"/>
    <mergeCell ref="A939:E939"/>
    <mergeCell ref="C941:F941"/>
    <mergeCell ref="A943:G943"/>
    <mergeCell ref="A946:F946"/>
    <mergeCell ref="A903:E903"/>
    <mergeCell ref="A868:F868"/>
    <mergeCell ref="A869:E869"/>
    <mergeCell ref="C871:F871"/>
    <mergeCell ref="A873:G873"/>
    <mergeCell ref="A877:F877"/>
    <mergeCell ref="A878:G878"/>
    <mergeCell ref="A881:F881"/>
    <mergeCell ref="A882:G882"/>
    <mergeCell ref="A885:F885"/>
    <mergeCell ref="A886:G886"/>
    <mergeCell ref="A888:F888"/>
    <mergeCell ref="A889:E889"/>
    <mergeCell ref="C891:F891"/>
    <mergeCell ref="A893:G893"/>
    <mergeCell ref="A895:F895"/>
    <mergeCell ref="A896:G896"/>
    <mergeCell ref="A898:F898"/>
    <mergeCell ref="A899:G899"/>
    <mergeCell ref="A902:F902"/>
    <mergeCell ref="A866:G866"/>
    <mergeCell ref="A825:F825"/>
    <mergeCell ref="A826:G826"/>
    <mergeCell ref="A828:F828"/>
    <mergeCell ref="A829:E829"/>
    <mergeCell ref="C831:F831"/>
    <mergeCell ref="A833:G833"/>
    <mergeCell ref="A835:F835"/>
    <mergeCell ref="A836:G836"/>
    <mergeCell ref="A838:F838"/>
    <mergeCell ref="A839:G839"/>
    <mergeCell ref="A842:F842"/>
    <mergeCell ref="A843:E843"/>
    <mergeCell ref="C845:F845"/>
    <mergeCell ref="A847:G847"/>
    <mergeCell ref="A852:F852"/>
    <mergeCell ref="A853:G853"/>
    <mergeCell ref="A861:F861"/>
    <mergeCell ref="A862:G862"/>
    <mergeCell ref="A865:F865"/>
    <mergeCell ref="A822:G822"/>
    <mergeCell ref="A786:F786"/>
    <mergeCell ref="A787:G787"/>
    <mergeCell ref="A789:F789"/>
    <mergeCell ref="A790:E790"/>
    <mergeCell ref="C792:F792"/>
    <mergeCell ref="A794:G794"/>
    <mergeCell ref="A799:F799"/>
    <mergeCell ref="A800:G800"/>
    <mergeCell ref="A802:F802"/>
    <mergeCell ref="A803:G803"/>
    <mergeCell ref="A806:F806"/>
    <mergeCell ref="A807:G807"/>
    <mergeCell ref="A809:F809"/>
    <mergeCell ref="A810:E810"/>
    <mergeCell ref="C812:F812"/>
    <mergeCell ref="A814:G814"/>
    <mergeCell ref="A818:F818"/>
    <mergeCell ref="A819:G819"/>
    <mergeCell ref="A821:F821"/>
    <mergeCell ref="A783:G783"/>
    <mergeCell ref="A745:F745"/>
    <mergeCell ref="A746:G746"/>
    <mergeCell ref="A748:F748"/>
    <mergeCell ref="A749:E749"/>
    <mergeCell ref="C751:F751"/>
    <mergeCell ref="A753:G753"/>
    <mergeCell ref="A758:F758"/>
    <mergeCell ref="A759:G759"/>
    <mergeCell ref="A761:F761"/>
    <mergeCell ref="A762:G762"/>
    <mergeCell ref="A765:F765"/>
    <mergeCell ref="A766:G766"/>
    <mergeCell ref="A768:F768"/>
    <mergeCell ref="A769:E769"/>
    <mergeCell ref="C771:F771"/>
    <mergeCell ref="A773:G773"/>
    <mergeCell ref="A778:F778"/>
    <mergeCell ref="A779:G779"/>
    <mergeCell ref="A782:F782"/>
    <mergeCell ref="A742:G742"/>
    <mergeCell ref="A695:F695"/>
    <mergeCell ref="A696:G696"/>
    <mergeCell ref="A700:F700"/>
    <mergeCell ref="A701:E701"/>
    <mergeCell ref="C703:F703"/>
    <mergeCell ref="A705:G705"/>
    <mergeCell ref="A710:F710"/>
    <mergeCell ref="A711:G711"/>
    <mergeCell ref="A720:F720"/>
    <mergeCell ref="A721:G721"/>
    <mergeCell ref="A724:F724"/>
    <mergeCell ref="A725:G725"/>
    <mergeCell ref="A727:F727"/>
    <mergeCell ref="A728:E728"/>
    <mergeCell ref="C730:F730"/>
    <mergeCell ref="A732:G732"/>
    <mergeCell ref="A737:F737"/>
    <mergeCell ref="A738:G738"/>
    <mergeCell ref="A741:F741"/>
    <mergeCell ref="A692:G692"/>
    <mergeCell ref="A635:F635"/>
    <mergeCell ref="A636:G636"/>
    <mergeCell ref="A638:F638"/>
    <mergeCell ref="A639:E639"/>
    <mergeCell ref="C641:F641"/>
    <mergeCell ref="A643:G643"/>
    <mergeCell ref="A648:F648"/>
    <mergeCell ref="A649:G649"/>
    <mergeCell ref="A663:F663"/>
    <mergeCell ref="A664:G664"/>
    <mergeCell ref="A667:F667"/>
    <mergeCell ref="A668:G668"/>
    <mergeCell ref="A670:F670"/>
    <mergeCell ref="A671:E671"/>
    <mergeCell ref="C673:F673"/>
    <mergeCell ref="A675:G675"/>
    <mergeCell ref="A680:F680"/>
    <mergeCell ref="A681:G681"/>
    <mergeCell ref="A691:F691"/>
    <mergeCell ref="A632:G632"/>
    <mergeCell ref="A585:F585"/>
    <mergeCell ref="A586:G586"/>
    <mergeCell ref="A588:F588"/>
    <mergeCell ref="A589:G589"/>
    <mergeCell ref="A592:F592"/>
    <mergeCell ref="A593:E593"/>
    <mergeCell ref="C595:F595"/>
    <mergeCell ref="A597:G597"/>
    <mergeCell ref="A599:F599"/>
    <mergeCell ref="A600:G600"/>
    <mergeCell ref="A602:F602"/>
    <mergeCell ref="A603:G603"/>
    <mergeCell ref="A606:F606"/>
    <mergeCell ref="A607:E607"/>
    <mergeCell ref="C609:F609"/>
    <mergeCell ref="A611:G611"/>
    <mergeCell ref="A616:F616"/>
    <mergeCell ref="A617:G617"/>
    <mergeCell ref="A631:F631"/>
    <mergeCell ref="A581:G581"/>
    <mergeCell ref="A536:F536"/>
    <mergeCell ref="A537:E537"/>
    <mergeCell ref="C539:F539"/>
    <mergeCell ref="A541:G541"/>
    <mergeCell ref="A544:F544"/>
    <mergeCell ref="A545:G545"/>
    <mergeCell ref="A551:F551"/>
    <mergeCell ref="A552:G552"/>
    <mergeCell ref="A555:F555"/>
    <mergeCell ref="A556:E556"/>
    <mergeCell ref="C558:F558"/>
    <mergeCell ref="A560:G560"/>
    <mergeCell ref="A564:F564"/>
    <mergeCell ref="A565:G565"/>
    <mergeCell ref="A572:F572"/>
    <mergeCell ref="A573:G573"/>
    <mergeCell ref="A576:F576"/>
    <mergeCell ref="A577:E577"/>
    <mergeCell ref="C579:F579"/>
    <mergeCell ref="A533:G533"/>
    <mergeCell ref="A494:F494"/>
    <mergeCell ref="A495:G495"/>
    <mergeCell ref="A503:F503"/>
    <mergeCell ref="A504:G504"/>
    <mergeCell ref="A507:F507"/>
    <mergeCell ref="A508:E508"/>
    <mergeCell ref="C510:F510"/>
    <mergeCell ref="A512:G512"/>
    <mergeCell ref="A514:F514"/>
    <mergeCell ref="A515:G515"/>
    <mergeCell ref="A518:F518"/>
    <mergeCell ref="A519:G519"/>
    <mergeCell ref="A522:F522"/>
    <mergeCell ref="A523:E523"/>
    <mergeCell ref="C525:F525"/>
    <mergeCell ref="A527:G527"/>
    <mergeCell ref="A529:F529"/>
    <mergeCell ref="A530:G530"/>
    <mergeCell ref="A532:F532"/>
    <mergeCell ref="A492:G492"/>
    <mergeCell ref="A457:F457"/>
    <mergeCell ref="A458:E458"/>
    <mergeCell ref="C460:F460"/>
    <mergeCell ref="A462:G462"/>
    <mergeCell ref="A464:F464"/>
    <mergeCell ref="A465:G465"/>
    <mergeCell ref="A468:F468"/>
    <mergeCell ref="A469:G469"/>
    <mergeCell ref="A472:F472"/>
    <mergeCell ref="A473:E473"/>
    <mergeCell ref="C475:F475"/>
    <mergeCell ref="A477:G477"/>
    <mergeCell ref="A479:F479"/>
    <mergeCell ref="A480:G480"/>
    <mergeCell ref="A483:F483"/>
    <mergeCell ref="A484:G484"/>
    <mergeCell ref="A487:F487"/>
    <mergeCell ref="A488:E488"/>
    <mergeCell ref="C490:F490"/>
    <mergeCell ref="A454:G454"/>
    <mergeCell ref="A417:F417"/>
    <mergeCell ref="A418:G418"/>
    <mergeCell ref="A422:F422"/>
    <mergeCell ref="A423:G423"/>
    <mergeCell ref="A426:F426"/>
    <mergeCell ref="A427:E427"/>
    <mergeCell ref="C429:F429"/>
    <mergeCell ref="A431:G431"/>
    <mergeCell ref="A433:F433"/>
    <mergeCell ref="A434:G434"/>
    <mergeCell ref="A438:F438"/>
    <mergeCell ref="A439:G439"/>
    <mergeCell ref="A442:F442"/>
    <mergeCell ref="A443:E443"/>
    <mergeCell ref="C445:F445"/>
    <mergeCell ref="A447:G447"/>
    <mergeCell ref="A449:F449"/>
    <mergeCell ref="A450:G450"/>
    <mergeCell ref="A453:F453"/>
    <mergeCell ref="A414:G414"/>
    <mergeCell ref="A372:F372"/>
    <mergeCell ref="A373:E373"/>
    <mergeCell ref="C375:F375"/>
    <mergeCell ref="A377:G377"/>
    <mergeCell ref="A380:F380"/>
    <mergeCell ref="A381:G381"/>
    <mergeCell ref="A388:F388"/>
    <mergeCell ref="A389:G389"/>
    <mergeCell ref="A392:F392"/>
    <mergeCell ref="A393:E393"/>
    <mergeCell ref="C395:F395"/>
    <mergeCell ref="A397:G397"/>
    <mergeCell ref="A400:F400"/>
    <mergeCell ref="A401:G401"/>
    <mergeCell ref="A405:F405"/>
    <mergeCell ref="A406:G406"/>
    <mergeCell ref="A409:F409"/>
    <mergeCell ref="A410:E410"/>
    <mergeCell ref="C412:F412"/>
    <mergeCell ref="A369:G369"/>
    <mergeCell ref="C330:F330"/>
    <mergeCell ref="A332:G332"/>
    <mergeCell ref="A334:F334"/>
    <mergeCell ref="A335:G335"/>
    <mergeCell ref="A337:F337"/>
    <mergeCell ref="A338:E338"/>
    <mergeCell ref="C340:F340"/>
    <mergeCell ref="A342:G342"/>
    <mergeCell ref="A345:F345"/>
    <mergeCell ref="A346:G346"/>
    <mergeCell ref="A348:F348"/>
    <mergeCell ref="A349:G349"/>
    <mergeCell ref="A352:F352"/>
    <mergeCell ref="A353:E353"/>
    <mergeCell ref="C355:F355"/>
    <mergeCell ref="A357:G357"/>
    <mergeCell ref="A360:F360"/>
    <mergeCell ref="A361:G361"/>
    <mergeCell ref="A368:F368"/>
    <mergeCell ref="A328:E328"/>
    <mergeCell ref="A288:F288"/>
    <mergeCell ref="A289:G289"/>
    <mergeCell ref="A292:F292"/>
    <mergeCell ref="A293:E293"/>
    <mergeCell ref="C295:F295"/>
    <mergeCell ref="A297:G297"/>
    <mergeCell ref="A300:F300"/>
    <mergeCell ref="A301:G301"/>
    <mergeCell ref="A308:F308"/>
    <mergeCell ref="A309:G309"/>
    <mergeCell ref="A312:F312"/>
    <mergeCell ref="A313:E313"/>
    <mergeCell ref="C315:F315"/>
    <mergeCell ref="A317:G317"/>
    <mergeCell ref="A320:F320"/>
    <mergeCell ref="A321:G321"/>
    <mergeCell ref="A323:F323"/>
    <mergeCell ref="A324:G324"/>
    <mergeCell ref="A327:F327"/>
    <mergeCell ref="A281:G281"/>
    <mergeCell ref="C237:F237"/>
    <mergeCell ref="A239:G239"/>
    <mergeCell ref="A242:F242"/>
    <mergeCell ref="A243:G243"/>
    <mergeCell ref="A249:F249"/>
    <mergeCell ref="A250:G250"/>
    <mergeCell ref="A253:F253"/>
    <mergeCell ref="A254:E254"/>
    <mergeCell ref="C256:F256"/>
    <mergeCell ref="A258:G258"/>
    <mergeCell ref="A261:F261"/>
    <mergeCell ref="A262:G262"/>
    <mergeCell ref="A268:F268"/>
    <mergeCell ref="A269:G269"/>
    <mergeCell ref="A272:F272"/>
    <mergeCell ref="A273:E273"/>
    <mergeCell ref="C275:F275"/>
    <mergeCell ref="A277:G277"/>
    <mergeCell ref="A280:F280"/>
    <mergeCell ref="A235:E235"/>
    <mergeCell ref="A190:F190"/>
    <mergeCell ref="A191:G191"/>
    <mergeCell ref="A194:F194"/>
    <mergeCell ref="A195:E195"/>
    <mergeCell ref="C197:F197"/>
    <mergeCell ref="A199:G199"/>
    <mergeCell ref="A202:F202"/>
    <mergeCell ref="A203:G203"/>
    <mergeCell ref="A210:F210"/>
    <mergeCell ref="A211:G211"/>
    <mergeCell ref="A214:F214"/>
    <mergeCell ref="A215:E215"/>
    <mergeCell ref="C217:F217"/>
    <mergeCell ref="A219:G219"/>
    <mergeCell ref="A222:F222"/>
    <mergeCell ref="A223:G223"/>
    <mergeCell ref="A230:F230"/>
    <mergeCell ref="A231:G231"/>
    <mergeCell ref="A234:F234"/>
    <mergeCell ref="A183:G183"/>
    <mergeCell ref="C137:F137"/>
    <mergeCell ref="A139:G139"/>
    <mergeCell ref="A142:F142"/>
    <mergeCell ref="A143:G143"/>
    <mergeCell ref="A150:F150"/>
    <mergeCell ref="A151:G151"/>
    <mergeCell ref="A154:F154"/>
    <mergeCell ref="A155:E155"/>
    <mergeCell ref="C157:F157"/>
    <mergeCell ref="A159:G159"/>
    <mergeCell ref="A162:F162"/>
    <mergeCell ref="A163:G163"/>
    <mergeCell ref="A170:F170"/>
    <mergeCell ref="A171:G171"/>
    <mergeCell ref="A174:F174"/>
    <mergeCell ref="A175:E175"/>
    <mergeCell ref="C177:F177"/>
    <mergeCell ref="A179:G179"/>
    <mergeCell ref="A182:F182"/>
    <mergeCell ref="A135:E135"/>
    <mergeCell ref="A90:F90"/>
    <mergeCell ref="A91:G91"/>
    <mergeCell ref="A94:F94"/>
    <mergeCell ref="A95:E95"/>
    <mergeCell ref="C97:F97"/>
    <mergeCell ref="A99:G99"/>
    <mergeCell ref="A102:F102"/>
    <mergeCell ref="A103:G103"/>
    <mergeCell ref="A110:F110"/>
    <mergeCell ref="A111:G111"/>
    <mergeCell ref="A114:F114"/>
    <mergeCell ref="A115:E115"/>
    <mergeCell ref="C117:F117"/>
    <mergeCell ref="A119:G119"/>
    <mergeCell ref="A122:F122"/>
    <mergeCell ref="A123:G123"/>
    <mergeCell ref="A130:F130"/>
    <mergeCell ref="A131:G131"/>
    <mergeCell ref="A134:F134"/>
    <mergeCell ref="A83:G83"/>
    <mergeCell ref="A47:F47"/>
    <mergeCell ref="A48:E48"/>
    <mergeCell ref="C50:F50"/>
    <mergeCell ref="A52:G52"/>
    <mergeCell ref="A55:F55"/>
    <mergeCell ref="A56:G56"/>
    <mergeCell ref="A59:F59"/>
    <mergeCell ref="A60:E60"/>
    <mergeCell ref="C62:F62"/>
    <mergeCell ref="A64:G64"/>
    <mergeCell ref="A67:F67"/>
    <mergeCell ref="A68:G68"/>
    <mergeCell ref="A70:F70"/>
    <mergeCell ref="A71:G71"/>
    <mergeCell ref="A74:F74"/>
    <mergeCell ref="A75:E75"/>
    <mergeCell ref="C77:F77"/>
    <mergeCell ref="A79:G79"/>
    <mergeCell ref="A82:F82"/>
    <mergeCell ref="A1:G1"/>
    <mergeCell ref="A2:G2"/>
    <mergeCell ref="A3:G3"/>
    <mergeCell ref="A17:G17"/>
    <mergeCell ref="A21:F21"/>
    <mergeCell ref="A45:G45"/>
    <mergeCell ref="A22:E22"/>
    <mergeCell ref="C24:F24"/>
    <mergeCell ref="A26:G26"/>
    <mergeCell ref="C5:F5"/>
    <mergeCell ref="A7:G7"/>
    <mergeCell ref="A10:F10"/>
    <mergeCell ref="A11:G11"/>
    <mergeCell ref="A16:F16"/>
    <mergeCell ref="A28:F28"/>
    <mergeCell ref="A29:G29"/>
    <mergeCell ref="A33:F33"/>
    <mergeCell ref="A34:G34"/>
    <mergeCell ref="A37:F37"/>
    <mergeCell ref="A38:E38"/>
    <mergeCell ref="C40:F40"/>
    <mergeCell ref="A42:G42"/>
    <mergeCell ref="A44:F4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4"/>
  <sheetViews>
    <sheetView showGridLines="0" workbookViewId="0">
      <selection sqref="A1:G1"/>
    </sheetView>
  </sheetViews>
  <sheetFormatPr defaultColWidth="8.75" defaultRowHeight="14.25"/>
  <cols>
    <col min="1" max="1" width="18" customWidth="1"/>
    <col min="2" max="2" width="16" customWidth="1"/>
    <col min="3" max="3" width="66" customWidth="1"/>
    <col min="4" max="4" width="12" customWidth="1"/>
    <col min="5" max="5" width="18" customWidth="1"/>
    <col min="6" max="6" width="16" customWidth="1"/>
    <col min="7" max="7" width="18" customWidth="1"/>
  </cols>
  <sheetData>
    <row r="1" spans="1:7" ht="24" customHeight="1">
      <c r="A1" s="389" t="s">
        <v>0</v>
      </c>
      <c r="B1" s="389" t="s">
        <v>0</v>
      </c>
      <c r="C1" s="389" t="s">
        <v>0</v>
      </c>
      <c r="D1" s="389" t="s">
        <v>0</v>
      </c>
      <c r="E1" s="413" t="s">
        <v>0</v>
      </c>
      <c r="F1" s="389" t="s">
        <v>0</v>
      </c>
      <c r="G1" s="413" t="s">
        <v>0</v>
      </c>
    </row>
    <row r="2" spans="1:7" ht="48" customHeight="1">
      <c r="A2" s="389" t="s">
        <v>1</v>
      </c>
      <c r="B2" s="389" t="s">
        <v>1</v>
      </c>
      <c r="C2" s="389" t="s">
        <v>1</v>
      </c>
      <c r="D2" s="389" t="s">
        <v>1</v>
      </c>
      <c r="E2" s="413" t="s">
        <v>1</v>
      </c>
      <c r="F2" s="389" t="s">
        <v>1</v>
      </c>
      <c r="G2" s="413" t="s">
        <v>1</v>
      </c>
    </row>
    <row r="3" spans="1:7" ht="24" customHeight="1">
      <c r="A3" s="389" t="s">
        <v>775</v>
      </c>
      <c r="B3" s="389" t="s">
        <v>775</v>
      </c>
      <c r="C3" s="389" t="s">
        <v>775</v>
      </c>
      <c r="D3" s="389" t="s">
        <v>775</v>
      </c>
      <c r="E3" s="413" t="s">
        <v>775</v>
      </c>
      <c r="F3" s="389" t="s">
        <v>775</v>
      </c>
      <c r="G3" s="413" t="s">
        <v>775</v>
      </c>
    </row>
    <row r="4" spans="1:7">
      <c r="A4" s="1"/>
      <c r="B4" s="1"/>
      <c r="C4" s="1"/>
      <c r="D4" s="1"/>
      <c r="E4" s="52"/>
      <c r="F4" s="1"/>
      <c r="G4" s="52"/>
    </row>
    <row r="5" spans="1:7" ht="42" customHeight="1">
      <c r="A5" s="5" t="s">
        <v>776</v>
      </c>
      <c r="B5" s="5" t="s">
        <v>777</v>
      </c>
      <c r="C5" s="407" t="s">
        <v>778</v>
      </c>
      <c r="D5" s="407"/>
      <c r="E5" s="408"/>
      <c r="F5" s="407"/>
      <c r="G5" s="53" t="s">
        <v>72</v>
      </c>
    </row>
    <row r="6" spans="1:7">
      <c r="A6" s="2" t="s">
        <v>470</v>
      </c>
      <c r="B6" s="2" t="s">
        <v>471</v>
      </c>
      <c r="C6" s="2" t="s">
        <v>4</v>
      </c>
      <c r="D6" s="2" t="s">
        <v>58</v>
      </c>
      <c r="E6" s="54" t="s">
        <v>472</v>
      </c>
      <c r="F6" s="2" t="s">
        <v>473</v>
      </c>
      <c r="G6" s="54" t="s">
        <v>264</v>
      </c>
    </row>
    <row r="7" spans="1:7">
      <c r="A7" s="400" t="s">
        <v>474</v>
      </c>
      <c r="B7" s="400" t="s">
        <v>474</v>
      </c>
      <c r="C7" s="400" t="s">
        <v>474</v>
      </c>
      <c r="D7" s="400" t="s">
        <v>474</v>
      </c>
      <c r="E7" s="401" t="s">
        <v>474</v>
      </c>
      <c r="F7" s="400" t="s">
        <v>474</v>
      </c>
      <c r="G7" s="401" t="s">
        <v>474</v>
      </c>
    </row>
    <row r="8" spans="1:7">
      <c r="A8" s="3" t="s">
        <v>475</v>
      </c>
      <c r="B8" s="3" t="s">
        <v>779</v>
      </c>
      <c r="C8" s="3" t="s">
        <v>514</v>
      </c>
      <c r="D8" s="3" t="s">
        <v>780</v>
      </c>
      <c r="E8" s="262">
        <f>ROUND(EQUIPOS!$E$6,0)</f>
        <v>15000</v>
      </c>
      <c r="F8" s="6">
        <v>0.14705882352941177</v>
      </c>
      <c r="G8" s="35">
        <f>ROUND(E8*F8,0)</f>
        <v>2206</v>
      </c>
    </row>
    <row r="9" spans="1:7">
      <c r="A9" s="3" t="s">
        <v>475</v>
      </c>
      <c r="B9" s="3" t="s">
        <v>479</v>
      </c>
      <c r="C9" s="3" t="s">
        <v>480</v>
      </c>
      <c r="D9" s="3" t="s">
        <v>481</v>
      </c>
      <c r="E9" s="262">
        <f>ROUND($G$21,0)</f>
        <v>121146</v>
      </c>
      <c r="F9" s="7">
        <v>0.05</v>
      </c>
      <c r="G9" s="35">
        <f>ROUND(E9*F9,0)</f>
        <v>6057</v>
      </c>
    </row>
    <row r="10" spans="1:7">
      <c r="A10" s="402" t="s">
        <v>482</v>
      </c>
      <c r="B10" s="402" t="s">
        <v>482</v>
      </c>
      <c r="C10" s="402" t="s">
        <v>482</v>
      </c>
      <c r="D10" s="402" t="s">
        <v>482</v>
      </c>
      <c r="E10" s="403" t="s">
        <v>482</v>
      </c>
      <c r="F10" s="402" t="s">
        <v>482</v>
      </c>
      <c r="G10" s="55">
        <f>ROUND(SUM(G8:G9),0)</f>
        <v>8263</v>
      </c>
    </row>
    <row r="11" spans="1:7">
      <c r="A11" s="400" t="s">
        <v>483</v>
      </c>
      <c r="B11" s="400" t="s">
        <v>483</v>
      </c>
      <c r="C11" s="400" t="s">
        <v>483</v>
      </c>
      <c r="D11" s="400" t="s">
        <v>483</v>
      </c>
      <c r="E11" s="401" t="s">
        <v>483</v>
      </c>
      <c r="F11" s="400" t="s">
        <v>483</v>
      </c>
      <c r="G11" s="401" t="s">
        <v>483</v>
      </c>
    </row>
    <row r="12" spans="1:7">
      <c r="A12" s="3" t="s">
        <v>484</v>
      </c>
      <c r="B12" s="3" t="s">
        <v>781</v>
      </c>
      <c r="C12" s="3" t="s">
        <v>782</v>
      </c>
      <c r="D12" s="3" t="s">
        <v>783</v>
      </c>
      <c r="E12" s="262">
        <f>ROUND(INSUMOS!$E$6,0)</f>
        <v>41983</v>
      </c>
      <c r="F12" s="6">
        <v>9.08</v>
      </c>
      <c r="G12" s="35">
        <f>ROUND(E12*F12,0)</f>
        <v>381206</v>
      </c>
    </row>
    <row r="13" spans="1:7">
      <c r="A13" s="3" t="s">
        <v>484</v>
      </c>
      <c r="B13" s="3" t="s">
        <v>784</v>
      </c>
      <c r="C13" s="3" t="s">
        <v>785</v>
      </c>
      <c r="D13" s="3" t="s">
        <v>72</v>
      </c>
      <c r="E13" s="262">
        <f>ROUND(INSUMOS!$E$7,0)</f>
        <v>160650</v>
      </c>
      <c r="F13" s="6">
        <v>1.0900000000000001</v>
      </c>
      <c r="G13" s="35">
        <f>ROUND(E13*F13,0)</f>
        <v>175109</v>
      </c>
    </row>
    <row r="14" spans="1:7">
      <c r="A14" s="3" t="s">
        <v>484</v>
      </c>
      <c r="B14" s="3" t="s">
        <v>786</v>
      </c>
      <c r="C14" s="3" t="s">
        <v>787</v>
      </c>
      <c r="D14" s="3" t="s">
        <v>788</v>
      </c>
      <c r="E14" s="262">
        <f>ROUND(INSUMOS!$E$8,0)</f>
        <v>25</v>
      </c>
      <c r="F14" s="6">
        <v>240</v>
      </c>
      <c r="G14" s="35">
        <f>ROUND(E14*F14,0)</f>
        <v>6000</v>
      </c>
    </row>
    <row r="15" spans="1:7">
      <c r="A15" s="3" t="s">
        <v>484</v>
      </c>
      <c r="B15" s="3" t="s">
        <v>789</v>
      </c>
      <c r="C15" s="3" t="s">
        <v>790</v>
      </c>
      <c r="D15" s="3" t="s">
        <v>791</v>
      </c>
      <c r="E15" s="262">
        <f>ROUND(INSUMOS!$E$9,0)</f>
        <v>32</v>
      </c>
      <c r="F15" s="6">
        <v>2270</v>
      </c>
      <c r="G15" s="35">
        <f>ROUND(E15*F15,0)</f>
        <v>72640</v>
      </c>
    </row>
    <row r="16" spans="1:7">
      <c r="A16" s="3" t="s">
        <v>484</v>
      </c>
      <c r="B16" s="3" t="s">
        <v>479</v>
      </c>
      <c r="C16" s="3" t="s">
        <v>792</v>
      </c>
      <c r="D16" s="3" t="s">
        <v>481</v>
      </c>
      <c r="E16" s="262">
        <f>ROUND(SUM($G$12:$G$15),0)</f>
        <v>634955</v>
      </c>
      <c r="F16" s="7">
        <v>0.05</v>
      </c>
      <c r="G16" s="35">
        <f>ROUND(E16*F16,0)</f>
        <v>31748</v>
      </c>
    </row>
    <row r="17" spans="1:7">
      <c r="A17" s="402" t="s">
        <v>495</v>
      </c>
      <c r="B17" s="402" t="s">
        <v>495</v>
      </c>
      <c r="C17" s="402" t="s">
        <v>495</v>
      </c>
      <c r="D17" s="402" t="s">
        <v>495</v>
      </c>
      <c r="E17" s="403" t="s">
        <v>495</v>
      </c>
      <c r="F17" s="402" t="s">
        <v>495</v>
      </c>
      <c r="G17" s="55">
        <f>ROUND(SUM(G12:G16),0)</f>
        <v>666703</v>
      </c>
    </row>
    <row r="18" spans="1:7">
      <c r="A18" s="400" t="s">
        <v>496</v>
      </c>
      <c r="B18" s="400" t="s">
        <v>496</v>
      </c>
      <c r="C18" s="400" t="s">
        <v>496</v>
      </c>
      <c r="D18" s="400" t="s">
        <v>496</v>
      </c>
      <c r="E18" s="401" t="s">
        <v>496</v>
      </c>
      <c r="F18" s="400" t="s">
        <v>496</v>
      </c>
      <c r="G18" s="401" t="s">
        <v>496</v>
      </c>
    </row>
    <row r="19" spans="1:7">
      <c r="A19" s="3" t="s">
        <v>496</v>
      </c>
      <c r="B19" s="3" t="s">
        <v>793</v>
      </c>
      <c r="C19" s="3" t="s">
        <v>510</v>
      </c>
      <c r="D19" s="3" t="s">
        <v>478</v>
      </c>
      <c r="E19" s="262">
        <f>ROUND('MANO DE OBRA'!$E$7,0)</f>
        <v>176836</v>
      </c>
      <c r="F19" s="6">
        <v>0.14705882352941177</v>
      </c>
      <c r="G19" s="35">
        <f>ROUND(E19*F19,0)</f>
        <v>26005</v>
      </c>
    </row>
    <row r="20" spans="1:7">
      <c r="A20" s="3" t="s">
        <v>496</v>
      </c>
      <c r="B20" s="3" t="s">
        <v>794</v>
      </c>
      <c r="C20" s="3" t="s">
        <v>502</v>
      </c>
      <c r="D20" s="3" t="s">
        <v>478</v>
      </c>
      <c r="E20" s="262">
        <f>ROUND('MANO DE OBRA'!$E$8,0)</f>
        <v>107827</v>
      </c>
      <c r="F20" s="6">
        <v>0.88235294117647056</v>
      </c>
      <c r="G20" s="35">
        <f>ROUND(E20*F20,0)</f>
        <v>95141</v>
      </c>
    </row>
    <row r="21" spans="1:7">
      <c r="A21" s="402" t="s">
        <v>503</v>
      </c>
      <c r="B21" s="402" t="s">
        <v>503</v>
      </c>
      <c r="C21" s="402" t="s">
        <v>503</v>
      </c>
      <c r="D21" s="402" t="s">
        <v>503</v>
      </c>
      <c r="E21" s="403" t="s">
        <v>503</v>
      </c>
      <c r="F21" s="402" t="s">
        <v>503</v>
      </c>
      <c r="G21" s="55">
        <f>ROUND(SUM(G19:G20),0)</f>
        <v>121146</v>
      </c>
    </row>
    <row r="22" spans="1:7">
      <c r="A22" s="400" t="s">
        <v>621</v>
      </c>
      <c r="B22" s="400" t="s">
        <v>621</v>
      </c>
      <c r="C22" s="400" t="s">
        <v>621</v>
      </c>
      <c r="D22" s="400" t="s">
        <v>621</v>
      </c>
      <c r="E22" s="401" t="s">
        <v>621</v>
      </c>
      <c r="F22" s="400" t="s">
        <v>621</v>
      </c>
      <c r="G22" s="401" t="s">
        <v>621</v>
      </c>
    </row>
    <row r="23" spans="1:7">
      <c r="A23" s="3" t="s">
        <v>621</v>
      </c>
      <c r="B23" s="3" t="s">
        <v>795</v>
      </c>
      <c r="C23" s="3" t="s">
        <v>796</v>
      </c>
      <c r="D23" s="3" t="s">
        <v>797</v>
      </c>
      <c r="E23" s="262">
        <f>ROUND(TRANSPORTE!$E$6,0)</f>
        <v>1000</v>
      </c>
      <c r="F23" s="6">
        <v>141.70000000000002</v>
      </c>
      <c r="G23" s="35">
        <f>ROUND(E23*F23,0)</f>
        <v>141700</v>
      </c>
    </row>
    <row r="24" spans="1:7">
      <c r="A24" s="402" t="s">
        <v>624</v>
      </c>
      <c r="B24" s="402" t="s">
        <v>624</v>
      </c>
      <c r="C24" s="402" t="s">
        <v>624</v>
      </c>
      <c r="D24" s="402" t="s">
        <v>624</v>
      </c>
      <c r="E24" s="403" t="s">
        <v>624</v>
      </c>
      <c r="F24" s="402" t="s">
        <v>624</v>
      </c>
      <c r="G24" s="55">
        <f>ROUND(SUM(G23:G23),0)</f>
        <v>141700</v>
      </c>
    </row>
    <row r="25" spans="1:7">
      <c r="A25" s="414" t="s">
        <v>504</v>
      </c>
      <c r="B25" s="414" t="s">
        <v>504</v>
      </c>
      <c r="C25" s="414" t="s">
        <v>504</v>
      </c>
      <c r="D25" s="414" t="s">
        <v>504</v>
      </c>
      <c r="E25" s="415" t="s">
        <v>504</v>
      </c>
      <c r="F25" s="8">
        <v>943173</v>
      </c>
      <c r="G25" s="56">
        <f>ROUND(SUM(G10,G17,G21,G24),0)</f>
        <v>937812</v>
      </c>
    </row>
    <row r="26" spans="1:7">
      <c r="A26" s="1"/>
      <c r="B26" s="1"/>
      <c r="C26" s="1"/>
      <c r="D26" s="1"/>
      <c r="E26" s="52"/>
      <c r="F26" s="1"/>
      <c r="G26" s="52"/>
    </row>
    <row r="27" spans="1:7" ht="42" customHeight="1">
      <c r="A27" s="5" t="s">
        <v>559</v>
      </c>
      <c r="B27" s="5" t="s">
        <v>560</v>
      </c>
      <c r="C27" s="407" t="s">
        <v>778</v>
      </c>
      <c r="D27" s="407"/>
      <c r="E27" s="408"/>
      <c r="F27" s="407"/>
      <c r="G27" s="53" t="s">
        <v>72</v>
      </c>
    </row>
    <row r="28" spans="1:7">
      <c r="A28" s="2" t="s">
        <v>470</v>
      </c>
      <c r="B28" s="2" t="s">
        <v>471</v>
      </c>
      <c r="C28" s="2" t="s">
        <v>4</v>
      </c>
      <c r="D28" s="2" t="s">
        <v>58</v>
      </c>
      <c r="E28" s="54" t="s">
        <v>472</v>
      </c>
      <c r="F28" s="2" t="s">
        <v>473</v>
      </c>
      <c r="G28" s="54" t="s">
        <v>264</v>
      </c>
    </row>
    <row r="29" spans="1:7">
      <c r="A29" s="400" t="s">
        <v>474</v>
      </c>
      <c r="B29" s="400" t="s">
        <v>474</v>
      </c>
      <c r="C29" s="400" t="s">
        <v>474</v>
      </c>
      <c r="D29" s="400" t="s">
        <v>474</v>
      </c>
      <c r="E29" s="401" t="s">
        <v>474</v>
      </c>
      <c r="F29" s="400" t="s">
        <v>474</v>
      </c>
      <c r="G29" s="401" t="s">
        <v>474</v>
      </c>
    </row>
    <row r="30" spans="1:7">
      <c r="A30" s="3" t="s">
        <v>475</v>
      </c>
      <c r="B30" s="3" t="s">
        <v>779</v>
      </c>
      <c r="C30" s="3" t="s">
        <v>514</v>
      </c>
      <c r="D30" s="3" t="s">
        <v>780</v>
      </c>
      <c r="E30" s="262">
        <f>ROUND(EQUIPOS!$E$6,0)</f>
        <v>15000</v>
      </c>
      <c r="F30" s="6">
        <v>0.14705882352941177</v>
      </c>
      <c r="G30" s="35">
        <f>ROUND(E30*F30,0)</f>
        <v>2206</v>
      </c>
    </row>
    <row r="31" spans="1:7">
      <c r="A31" s="3" t="s">
        <v>475</v>
      </c>
      <c r="B31" s="3" t="s">
        <v>479</v>
      </c>
      <c r="C31" s="3" t="s">
        <v>480</v>
      </c>
      <c r="D31" s="3" t="s">
        <v>481</v>
      </c>
      <c r="E31" s="262">
        <f>ROUND($G$43,0)</f>
        <v>121146</v>
      </c>
      <c r="F31" s="7">
        <v>0.05</v>
      </c>
      <c r="G31" s="35">
        <f>ROUND(E31*F31,0)</f>
        <v>6057</v>
      </c>
    </row>
    <row r="32" spans="1:7">
      <c r="A32" s="402" t="s">
        <v>482</v>
      </c>
      <c r="B32" s="402" t="s">
        <v>482</v>
      </c>
      <c r="C32" s="402" t="s">
        <v>482</v>
      </c>
      <c r="D32" s="402" t="s">
        <v>482</v>
      </c>
      <c r="E32" s="403" t="s">
        <v>482</v>
      </c>
      <c r="F32" s="402" t="s">
        <v>482</v>
      </c>
      <c r="G32" s="55">
        <f>ROUND(SUM(G30:G31),0)</f>
        <v>8263</v>
      </c>
    </row>
    <row r="33" spans="1:7">
      <c r="A33" s="400" t="s">
        <v>483</v>
      </c>
      <c r="B33" s="400" t="s">
        <v>483</v>
      </c>
      <c r="C33" s="400" t="s">
        <v>483</v>
      </c>
      <c r="D33" s="400" t="s">
        <v>483</v>
      </c>
      <c r="E33" s="401" t="s">
        <v>483</v>
      </c>
      <c r="F33" s="400" t="s">
        <v>483</v>
      </c>
      <c r="G33" s="401" t="s">
        <v>483</v>
      </c>
    </row>
    <row r="34" spans="1:7">
      <c r="A34" s="3" t="s">
        <v>484</v>
      </c>
      <c r="B34" s="3" t="s">
        <v>781</v>
      </c>
      <c r="C34" s="3" t="s">
        <v>782</v>
      </c>
      <c r="D34" s="3" t="s">
        <v>783</v>
      </c>
      <c r="E34" s="262">
        <f>ROUND(INSUMOS!$E$6,0)</f>
        <v>41983</v>
      </c>
      <c r="F34" s="6">
        <v>7.28</v>
      </c>
      <c r="G34" s="35">
        <f>ROUND(E34*F34,0)</f>
        <v>305636</v>
      </c>
    </row>
    <row r="35" spans="1:7">
      <c r="A35" s="3" t="s">
        <v>484</v>
      </c>
      <c r="B35" s="3" t="s">
        <v>784</v>
      </c>
      <c r="C35" s="3" t="s">
        <v>785</v>
      </c>
      <c r="D35" s="3" t="s">
        <v>72</v>
      </c>
      <c r="E35" s="262">
        <f>ROUND(INSUMOS!$E$7,0)</f>
        <v>160650</v>
      </c>
      <c r="F35" s="6">
        <v>1.1599999999999999</v>
      </c>
      <c r="G35" s="35">
        <f>ROUND(E35*F35,0)</f>
        <v>186354</v>
      </c>
    </row>
    <row r="36" spans="1:7">
      <c r="A36" s="3" t="s">
        <v>484</v>
      </c>
      <c r="B36" s="3" t="s">
        <v>786</v>
      </c>
      <c r="C36" s="3" t="s">
        <v>787</v>
      </c>
      <c r="D36" s="3" t="s">
        <v>788</v>
      </c>
      <c r="E36" s="262">
        <f>ROUND(INSUMOS!$E$8,0)</f>
        <v>25</v>
      </c>
      <c r="F36" s="6">
        <v>220</v>
      </c>
      <c r="G36" s="35">
        <f>ROUND(E36*F36,0)</f>
        <v>5500</v>
      </c>
    </row>
    <row r="37" spans="1:7">
      <c r="A37" s="3" t="s">
        <v>484</v>
      </c>
      <c r="B37" s="3" t="s">
        <v>789</v>
      </c>
      <c r="C37" s="3" t="s">
        <v>790</v>
      </c>
      <c r="D37" s="3" t="s">
        <v>791</v>
      </c>
      <c r="E37" s="262">
        <f>ROUND(INSUMOS!$E$9,0)</f>
        <v>32</v>
      </c>
      <c r="F37" s="6">
        <v>1820</v>
      </c>
      <c r="G37" s="35">
        <f>ROUND(E37*F37,0)</f>
        <v>58240</v>
      </c>
    </row>
    <row r="38" spans="1:7">
      <c r="A38" s="3" t="s">
        <v>484</v>
      </c>
      <c r="B38" s="3" t="s">
        <v>479</v>
      </c>
      <c r="C38" s="3" t="s">
        <v>792</v>
      </c>
      <c r="D38" s="3" t="s">
        <v>481</v>
      </c>
      <c r="E38" s="262">
        <f>ROUND(SUM($G$34:$G$37),0)</f>
        <v>555730</v>
      </c>
      <c r="F38" s="7">
        <v>0.05</v>
      </c>
      <c r="G38" s="35">
        <f>ROUND(E38*F38,0)</f>
        <v>27787</v>
      </c>
    </row>
    <row r="39" spans="1:7">
      <c r="A39" s="402" t="s">
        <v>495</v>
      </c>
      <c r="B39" s="402" t="s">
        <v>495</v>
      </c>
      <c r="C39" s="402" t="s">
        <v>495</v>
      </c>
      <c r="D39" s="402" t="s">
        <v>495</v>
      </c>
      <c r="E39" s="403" t="s">
        <v>495</v>
      </c>
      <c r="F39" s="402" t="s">
        <v>495</v>
      </c>
      <c r="G39" s="55">
        <f>ROUND(SUM(G34:G38),0)</f>
        <v>583517</v>
      </c>
    </row>
    <row r="40" spans="1:7">
      <c r="A40" s="400" t="s">
        <v>496</v>
      </c>
      <c r="B40" s="400" t="s">
        <v>496</v>
      </c>
      <c r="C40" s="400" t="s">
        <v>496</v>
      </c>
      <c r="D40" s="400" t="s">
        <v>496</v>
      </c>
      <c r="E40" s="401" t="s">
        <v>496</v>
      </c>
      <c r="F40" s="400" t="s">
        <v>496</v>
      </c>
      <c r="G40" s="401" t="s">
        <v>496</v>
      </c>
    </row>
    <row r="41" spans="1:7">
      <c r="A41" s="3" t="s">
        <v>496</v>
      </c>
      <c r="B41" s="3" t="s">
        <v>793</v>
      </c>
      <c r="C41" s="3" t="s">
        <v>798</v>
      </c>
      <c r="D41" s="3" t="s">
        <v>478</v>
      </c>
      <c r="E41" s="262">
        <f>ROUND('MANO DE OBRA'!$E$7,0)</f>
        <v>176836</v>
      </c>
      <c r="F41" s="6">
        <v>0.14705882352941177</v>
      </c>
      <c r="G41" s="35">
        <f>ROUND(E41*F41,0)</f>
        <v>26005</v>
      </c>
    </row>
    <row r="42" spans="1:7">
      <c r="A42" s="3" t="s">
        <v>496</v>
      </c>
      <c r="B42" s="3" t="s">
        <v>794</v>
      </c>
      <c r="C42" s="3" t="s">
        <v>502</v>
      </c>
      <c r="D42" s="3" t="s">
        <v>478</v>
      </c>
      <c r="E42" s="262">
        <f>ROUND('MANO DE OBRA'!$E$8,0)</f>
        <v>107827</v>
      </c>
      <c r="F42" s="6">
        <v>0.88235294117647056</v>
      </c>
      <c r="G42" s="35">
        <f>ROUND(E42*F42,0)</f>
        <v>95141</v>
      </c>
    </row>
    <row r="43" spans="1:7">
      <c r="A43" s="402" t="s">
        <v>503</v>
      </c>
      <c r="B43" s="402" t="s">
        <v>503</v>
      </c>
      <c r="C43" s="402" t="s">
        <v>503</v>
      </c>
      <c r="D43" s="402" t="s">
        <v>503</v>
      </c>
      <c r="E43" s="403" t="s">
        <v>503</v>
      </c>
      <c r="F43" s="402" t="s">
        <v>503</v>
      </c>
      <c r="G43" s="55">
        <f>ROUND(SUM(G41:G42),0)</f>
        <v>121146</v>
      </c>
    </row>
    <row r="44" spans="1:7">
      <c r="A44" s="400" t="s">
        <v>621</v>
      </c>
      <c r="B44" s="400" t="s">
        <v>621</v>
      </c>
      <c r="C44" s="400" t="s">
        <v>621</v>
      </c>
      <c r="D44" s="400" t="s">
        <v>621</v>
      </c>
      <c r="E44" s="401" t="s">
        <v>621</v>
      </c>
      <c r="F44" s="400" t="s">
        <v>621</v>
      </c>
      <c r="G44" s="401" t="s">
        <v>621</v>
      </c>
    </row>
    <row r="45" spans="1:7">
      <c r="A45" s="3" t="s">
        <v>621</v>
      </c>
      <c r="B45" s="3" t="s">
        <v>795</v>
      </c>
      <c r="C45" s="3" t="s">
        <v>796</v>
      </c>
      <c r="D45" s="3" t="s">
        <v>797</v>
      </c>
      <c r="E45" s="262">
        <f>ROUND(TRANSPORTE!$E$6,0)</f>
        <v>1000</v>
      </c>
      <c r="F45" s="6">
        <v>150.79999999999998</v>
      </c>
      <c r="G45" s="35">
        <f>ROUND(E45*F45,0)</f>
        <v>150800</v>
      </c>
    </row>
    <row r="46" spans="1:7">
      <c r="A46" s="402" t="s">
        <v>624</v>
      </c>
      <c r="B46" s="402" t="s">
        <v>624</v>
      </c>
      <c r="C46" s="402" t="s">
        <v>624</v>
      </c>
      <c r="D46" s="402" t="s">
        <v>624</v>
      </c>
      <c r="E46" s="403" t="s">
        <v>624</v>
      </c>
      <c r="F46" s="402" t="s">
        <v>624</v>
      </c>
      <c r="G46" s="55">
        <f>ROUND(SUM(G45:G45),0)</f>
        <v>150800</v>
      </c>
    </row>
    <row r="47" spans="1:7">
      <c r="A47" s="414" t="s">
        <v>504</v>
      </c>
      <c r="B47" s="414" t="s">
        <v>504</v>
      </c>
      <c r="C47" s="414" t="s">
        <v>504</v>
      </c>
      <c r="D47" s="414" t="s">
        <v>504</v>
      </c>
      <c r="E47" s="415" t="s">
        <v>504</v>
      </c>
      <c r="F47" s="8">
        <v>869226</v>
      </c>
      <c r="G47" s="56">
        <f>ROUND(SUM(G32,G39,G43,G46),0)</f>
        <v>863726</v>
      </c>
    </row>
    <row r="48" spans="1:7">
      <c r="A48" s="1"/>
      <c r="B48" s="1"/>
      <c r="C48" s="1"/>
      <c r="D48" s="1"/>
      <c r="E48" s="52"/>
      <c r="F48" s="1"/>
      <c r="G48" s="52"/>
    </row>
    <row r="49" spans="1:7" ht="42" customHeight="1">
      <c r="A49" s="5" t="s">
        <v>553</v>
      </c>
      <c r="B49" s="5" t="s">
        <v>554</v>
      </c>
      <c r="C49" s="407" t="s">
        <v>778</v>
      </c>
      <c r="D49" s="407"/>
      <c r="E49" s="408"/>
      <c r="F49" s="407"/>
      <c r="G49" s="53" t="s">
        <v>72</v>
      </c>
    </row>
    <row r="50" spans="1:7">
      <c r="A50" s="2" t="s">
        <v>470</v>
      </c>
      <c r="B50" s="2" t="s">
        <v>471</v>
      </c>
      <c r="C50" s="2" t="s">
        <v>4</v>
      </c>
      <c r="D50" s="2" t="s">
        <v>58</v>
      </c>
      <c r="E50" s="54" t="s">
        <v>472</v>
      </c>
      <c r="F50" s="2" t="s">
        <v>473</v>
      </c>
      <c r="G50" s="54" t="s">
        <v>264</v>
      </c>
    </row>
    <row r="51" spans="1:7">
      <c r="A51" s="400" t="s">
        <v>474</v>
      </c>
      <c r="B51" s="400" t="s">
        <v>474</v>
      </c>
      <c r="C51" s="400" t="s">
        <v>474</v>
      </c>
      <c r="D51" s="400" t="s">
        <v>474</v>
      </c>
      <c r="E51" s="401" t="s">
        <v>474</v>
      </c>
      <c r="F51" s="400" t="s">
        <v>474</v>
      </c>
      <c r="G51" s="401" t="s">
        <v>474</v>
      </c>
    </row>
    <row r="52" spans="1:7">
      <c r="A52" s="3" t="s">
        <v>475</v>
      </c>
      <c r="B52" s="3" t="s">
        <v>779</v>
      </c>
      <c r="C52" s="3" t="s">
        <v>514</v>
      </c>
      <c r="D52" s="3" t="s">
        <v>780</v>
      </c>
      <c r="E52" s="262">
        <f>ROUND(EQUIPOS!$E$6,0)</f>
        <v>15000</v>
      </c>
      <c r="F52" s="6">
        <v>0.14705882352941177</v>
      </c>
      <c r="G52" s="35">
        <f>ROUND(E52*F52,0)</f>
        <v>2206</v>
      </c>
    </row>
    <row r="53" spans="1:7">
      <c r="A53" s="3" t="s">
        <v>475</v>
      </c>
      <c r="B53" s="3" t="s">
        <v>479</v>
      </c>
      <c r="C53" s="3" t="s">
        <v>480</v>
      </c>
      <c r="D53" s="3" t="s">
        <v>481</v>
      </c>
      <c r="E53" s="262">
        <f>ROUND($G$64,0)</f>
        <v>121146</v>
      </c>
      <c r="F53" s="7">
        <v>0.05</v>
      </c>
      <c r="G53" s="35">
        <f>ROUND(E53*F53,0)</f>
        <v>6057</v>
      </c>
    </row>
    <row r="54" spans="1:7">
      <c r="A54" s="402" t="s">
        <v>482</v>
      </c>
      <c r="B54" s="402" t="s">
        <v>482</v>
      </c>
      <c r="C54" s="402" t="s">
        <v>482</v>
      </c>
      <c r="D54" s="402" t="s">
        <v>482</v>
      </c>
      <c r="E54" s="403" t="s">
        <v>482</v>
      </c>
      <c r="F54" s="402" t="s">
        <v>482</v>
      </c>
      <c r="G54" s="55">
        <f>ROUND(SUM(G52:G53),0)</f>
        <v>8263</v>
      </c>
    </row>
    <row r="55" spans="1:7">
      <c r="A55" s="400" t="s">
        <v>483</v>
      </c>
      <c r="B55" s="400" t="s">
        <v>483</v>
      </c>
      <c r="C55" s="400" t="s">
        <v>483</v>
      </c>
      <c r="D55" s="400" t="s">
        <v>483</v>
      </c>
      <c r="E55" s="401" t="s">
        <v>483</v>
      </c>
      <c r="F55" s="400" t="s">
        <v>483</v>
      </c>
      <c r="G55" s="401" t="s">
        <v>483</v>
      </c>
    </row>
    <row r="56" spans="1:7">
      <c r="A56" s="3" t="s">
        <v>484</v>
      </c>
      <c r="B56" s="3" t="s">
        <v>781</v>
      </c>
      <c r="C56" s="3" t="s">
        <v>782</v>
      </c>
      <c r="D56" s="3" t="s">
        <v>783</v>
      </c>
      <c r="E56" s="262">
        <f>ROUND(INSUMOS!$E$6,0)</f>
        <v>41983</v>
      </c>
      <c r="F56" s="6">
        <v>9.08</v>
      </c>
      <c r="G56" s="35">
        <f>ROUND(E56*F56,0)</f>
        <v>381206</v>
      </c>
    </row>
    <row r="57" spans="1:7">
      <c r="A57" s="3" t="s">
        <v>484</v>
      </c>
      <c r="B57" s="3" t="s">
        <v>784</v>
      </c>
      <c r="C57" s="3" t="s">
        <v>785</v>
      </c>
      <c r="D57" s="3" t="s">
        <v>72</v>
      </c>
      <c r="E57" s="262">
        <f>ROUND(INSUMOS!$E$7,0)</f>
        <v>160650</v>
      </c>
      <c r="F57" s="6">
        <v>1.0900000000000001</v>
      </c>
      <c r="G57" s="35">
        <f>ROUND(E57*F57,0)</f>
        <v>175109</v>
      </c>
    </row>
    <row r="58" spans="1:7">
      <c r="A58" s="3" t="s">
        <v>484</v>
      </c>
      <c r="B58" s="3" t="s">
        <v>786</v>
      </c>
      <c r="C58" s="3" t="s">
        <v>787</v>
      </c>
      <c r="D58" s="3" t="s">
        <v>788</v>
      </c>
      <c r="E58" s="262">
        <f>ROUND(INSUMOS!$E$8,0)</f>
        <v>25</v>
      </c>
      <c r="F58" s="6">
        <v>240</v>
      </c>
      <c r="G58" s="35">
        <f>ROUND(E58*F58,0)</f>
        <v>6000</v>
      </c>
    </row>
    <row r="59" spans="1:7">
      <c r="A59" s="3" t="s">
        <v>484</v>
      </c>
      <c r="B59" s="3" t="s">
        <v>479</v>
      </c>
      <c r="C59" s="3" t="s">
        <v>792</v>
      </c>
      <c r="D59" s="3" t="s">
        <v>481</v>
      </c>
      <c r="E59" s="262">
        <f>ROUND(SUM($G$56:$G$58),0)</f>
        <v>562315</v>
      </c>
      <c r="F59" s="7">
        <v>0.05</v>
      </c>
      <c r="G59" s="35">
        <f>ROUND(E59*F59,0)</f>
        <v>28116</v>
      </c>
    </row>
    <row r="60" spans="1:7">
      <c r="A60" s="402" t="s">
        <v>495</v>
      </c>
      <c r="B60" s="402" t="s">
        <v>495</v>
      </c>
      <c r="C60" s="402" t="s">
        <v>495</v>
      </c>
      <c r="D60" s="402" t="s">
        <v>495</v>
      </c>
      <c r="E60" s="403" t="s">
        <v>495</v>
      </c>
      <c r="F60" s="402" t="s">
        <v>495</v>
      </c>
      <c r="G60" s="55">
        <f>ROUND(SUM(G56:G59),0)</f>
        <v>590431</v>
      </c>
    </row>
    <row r="61" spans="1:7">
      <c r="A61" s="400" t="s">
        <v>496</v>
      </c>
      <c r="B61" s="400" t="s">
        <v>496</v>
      </c>
      <c r="C61" s="400" t="s">
        <v>496</v>
      </c>
      <c r="D61" s="400" t="s">
        <v>496</v>
      </c>
      <c r="E61" s="401" t="s">
        <v>496</v>
      </c>
      <c r="F61" s="400" t="s">
        <v>496</v>
      </c>
      <c r="G61" s="401" t="s">
        <v>496</v>
      </c>
    </row>
    <row r="62" spans="1:7">
      <c r="A62" s="3" t="s">
        <v>496</v>
      </c>
      <c r="B62" s="3" t="s">
        <v>793</v>
      </c>
      <c r="C62" s="3" t="s">
        <v>510</v>
      </c>
      <c r="D62" s="3" t="s">
        <v>478</v>
      </c>
      <c r="E62" s="262">
        <f>ROUND('MANO DE OBRA'!$E$7,0)</f>
        <v>176836</v>
      </c>
      <c r="F62" s="6">
        <v>0.14705882352941177</v>
      </c>
      <c r="G62" s="35">
        <f>ROUND(E62*F62,0)</f>
        <v>26005</v>
      </c>
    </row>
    <row r="63" spans="1:7">
      <c r="A63" s="3" t="s">
        <v>496</v>
      </c>
      <c r="B63" s="3" t="s">
        <v>794</v>
      </c>
      <c r="C63" s="3" t="s">
        <v>502</v>
      </c>
      <c r="D63" s="3" t="s">
        <v>478</v>
      </c>
      <c r="E63" s="262">
        <f>ROUND('MANO DE OBRA'!$E$8,0)</f>
        <v>107827</v>
      </c>
      <c r="F63" s="6">
        <v>0.88235294117647056</v>
      </c>
      <c r="G63" s="35">
        <f>ROUND(E63*F63,0)</f>
        <v>95141</v>
      </c>
    </row>
    <row r="64" spans="1:7">
      <c r="A64" s="402" t="s">
        <v>503</v>
      </c>
      <c r="B64" s="402" t="s">
        <v>503</v>
      </c>
      <c r="C64" s="402" t="s">
        <v>503</v>
      </c>
      <c r="D64" s="402" t="s">
        <v>503</v>
      </c>
      <c r="E64" s="403" t="s">
        <v>503</v>
      </c>
      <c r="F64" s="402" t="s">
        <v>503</v>
      </c>
      <c r="G64" s="55">
        <f>ROUND(SUM(G62:G63),0)</f>
        <v>121146</v>
      </c>
    </row>
    <row r="65" spans="1:7">
      <c r="A65" s="400" t="s">
        <v>621</v>
      </c>
      <c r="B65" s="400" t="s">
        <v>621</v>
      </c>
      <c r="C65" s="400" t="s">
        <v>621</v>
      </c>
      <c r="D65" s="400" t="s">
        <v>621</v>
      </c>
      <c r="E65" s="401" t="s">
        <v>621</v>
      </c>
      <c r="F65" s="400" t="s">
        <v>621</v>
      </c>
      <c r="G65" s="401" t="s">
        <v>621</v>
      </c>
    </row>
    <row r="66" spans="1:7">
      <c r="A66" s="3" t="s">
        <v>621</v>
      </c>
      <c r="B66" s="3" t="s">
        <v>795</v>
      </c>
      <c r="C66" s="3" t="s">
        <v>796</v>
      </c>
      <c r="D66" s="3" t="s">
        <v>797</v>
      </c>
      <c r="E66" s="262">
        <f>ROUND(TRANSPORTE!$E$6,0)</f>
        <v>1000</v>
      </c>
      <c r="F66" s="6">
        <v>141.70000000000002</v>
      </c>
      <c r="G66" s="35">
        <f>ROUND(E66*F66,0)</f>
        <v>141700</v>
      </c>
    </row>
    <row r="67" spans="1:7">
      <c r="A67" s="402" t="s">
        <v>624</v>
      </c>
      <c r="B67" s="402" t="s">
        <v>624</v>
      </c>
      <c r="C67" s="402" t="s">
        <v>624</v>
      </c>
      <c r="D67" s="402" t="s">
        <v>624</v>
      </c>
      <c r="E67" s="403" t="s">
        <v>624</v>
      </c>
      <c r="F67" s="402" t="s">
        <v>624</v>
      </c>
      <c r="G67" s="55">
        <f>ROUND(SUM(G66:G66),0)</f>
        <v>141700</v>
      </c>
    </row>
    <row r="68" spans="1:7">
      <c r="A68" s="414" t="s">
        <v>504</v>
      </c>
      <c r="B68" s="414" t="s">
        <v>504</v>
      </c>
      <c r="C68" s="414" t="s">
        <v>504</v>
      </c>
      <c r="D68" s="414" t="s">
        <v>504</v>
      </c>
      <c r="E68" s="415" t="s">
        <v>504</v>
      </c>
      <c r="F68" s="8">
        <v>867600</v>
      </c>
      <c r="G68" s="56">
        <f>ROUND(SUM(G54,G60,G64,G67),0)</f>
        <v>861540</v>
      </c>
    </row>
    <row r="69" spans="1:7">
      <c r="A69" s="1"/>
      <c r="B69" s="1"/>
      <c r="C69" s="1"/>
      <c r="D69" s="1"/>
      <c r="E69" s="52"/>
      <c r="F69" s="1"/>
      <c r="G69" s="52"/>
    </row>
    <row r="70" spans="1:7" ht="42" customHeight="1">
      <c r="A70" s="5" t="s">
        <v>515</v>
      </c>
      <c r="B70" s="5" t="s">
        <v>799</v>
      </c>
      <c r="C70" s="407" t="s">
        <v>778</v>
      </c>
      <c r="D70" s="407"/>
      <c r="E70" s="408"/>
      <c r="F70" s="407"/>
      <c r="G70" s="53" t="s">
        <v>72</v>
      </c>
    </row>
    <row r="71" spans="1:7">
      <c r="A71" s="2" t="s">
        <v>470</v>
      </c>
      <c r="B71" s="2" t="s">
        <v>471</v>
      </c>
      <c r="C71" s="2" t="s">
        <v>4</v>
      </c>
      <c r="D71" s="2" t="s">
        <v>58</v>
      </c>
      <c r="E71" s="54" t="s">
        <v>472</v>
      </c>
      <c r="F71" s="2" t="s">
        <v>473</v>
      </c>
      <c r="G71" s="54" t="s">
        <v>264</v>
      </c>
    </row>
    <row r="72" spans="1:7">
      <c r="A72" s="400" t="s">
        <v>474</v>
      </c>
      <c r="B72" s="400" t="s">
        <v>474</v>
      </c>
      <c r="C72" s="400" t="s">
        <v>474</v>
      </c>
      <c r="D72" s="400" t="s">
        <v>474</v>
      </c>
      <c r="E72" s="401" t="s">
        <v>474</v>
      </c>
      <c r="F72" s="400" t="s">
        <v>474</v>
      </c>
      <c r="G72" s="401" t="s">
        <v>474</v>
      </c>
    </row>
    <row r="73" spans="1:7">
      <c r="A73" s="3" t="s">
        <v>475</v>
      </c>
      <c r="B73" s="3" t="s">
        <v>779</v>
      </c>
      <c r="C73" s="3" t="s">
        <v>514</v>
      </c>
      <c r="D73" s="3" t="s">
        <v>780</v>
      </c>
      <c r="E73" s="262">
        <f>ROUND(EQUIPOS!$E$6,0)</f>
        <v>15000</v>
      </c>
      <c r="F73" s="6">
        <v>0.17699115044247785</v>
      </c>
      <c r="G73" s="35">
        <f>ROUND(E73*F73,0)</f>
        <v>2655</v>
      </c>
    </row>
    <row r="74" spans="1:7">
      <c r="A74" s="3" t="s">
        <v>475</v>
      </c>
      <c r="B74" s="3" t="s">
        <v>479</v>
      </c>
      <c r="C74" s="3" t="s">
        <v>480</v>
      </c>
      <c r="D74" s="3" t="s">
        <v>481</v>
      </c>
      <c r="E74" s="262">
        <f>ROUND($G$86,0)</f>
        <v>145805</v>
      </c>
      <c r="F74" s="7">
        <v>0.05</v>
      </c>
      <c r="G74" s="35">
        <f>ROUND(E74*F74,0)</f>
        <v>7290</v>
      </c>
    </row>
    <row r="75" spans="1:7">
      <c r="A75" s="402" t="s">
        <v>482</v>
      </c>
      <c r="B75" s="402" t="s">
        <v>482</v>
      </c>
      <c r="C75" s="402" t="s">
        <v>482</v>
      </c>
      <c r="D75" s="402" t="s">
        <v>482</v>
      </c>
      <c r="E75" s="403" t="s">
        <v>482</v>
      </c>
      <c r="F75" s="402" t="s">
        <v>482</v>
      </c>
      <c r="G75" s="55">
        <f>ROUND(SUM(G73:G74),0)</f>
        <v>9945</v>
      </c>
    </row>
    <row r="76" spans="1:7">
      <c r="A76" s="400" t="s">
        <v>483</v>
      </c>
      <c r="B76" s="400" t="s">
        <v>483</v>
      </c>
      <c r="C76" s="400" t="s">
        <v>483</v>
      </c>
      <c r="D76" s="400" t="s">
        <v>483</v>
      </c>
      <c r="E76" s="401" t="s">
        <v>483</v>
      </c>
      <c r="F76" s="400" t="s">
        <v>483</v>
      </c>
      <c r="G76" s="401" t="s">
        <v>483</v>
      </c>
    </row>
    <row r="77" spans="1:7">
      <c r="A77" s="3" t="s">
        <v>484</v>
      </c>
      <c r="B77" s="3" t="s">
        <v>800</v>
      </c>
      <c r="C77" s="3" t="s">
        <v>801</v>
      </c>
      <c r="D77" s="3" t="s">
        <v>72</v>
      </c>
      <c r="E77" s="262">
        <f>ROUND(INSUMOS!$E$10,0)</f>
        <v>130900</v>
      </c>
      <c r="F77" s="6">
        <v>0.84</v>
      </c>
      <c r="G77" s="35">
        <f>ROUND(E77*F77,0)</f>
        <v>109956</v>
      </c>
    </row>
    <row r="78" spans="1:7">
      <c r="A78" s="3" t="s">
        <v>484</v>
      </c>
      <c r="B78" s="3" t="s">
        <v>784</v>
      </c>
      <c r="C78" s="3" t="s">
        <v>785</v>
      </c>
      <c r="D78" s="3" t="s">
        <v>72</v>
      </c>
      <c r="E78" s="262">
        <f>ROUND(INSUMOS!$E$7,0)</f>
        <v>160650</v>
      </c>
      <c r="F78" s="6">
        <v>0.63</v>
      </c>
      <c r="G78" s="35">
        <f>ROUND(E78*F78,0)</f>
        <v>101210</v>
      </c>
    </row>
    <row r="79" spans="1:7">
      <c r="A79" s="3" t="s">
        <v>484</v>
      </c>
      <c r="B79" s="3" t="s">
        <v>781</v>
      </c>
      <c r="C79" s="3" t="s">
        <v>782</v>
      </c>
      <c r="D79" s="3" t="s">
        <v>783</v>
      </c>
      <c r="E79" s="262">
        <f>ROUND(INSUMOS!$E$6,0)</f>
        <v>41983</v>
      </c>
      <c r="F79" s="6">
        <v>5.2</v>
      </c>
      <c r="G79" s="35">
        <f>ROUND(E79*F79,0)</f>
        <v>218312</v>
      </c>
    </row>
    <row r="80" spans="1:7">
      <c r="A80" s="3" t="s">
        <v>484</v>
      </c>
      <c r="B80" s="3" t="s">
        <v>786</v>
      </c>
      <c r="C80" s="3" t="s">
        <v>787</v>
      </c>
      <c r="D80" s="3" t="s">
        <v>788</v>
      </c>
      <c r="E80" s="262">
        <f>ROUND(INSUMOS!$E$8,0)</f>
        <v>25</v>
      </c>
      <c r="F80" s="6">
        <v>170</v>
      </c>
      <c r="G80" s="35">
        <f>ROUND(E80*F80,0)</f>
        <v>4250</v>
      </c>
    </row>
    <row r="81" spans="1:7">
      <c r="A81" s="3" t="s">
        <v>484</v>
      </c>
      <c r="B81" s="3" t="s">
        <v>479</v>
      </c>
      <c r="C81" s="3" t="s">
        <v>792</v>
      </c>
      <c r="D81" s="3" t="s">
        <v>481</v>
      </c>
      <c r="E81" s="262">
        <f>ROUND(SUM($G$77:$G$80),0)</f>
        <v>433728</v>
      </c>
      <c r="F81" s="7">
        <v>0.05</v>
      </c>
      <c r="G81" s="35">
        <f>ROUND(E81*F81,0)</f>
        <v>21686</v>
      </c>
    </row>
    <row r="82" spans="1:7">
      <c r="A82" s="402" t="s">
        <v>495</v>
      </c>
      <c r="B82" s="402" t="s">
        <v>495</v>
      </c>
      <c r="C82" s="402" t="s">
        <v>495</v>
      </c>
      <c r="D82" s="402" t="s">
        <v>495</v>
      </c>
      <c r="E82" s="403" t="s">
        <v>495</v>
      </c>
      <c r="F82" s="402" t="s">
        <v>495</v>
      </c>
      <c r="G82" s="55">
        <f>ROUND(SUM(G77:G81),0)</f>
        <v>455414</v>
      </c>
    </row>
    <row r="83" spans="1:7">
      <c r="A83" s="400" t="s">
        <v>496</v>
      </c>
      <c r="B83" s="400" t="s">
        <v>496</v>
      </c>
      <c r="C83" s="400" t="s">
        <v>496</v>
      </c>
      <c r="D83" s="400" t="s">
        <v>496</v>
      </c>
      <c r="E83" s="401" t="s">
        <v>496</v>
      </c>
      <c r="F83" s="400" t="s">
        <v>496</v>
      </c>
      <c r="G83" s="401" t="s">
        <v>496</v>
      </c>
    </row>
    <row r="84" spans="1:7">
      <c r="A84" s="3" t="s">
        <v>496</v>
      </c>
      <c r="B84" s="3" t="s">
        <v>793</v>
      </c>
      <c r="C84" s="3" t="s">
        <v>798</v>
      </c>
      <c r="D84" s="3" t="s">
        <v>478</v>
      </c>
      <c r="E84" s="262">
        <f>ROUND('MANO DE OBRA'!$E$7,0)</f>
        <v>176836</v>
      </c>
      <c r="F84" s="6">
        <v>0.17699115044247787</v>
      </c>
      <c r="G84" s="35">
        <f>ROUND(E84*F84,0)</f>
        <v>31298</v>
      </c>
    </row>
    <row r="85" spans="1:7">
      <c r="A85" s="3" t="s">
        <v>496</v>
      </c>
      <c r="B85" s="3" t="s">
        <v>794</v>
      </c>
      <c r="C85" s="3" t="s">
        <v>502</v>
      </c>
      <c r="D85" s="3" t="s">
        <v>478</v>
      </c>
      <c r="E85" s="262">
        <f>ROUND('MANO DE OBRA'!$E$8,0)</f>
        <v>107827</v>
      </c>
      <c r="F85" s="6">
        <v>1.0619469026548671</v>
      </c>
      <c r="G85" s="35">
        <f>ROUND(E85*F85,0)</f>
        <v>114507</v>
      </c>
    </row>
    <row r="86" spans="1:7">
      <c r="A86" s="402" t="s">
        <v>503</v>
      </c>
      <c r="B86" s="402" t="s">
        <v>503</v>
      </c>
      <c r="C86" s="402" t="s">
        <v>503</v>
      </c>
      <c r="D86" s="402" t="s">
        <v>503</v>
      </c>
      <c r="E86" s="403" t="s">
        <v>503</v>
      </c>
      <c r="F86" s="402" t="s">
        <v>503</v>
      </c>
      <c r="G86" s="55">
        <f>ROUND(SUM(G84:G85),0)</f>
        <v>145805</v>
      </c>
    </row>
    <row r="87" spans="1:7">
      <c r="A87" s="400" t="s">
        <v>621</v>
      </c>
      <c r="B87" s="400" t="s">
        <v>621</v>
      </c>
      <c r="C87" s="400" t="s">
        <v>621</v>
      </c>
      <c r="D87" s="400" t="s">
        <v>621</v>
      </c>
      <c r="E87" s="401" t="s">
        <v>621</v>
      </c>
      <c r="F87" s="400" t="s">
        <v>621</v>
      </c>
      <c r="G87" s="401" t="s">
        <v>621</v>
      </c>
    </row>
    <row r="88" spans="1:7">
      <c r="A88" s="3" t="s">
        <v>621</v>
      </c>
      <c r="B88" s="3" t="s">
        <v>795</v>
      </c>
      <c r="C88" s="3" t="s">
        <v>796</v>
      </c>
      <c r="D88" s="3" t="s">
        <v>797</v>
      </c>
      <c r="E88" s="262">
        <f>ROUND(TRANSPORTE!$E$6,0)</f>
        <v>1000</v>
      </c>
      <c r="F88" s="6">
        <v>109.2</v>
      </c>
      <c r="G88" s="35">
        <f>ROUND(E88*F88,0)</f>
        <v>109200</v>
      </c>
    </row>
    <row r="89" spans="1:7">
      <c r="A89" s="3" t="s">
        <v>621</v>
      </c>
      <c r="B89" s="3" t="s">
        <v>802</v>
      </c>
      <c r="C89" s="3" t="s">
        <v>803</v>
      </c>
      <c r="D89" s="3" t="s">
        <v>797</v>
      </c>
      <c r="E89" s="262">
        <f>ROUND(TRANSPORTE!$E$7,0)</f>
        <v>1000</v>
      </c>
      <c r="F89" s="6">
        <v>81.900000000000006</v>
      </c>
      <c r="G89" s="35">
        <f>ROUND(E89*F89,0)</f>
        <v>81900</v>
      </c>
    </row>
    <row r="90" spans="1:7">
      <c r="A90" s="402" t="s">
        <v>624</v>
      </c>
      <c r="B90" s="402" t="s">
        <v>624</v>
      </c>
      <c r="C90" s="402" t="s">
        <v>624</v>
      </c>
      <c r="D90" s="402" t="s">
        <v>624</v>
      </c>
      <c r="E90" s="403" t="s">
        <v>624</v>
      </c>
      <c r="F90" s="402" t="s">
        <v>624</v>
      </c>
      <c r="G90" s="55">
        <f>ROUND(SUM(G88:G89),0)</f>
        <v>191100</v>
      </c>
    </row>
    <row r="91" spans="1:7">
      <c r="A91" s="414" t="s">
        <v>504</v>
      </c>
      <c r="B91" s="414" t="s">
        <v>504</v>
      </c>
      <c r="C91" s="414" t="s">
        <v>504</v>
      </c>
      <c r="D91" s="414" t="s">
        <v>504</v>
      </c>
      <c r="E91" s="415" t="s">
        <v>504</v>
      </c>
      <c r="F91" s="8">
        <v>809555</v>
      </c>
      <c r="G91" s="56">
        <f>ROUND(SUM(G75,G82,G86,G90),0)</f>
        <v>802264</v>
      </c>
    </row>
    <row r="92" spans="1:7">
      <c r="A92" s="1"/>
      <c r="B92" s="1"/>
      <c r="C92" s="1"/>
      <c r="D92" s="1"/>
      <c r="E92" s="52"/>
      <c r="F92" s="1"/>
      <c r="G92" s="52"/>
    </row>
    <row r="93" spans="1:7" ht="42" customHeight="1">
      <c r="A93" s="5" t="s">
        <v>804</v>
      </c>
      <c r="B93" s="5" t="s">
        <v>805</v>
      </c>
      <c r="C93" s="407" t="s">
        <v>778</v>
      </c>
      <c r="D93" s="407"/>
      <c r="E93" s="408"/>
      <c r="F93" s="407"/>
      <c r="G93" s="53" t="s">
        <v>72</v>
      </c>
    </row>
    <row r="94" spans="1:7">
      <c r="A94" s="2" t="s">
        <v>470</v>
      </c>
      <c r="B94" s="2" t="s">
        <v>471</v>
      </c>
      <c r="C94" s="2" t="s">
        <v>4</v>
      </c>
      <c r="D94" s="2" t="s">
        <v>58</v>
      </c>
      <c r="E94" s="54" t="s">
        <v>472</v>
      </c>
      <c r="F94" s="2" t="s">
        <v>473</v>
      </c>
      <c r="G94" s="54" t="s">
        <v>264</v>
      </c>
    </row>
    <row r="95" spans="1:7">
      <c r="A95" s="400" t="s">
        <v>474</v>
      </c>
      <c r="B95" s="400" t="s">
        <v>474</v>
      </c>
      <c r="C95" s="400" t="s">
        <v>474</v>
      </c>
      <c r="D95" s="400" t="s">
        <v>474</v>
      </c>
      <c r="E95" s="401" t="s">
        <v>474</v>
      </c>
      <c r="F95" s="400" t="s">
        <v>474</v>
      </c>
      <c r="G95" s="401" t="s">
        <v>474</v>
      </c>
    </row>
    <row r="96" spans="1:7">
      <c r="A96" s="3" t="s">
        <v>475</v>
      </c>
      <c r="B96" s="3" t="s">
        <v>779</v>
      </c>
      <c r="C96" s="3" t="s">
        <v>514</v>
      </c>
      <c r="D96" s="3" t="s">
        <v>780</v>
      </c>
      <c r="E96" s="262">
        <f>ROUND(EQUIPOS!$E$6,0)</f>
        <v>15000</v>
      </c>
      <c r="F96" s="6">
        <v>0.17699115044247785</v>
      </c>
      <c r="G96" s="35">
        <f>ROUND(E96*F96,0)</f>
        <v>2655</v>
      </c>
    </row>
    <row r="97" spans="1:7">
      <c r="A97" s="3" t="s">
        <v>475</v>
      </c>
      <c r="B97" s="3" t="s">
        <v>479</v>
      </c>
      <c r="C97" s="3" t="s">
        <v>480</v>
      </c>
      <c r="D97" s="3" t="s">
        <v>481</v>
      </c>
      <c r="E97" s="262">
        <f>ROUND($G$109,0)</f>
        <v>145805</v>
      </c>
      <c r="F97" s="7">
        <v>0.05</v>
      </c>
      <c r="G97" s="35">
        <f>ROUND(E97*F97,0)</f>
        <v>7290</v>
      </c>
    </row>
    <row r="98" spans="1:7">
      <c r="A98" s="402" t="s">
        <v>482</v>
      </c>
      <c r="B98" s="402" t="s">
        <v>482</v>
      </c>
      <c r="C98" s="402" t="s">
        <v>482</v>
      </c>
      <c r="D98" s="402" t="s">
        <v>482</v>
      </c>
      <c r="E98" s="403" t="s">
        <v>482</v>
      </c>
      <c r="F98" s="402" t="s">
        <v>482</v>
      </c>
      <c r="G98" s="55">
        <f>ROUND(SUM(G96:G97),0)</f>
        <v>9945</v>
      </c>
    </row>
    <row r="99" spans="1:7">
      <c r="A99" s="400" t="s">
        <v>483</v>
      </c>
      <c r="B99" s="400" t="s">
        <v>483</v>
      </c>
      <c r="C99" s="400" t="s">
        <v>483</v>
      </c>
      <c r="D99" s="400" t="s">
        <v>483</v>
      </c>
      <c r="E99" s="401" t="s">
        <v>483</v>
      </c>
      <c r="F99" s="400" t="s">
        <v>483</v>
      </c>
      <c r="G99" s="401" t="s">
        <v>483</v>
      </c>
    </row>
    <row r="100" spans="1:7">
      <c r="A100" s="3" t="s">
        <v>484</v>
      </c>
      <c r="B100" s="3" t="s">
        <v>800</v>
      </c>
      <c r="C100" s="3" t="s">
        <v>801</v>
      </c>
      <c r="D100" s="3" t="s">
        <v>72</v>
      </c>
      <c r="E100" s="262">
        <f>ROUND(INSUMOS!$E$10,0)</f>
        <v>130900</v>
      </c>
      <c r="F100" s="6">
        <v>0.95</v>
      </c>
      <c r="G100" s="35">
        <f>ROUND(E100*F100,0)</f>
        <v>124355</v>
      </c>
    </row>
    <row r="101" spans="1:7">
      <c r="A101" s="3" t="s">
        <v>484</v>
      </c>
      <c r="B101" s="3" t="s">
        <v>784</v>
      </c>
      <c r="C101" s="3" t="s">
        <v>785</v>
      </c>
      <c r="D101" s="3" t="s">
        <v>72</v>
      </c>
      <c r="E101" s="262">
        <f>ROUND(INSUMOS!$E$7,0)</f>
        <v>160650</v>
      </c>
      <c r="F101" s="6">
        <v>0.48</v>
      </c>
      <c r="G101" s="35">
        <f>ROUND(E101*F101,0)</f>
        <v>77112</v>
      </c>
    </row>
    <row r="102" spans="1:7">
      <c r="A102" s="3" t="s">
        <v>484</v>
      </c>
      <c r="B102" s="3" t="s">
        <v>781</v>
      </c>
      <c r="C102" s="3" t="s">
        <v>782</v>
      </c>
      <c r="D102" s="3" t="s">
        <v>783</v>
      </c>
      <c r="E102" s="262">
        <f>ROUND(INSUMOS!$E$6,0)</f>
        <v>41983</v>
      </c>
      <c r="F102" s="6">
        <v>6</v>
      </c>
      <c r="G102" s="35">
        <f>ROUND(E102*F102,0)</f>
        <v>251898</v>
      </c>
    </row>
    <row r="103" spans="1:7">
      <c r="A103" s="3" t="s">
        <v>484</v>
      </c>
      <c r="B103" s="3" t="s">
        <v>786</v>
      </c>
      <c r="C103" s="3" t="s">
        <v>787</v>
      </c>
      <c r="D103" s="3" t="s">
        <v>788</v>
      </c>
      <c r="E103" s="262">
        <f>ROUND(INSUMOS!$E$8,0)</f>
        <v>25</v>
      </c>
      <c r="F103" s="6">
        <v>170</v>
      </c>
      <c r="G103" s="35">
        <f>ROUND(E103*F103,0)</f>
        <v>4250</v>
      </c>
    </row>
    <row r="104" spans="1:7">
      <c r="A104" s="3" t="s">
        <v>484</v>
      </c>
      <c r="B104" s="3" t="s">
        <v>479</v>
      </c>
      <c r="C104" s="3" t="s">
        <v>792</v>
      </c>
      <c r="D104" s="3" t="s">
        <v>481</v>
      </c>
      <c r="E104" s="262">
        <f>ROUND(SUM($G$100:$G$103),0)</f>
        <v>457615</v>
      </c>
      <c r="F104" s="7">
        <v>0.05</v>
      </c>
      <c r="G104" s="35">
        <f>ROUND(E104*F104,0)</f>
        <v>22881</v>
      </c>
    </row>
    <row r="105" spans="1:7">
      <c r="A105" s="402" t="s">
        <v>495</v>
      </c>
      <c r="B105" s="402" t="s">
        <v>495</v>
      </c>
      <c r="C105" s="402" t="s">
        <v>495</v>
      </c>
      <c r="D105" s="402" t="s">
        <v>495</v>
      </c>
      <c r="E105" s="403" t="s">
        <v>495</v>
      </c>
      <c r="F105" s="402" t="s">
        <v>495</v>
      </c>
      <c r="G105" s="55">
        <f>ROUND(SUM(G100:G104),0)</f>
        <v>480496</v>
      </c>
    </row>
    <row r="106" spans="1:7">
      <c r="A106" s="400" t="s">
        <v>496</v>
      </c>
      <c r="B106" s="400" t="s">
        <v>496</v>
      </c>
      <c r="C106" s="400" t="s">
        <v>496</v>
      </c>
      <c r="D106" s="400" t="s">
        <v>496</v>
      </c>
      <c r="E106" s="401" t="s">
        <v>496</v>
      </c>
      <c r="F106" s="400" t="s">
        <v>496</v>
      </c>
      <c r="G106" s="401" t="s">
        <v>496</v>
      </c>
    </row>
    <row r="107" spans="1:7">
      <c r="A107" s="3" t="s">
        <v>496</v>
      </c>
      <c r="B107" s="3" t="s">
        <v>793</v>
      </c>
      <c r="C107" s="3" t="s">
        <v>798</v>
      </c>
      <c r="D107" s="3" t="s">
        <v>478</v>
      </c>
      <c r="E107" s="262">
        <f>ROUND('MANO DE OBRA'!$E$7,0)</f>
        <v>176836</v>
      </c>
      <c r="F107" s="6">
        <v>0.17699115044247787</v>
      </c>
      <c r="G107" s="35">
        <f>ROUND(E107*F107,0)</f>
        <v>31298</v>
      </c>
    </row>
    <row r="108" spans="1:7">
      <c r="A108" s="3" t="s">
        <v>496</v>
      </c>
      <c r="B108" s="3" t="s">
        <v>794</v>
      </c>
      <c r="C108" s="3" t="s">
        <v>502</v>
      </c>
      <c r="D108" s="3" t="s">
        <v>478</v>
      </c>
      <c r="E108" s="262">
        <f>ROUND('MANO DE OBRA'!$E$8,0)</f>
        <v>107827</v>
      </c>
      <c r="F108" s="6">
        <v>1.0619469026548671</v>
      </c>
      <c r="G108" s="35">
        <f>ROUND(E108*F108,0)</f>
        <v>114507</v>
      </c>
    </row>
    <row r="109" spans="1:7">
      <c r="A109" s="402" t="s">
        <v>503</v>
      </c>
      <c r="B109" s="402" t="s">
        <v>503</v>
      </c>
      <c r="C109" s="402" t="s">
        <v>503</v>
      </c>
      <c r="D109" s="402" t="s">
        <v>503</v>
      </c>
      <c r="E109" s="403" t="s">
        <v>503</v>
      </c>
      <c r="F109" s="402" t="s">
        <v>503</v>
      </c>
      <c r="G109" s="55">
        <f>ROUND(SUM(G107:G108),0)</f>
        <v>145805</v>
      </c>
    </row>
    <row r="110" spans="1:7">
      <c r="A110" s="400" t="s">
        <v>621</v>
      </c>
      <c r="B110" s="400" t="s">
        <v>621</v>
      </c>
      <c r="C110" s="400" t="s">
        <v>621</v>
      </c>
      <c r="D110" s="400" t="s">
        <v>621</v>
      </c>
      <c r="E110" s="401" t="s">
        <v>621</v>
      </c>
      <c r="F110" s="400" t="s">
        <v>621</v>
      </c>
      <c r="G110" s="401" t="s">
        <v>621</v>
      </c>
    </row>
    <row r="111" spans="1:7">
      <c r="A111" s="3" t="s">
        <v>621</v>
      </c>
      <c r="B111" s="3" t="s">
        <v>802</v>
      </c>
      <c r="C111" s="3" t="s">
        <v>803</v>
      </c>
      <c r="D111" s="3" t="s">
        <v>797</v>
      </c>
      <c r="E111" s="262">
        <f>ROUND(TRANSPORTE!$E$7,0)</f>
        <v>1000</v>
      </c>
      <c r="F111" s="6">
        <v>123.5</v>
      </c>
      <c r="G111" s="35">
        <f>ROUND(E111*F111,0)</f>
        <v>123500</v>
      </c>
    </row>
    <row r="112" spans="1:7">
      <c r="A112" s="3" t="s">
        <v>621</v>
      </c>
      <c r="B112" s="3" t="s">
        <v>795</v>
      </c>
      <c r="C112" s="3" t="s">
        <v>796</v>
      </c>
      <c r="D112" s="3" t="s">
        <v>797</v>
      </c>
      <c r="E112" s="262">
        <f>ROUND(TRANSPORTE!$E$6,0)</f>
        <v>1000</v>
      </c>
      <c r="F112" s="6">
        <v>62.4</v>
      </c>
      <c r="G112" s="35">
        <f>ROUND(E112*F112,0)</f>
        <v>62400</v>
      </c>
    </row>
    <row r="113" spans="1:7">
      <c r="A113" s="402" t="s">
        <v>624</v>
      </c>
      <c r="B113" s="402" t="s">
        <v>624</v>
      </c>
      <c r="C113" s="402" t="s">
        <v>624</v>
      </c>
      <c r="D113" s="402" t="s">
        <v>624</v>
      </c>
      <c r="E113" s="403" t="s">
        <v>624</v>
      </c>
      <c r="F113" s="402" t="s">
        <v>624</v>
      </c>
      <c r="G113" s="55">
        <f>ROUND(SUM(G111:G112),0)</f>
        <v>185900</v>
      </c>
    </row>
    <row r="114" spans="1:7">
      <c r="A114" s="414" t="s">
        <v>504</v>
      </c>
      <c r="B114" s="414" t="s">
        <v>504</v>
      </c>
      <c r="C114" s="414" t="s">
        <v>504</v>
      </c>
      <c r="D114" s="414" t="s">
        <v>504</v>
      </c>
      <c r="E114" s="415" t="s">
        <v>504</v>
      </c>
      <c r="F114" s="8">
        <v>829437</v>
      </c>
      <c r="G114" s="56">
        <f>ROUND(SUM(G98,G105,G109,G113),0)</f>
        <v>822146</v>
      </c>
    </row>
    <row r="115" spans="1:7">
      <c r="A115" s="1"/>
      <c r="B115" s="1"/>
      <c r="C115" s="1"/>
      <c r="D115" s="1"/>
      <c r="E115" s="52"/>
      <c r="F115" s="1"/>
      <c r="G115" s="52"/>
    </row>
    <row r="116" spans="1:7" ht="42" customHeight="1">
      <c r="A116" s="5" t="s">
        <v>518</v>
      </c>
      <c r="B116" s="5" t="s">
        <v>806</v>
      </c>
      <c r="C116" s="407" t="s">
        <v>778</v>
      </c>
      <c r="D116" s="407"/>
      <c r="E116" s="408"/>
      <c r="F116" s="407"/>
      <c r="G116" s="53" t="s">
        <v>72</v>
      </c>
    </row>
    <row r="117" spans="1:7">
      <c r="A117" s="2" t="s">
        <v>470</v>
      </c>
      <c r="B117" s="2" t="s">
        <v>471</v>
      </c>
      <c r="C117" s="2" t="s">
        <v>4</v>
      </c>
      <c r="D117" s="2" t="s">
        <v>58</v>
      </c>
      <c r="E117" s="54" t="s">
        <v>472</v>
      </c>
      <c r="F117" s="2" t="s">
        <v>473</v>
      </c>
      <c r="G117" s="54" t="s">
        <v>264</v>
      </c>
    </row>
    <row r="118" spans="1:7">
      <c r="A118" s="400" t="s">
        <v>474</v>
      </c>
      <c r="B118" s="400" t="s">
        <v>474</v>
      </c>
      <c r="C118" s="400" t="s">
        <v>474</v>
      </c>
      <c r="D118" s="400" t="s">
        <v>474</v>
      </c>
      <c r="E118" s="401" t="s">
        <v>474</v>
      </c>
      <c r="F118" s="400" t="s">
        <v>474</v>
      </c>
      <c r="G118" s="401" t="s">
        <v>474</v>
      </c>
    </row>
    <row r="119" spans="1:7">
      <c r="A119" s="3" t="s">
        <v>475</v>
      </c>
      <c r="B119" s="3" t="s">
        <v>779</v>
      </c>
      <c r="C119" s="3" t="s">
        <v>514</v>
      </c>
      <c r="D119" s="3" t="s">
        <v>780</v>
      </c>
      <c r="E119" s="262">
        <f>ROUND(EQUIPOS!$E$6,0)</f>
        <v>15000</v>
      </c>
      <c r="F119" s="6">
        <v>0.17699115044247785</v>
      </c>
      <c r="G119" s="35">
        <f>ROUND(E119*F119,0)</f>
        <v>2655</v>
      </c>
    </row>
    <row r="120" spans="1:7">
      <c r="A120" s="3" t="s">
        <v>475</v>
      </c>
      <c r="B120" s="3" t="s">
        <v>479</v>
      </c>
      <c r="C120" s="3" t="s">
        <v>480</v>
      </c>
      <c r="D120" s="3" t="s">
        <v>481</v>
      </c>
      <c r="E120" s="262">
        <f>ROUND($G$132,0)</f>
        <v>145805</v>
      </c>
      <c r="F120" s="7">
        <v>0.05</v>
      </c>
      <c r="G120" s="35">
        <f>ROUND(E120*F120,0)</f>
        <v>7290</v>
      </c>
    </row>
    <row r="121" spans="1:7">
      <c r="A121" s="402" t="s">
        <v>482</v>
      </c>
      <c r="B121" s="402" t="s">
        <v>482</v>
      </c>
      <c r="C121" s="402" t="s">
        <v>482</v>
      </c>
      <c r="D121" s="402" t="s">
        <v>482</v>
      </c>
      <c r="E121" s="403" t="s">
        <v>482</v>
      </c>
      <c r="F121" s="402" t="s">
        <v>482</v>
      </c>
      <c r="G121" s="55">
        <f>ROUND(SUM(G119:G120),0)</f>
        <v>9945</v>
      </c>
    </row>
    <row r="122" spans="1:7">
      <c r="A122" s="400" t="s">
        <v>483</v>
      </c>
      <c r="B122" s="400" t="s">
        <v>483</v>
      </c>
      <c r="C122" s="400" t="s">
        <v>483</v>
      </c>
      <c r="D122" s="400" t="s">
        <v>483</v>
      </c>
      <c r="E122" s="401" t="s">
        <v>483</v>
      </c>
      <c r="F122" s="400" t="s">
        <v>483</v>
      </c>
      <c r="G122" s="401" t="s">
        <v>483</v>
      </c>
    </row>
    <row r="123" spans="1:7">
      <c r="A123" s="3" t="s">
        <v>484</v>
      </c>
      <c r="B123" s="3" t="s">
        <v>800</v>
      </c>
      <c r="C123" s="3" t="s">
        <v>801</v>
      </c>
      <c r="D123" s="3" t="s">
        <v>72</v>
      </c>
      <c r="E123" s="262">
        <f>ROUND(INSUMOS!$E$10,0)</f>
        <v>130900</v>
      </c>
      <c r="F123" s="6">
        <v>0.84</v>
      </c>
      <c r="G123" s="35">
        <f>ROUND(E123*F123,0)</f>
        <v>109956</v>
      </c>
    </row>
    <row r="124" spans="1:7">
      <c r="A124" s="3" t="s">
        <v>484</v>
      </c>
      <c r="B124" s="3" t="s">
        <v>784</v>
      </c>
      <c r="C124" s="3" t="s">
        <v>785</v>
      </c>
      <c r="D124" s="3" t="s">
        <v>72</v>
      </c>
      <c r="E124" s="262">
        <f>ROUND(INSUMOS!$E$7,0)</f>
        <v>160650</v>
      </c>
      <c r="F124" s="6">
        <v>0.56000000000000005</v>
      </c>
      <c r="G124" s="35">
        <f>ROUND(E124*F124,0)</f>
        <v>89964</v>
      </c>
    </row>
    <row r="125" spans="1:7">
      <c r="A125" s="3" t="s">
        <v>484</v>
      </c>
      <c r="B125" s="3" t="s">
        <v>781</v>
      </c>
      <c r="C125" s="3" t="s">
        <v>782</v>
      </c>
      <c r="D125" s="3" t="s">
        <v>783</v>
      </c>
      <c r="E125" s="262">
        <f>ROUND(INSUMOS!$E$6,0)</f>
        <v>41983</v>
      </c>
      <c r="F125" s="6">
        <v>7</v>
      </c>
      <c r="G125" s="35">
        <f>ROUND(E125*F125,0)</f>
        <v>293881</v>
      </c>
    </row>
    <row r="126" spans="1:7">
      <c r="A126" s="3" t="s">
        <v>484</v>
      </c>
      <c r="B126" s="3" t="s">
        <v>786</v>
      </c>
      <c r="C126" s="3" t="s">
        <v>787</v>
      </c>
      <c r="D126" s="3" t="s">
        <v>788</v>
      </c>
      <c r="E126" s="262">
        <f>ROUND(INSUMOS!$E$8,0)</f>
        <v>25</v>
      </c>
      <c r="F126" s="6">
        <v>180</v>
      </c>
      <c r="G126" s="35">
        <f>ROUND(E126*F126,0)</f>
        <v>4500</v>
      </c>
    </row>
    <row r="127" spans="1:7">
      <c r="A127" s="3" t="s">
        <v>484</v>
      </c>
      <c r="B127" s="3" t="s">
        <v>479</v>
      </c>
      <c r="C127" s="3" t="s">
        <v>792</v>
      </c>
      <c r="D127" s="3" t="s">
        <v>481</v>
      </c>
      <c r="E127" s="262">
        <f>ROUND(SUM($G$123:$G$126),0)</f>
        <v>498301</v>
      </c>
      <c r="F127" s="7">
        <v>0.05</v>
      </c>
      <c r="G127" s="35">
        <f>ROUND(E127*F127,0)</f>
        <v>24915</v>
      </c>
    </row>
    <row r="128" spans="1:7">
      <c r="A128" s="402" t="s">
        <v>495</v>
      </c>
      <c r="B128" s="402" t="s">
        <v>495</v>
      </c>
      <c r="C128" s="402" t="s">
        <v>495</v>
      </c>
      <c r="D128" s="402" t="s">
        <v>495</v>
      </c>
      <c r="E128" s="403" t="s">
        <v>495</v>
      </c>
      <c r="F128" s="402" t="s">
        <v>495</v>
      </c>
      <c r="G128" s="55">
        <f>ROUND(SUM(G123:G127),0)</f>
        <v>523216</v>
      </c>
    </row>
    <row r="129" spans="1:7">
      <c r="A129" s="400" t="s">
        <v>496</v>
      </c>
      <c r="B129" s="400" t="s">
        <v>496</v>
      </c>
      <c r="C129" s="400" t="s">
        <v>496</v>
      </c>
      <c r="D129" s="400" t="s">
        <v>496</v>
      </c>
      <c r="E129" s="401" t="s">
        <v>496</v>
      </c>
      <c r="F129" s="400" t="s">
        <v>496</v>
      </c>
      <c r="G129" s="401" t="s">
        <v>496</v>
      </c>
    </row>
    <row r="130" spans="1:7">
      <c r="A130" s="3" t="s">
        <v>496</v>
      </c>
      <c r="B130" s="3" t="s">
        <v>793</v>
      </c>
      <c r="C130" s="3" t="s">
        <v>798</v>
      </c>
      <c r="D130" s="3" t="s">
        <v>478</v>
      </c>
      <c r="E130" s="262">
        <f>ROUND('MANO DE OBRA'!$E$7,0)</f>
        <v>176836</v>
      </c>
      <c r="F130" s="6">
        <v>0.17699115044247787</v>
      </c>
      <c r="G130" s="35">
        <f>ROUND(E130*F130,0)</f>
        <v>31298</v>
      </c>
    </row>
    <row r="131" spans="1:7">
      <c r="A131" s="3" t="s">
        <v>496</v>
      </c>
      <c r="B131" s="3" t="s">
        <v>794</v>
      </c>
      <c r="C131" s="3" t="s">
        <v>502</v>
      </c>
      <c r="D131" s="3" t="s">
        <v>478</v>
      </c>
      <c r="E131" s="262">
        <f>ROUND('MANO DE OBRA'!$E$8,0)</f>
        <v>107827</v>
      </c>
      <c r="F131" s="6">
        <v>1.0619469026548671</v>
      </c>
      <c r="G131" s="35">
        <f>ROUND(E131*F131,0)</f>
        <v>114507</v>
      </c>
    </row>
    <row r="132" spans="1:7">
      <c r="A132" s="402" t="s">
        <v>503</v>
      </c>
      <c r="B132" s="402" t="s">
        <v>503</v>
      </c>
      <c r="C132" s="402" t="s">
        <v>503</v>
      </c>
      <c r="D132" s="402" t="s">
        <v>503</v>
      </c>
      <c r="E132" s="403" t="s">
        <v>503</v>
      </c>
      <c r="F132" s="402" t="s">
        <v>503</v>
      </c>
      <c r="G132" s="55">
        <f>ROUND(SUM(G130:G131),0)</f>
        <v>145805</v>
      </c>
    </row>
    <row r="133" spans="1:7">
      <c r="A133" s="400" t="s">
        <v>621</v>
      </c>
      <c r="B133" s="400" t="s">
        <v>621</v>
      </c>
      <c r="C133" s="400" t="s">
        <v>621</v>
      </c>
      <c r="D133" s="400" t="s">
        <v>621</v>
      </c>
      <c r="E133" s="401" t="s">
        <v>621</v>
      </c>
      <c r="F133" s="400" t="s">
        <v>621</v>
      </c>
      <c r="G133" s="401" t="s">
        <v>621</v>
      </c>
    </row>
    <row r="134" spans="1:7">
      <c r="A134" s="3" t="s">
        <v>621</v>
      </c>
      <c r="B134" s="3" t="s">
        <v>802</v>
      </c>
      <c r="C134" s="3" t="s">
        <v>803</v>
      </c>
      <c r="D134" s="3" t="s">
        <v>797</v>
      </c>
      <c r="E134" s="262">
        <f>ROUND(TRANSPORTE!$E$7,0)</f>
        <v>1000</v>
      </c>
      <c r="F134" s="6">
        <v>109.2</v>
      </c>
      <c r="G134" s="35">
        <f>ROUND(E134*F134,0)</f>
        <v>109200</v>
      </c>
    </row>
    <row r="135" spans="1:7">
      <c r="A135" s="3" t="s">
        <v>621</v>
      </c>
      <c r="B135" s="3" t="s">
        <v>807</v>
      </c>
      <c r="C135" s="3" t="s">
        <v>808</v>
      </c>
      <c r="D135" s="3" t="s">
        <v>797</v>
      </c>
      <c r="E135" s="262">
        <f>ROUND(TRANSPORTE!$E$8,0)</f>
        <v>1000</v>
      </c>
      <c r="F135" s="6">
        <v>72.800000000000011</v>
      </c>
      <c r="G135" s="35">
        <f>ROUND(E135*F135,0)</f>
        <v>72800</v>
      </c>
    </row>
    <row r="136" spans="1:7">
      <c r="A136" s="402" t="s">
        <v>624</v>
      </c>
      <c r="B136" s="402" t="s">
        <v>624</v>
      </c>
      <c r="C136" s="402" t="s">
        <v>624</v>
      </c>
      <c r="D136" s="402" t="s">
        <v>624</v>
      </c>
      <c r="E136" s="403" t="s">
        <v>624</v>
      </c>
      <c r="F136" s="402" t="s">
        <v>624</v>
      </c>
      <c r="G136" s="55">
        <f>ROUND(SUM(G134:G135),0)</f>
        <v>182000</v>
      </c>
    </row>
    <row r="137" spans="1:7">
      <c r="A137" s="414" t="s">
        <v>504</v>
      </c>
      <c r="B137" s="414" t="s">
        <v>504</v>
      </c>
      <c r="C137" s="414" t="s">
        <v>504</v>
      </c>
      <c r="D137" s="414" t="s">
        <v>504</v>
      </c>
      <c r="E137" s="415" t="s">
        <v>504</v>
      </c>
      <c r="F137" s="8">
        <v>868258</v>
      </c>
      <c r="G137" s="56">
        <f>ROUND(SUM(G121,G128,G132,G136),0)</f>
        <v>860966</v>
      </c>
    </row>
    <row r="138" spans="1:7">
      <c r="A138" s="1"/>
      <c r="B138" s="1"/>
      <c r="C138" s="1"/>
      <c r="D138" s="1"/>
      <c r="E138" s="52"/>
      <c r="F138" s="1"/>
      <c r="G138" s="52"/>
    </row>
    <row r="139" spans="1:7" ht="42" customHeight="1">
      <c r="A139" s="5" t="s">
        <v>809</v>
      </c>
      <c r="B139" s="5" t="s">
        <v>810</v>
      </c>
      <c r="C139" s="407" t="s">
        <v>778</v>
      </c>
      <c r="D139" s="407"/>
      <c r="E139" s="408"/>
      <c r="F139" s="407"/>
      <c r="G139" s="53" t="s">
        <v>72</v>
      </c>
    </row>
    <row r="140" spans="1:7">
      <c r="A140" s="2" t="s">
        <v>470</v>
      </c>
      <c r="B140" s="2" t="s">
        <v>471</v>
      </c>
      <c r="C140" s="2" t="s">
        <v>4</v>
      </c>
      <c r="D140" s="2" t="s">
        <v>58</v>
      </c>
      <c r="E140" s="54" t="s">
        <v>472</v>
      </c>
      <c r="F140" s="2" t="s">
        <v>473</v>
      </c>
      <c r="G140" s="54" t="s">
        <v>264</v>
      </c>
    </row>
    <row r="141" spans="1:7">
      <c r="A141" s="400" t="s">
        <v>474</v>
      </c>
      <c r="B141" s="400" t="s">
        <v>474</v>
      </c>
      <c r="C141" s="400" t="s">
        <v>474</v>
      </c>
      <c r="D141" s="400" t="s">
        <v>474</v>
      </c>
      <c r="E141" s="401" t="s">
        <v>474</v>
      </c>
      <c r="F141" s="400" t="s">
        <v>474</v>
      </c>
      <c r="G141" s="401" t="s">
        <v>474</v>
      </c>
    </row>
    <row r="142" spans="1:7">
      <c r="A142" s="3" t="s">
        <v>475</v>
      </c>
      <c r="B142" s="3" t="s">
        <v>779</v>
      </c>
      <c r="C142" s="3" t="s">
        <v>514</v>
      </c>
      <c r="D142" s="3" t="s">
        <v>780</v>
      </c>
      <c r="E142" s="262">
        <f>ROUND(EQUIPOS!$E$6,0)</f>
        <v>15000</v>
      </c>
      <c r="F142" s="6">
        <v>0.17699115044247785</v>
      </c>
      <c r="G142" s="35">
        <f>ROUND(E142*F142,0)</f>
        <v>2655</v>
      </c>
    </row>
    <row r="143" spans="1:7">
      <c r="A143" s="3" t="s">
        <v>475</v>
      </c>
      <c r="B143" s="3" t="s">
        <v>479</v>
      </c>
      <c r="C143" s="3" t="s">
        <v>480</v>
      </c>
      <c r="D143" s="3" t="s">
        <v>481</v>
      </c>
      <c r="E143" s="262">
        <f>ROUND($G$156,0)</f>
        <v>145805</v>
      </c>
      <c r="F143" s="7">
        <v>0.05</v>
      </c>
      <c r="G143" s="35">
        <f>ROUND(E143*F143,0)</f>
        <v>7290</v>
      </c>
    </row>
    <row r="144" spans="1:7">
      <c r="A144" s="402" t="s">
        <v>482</v>
      </c>
      <c r="B144" s="402" t="s">
        <v>482</v>
      </c>
      <c r="C144" s="402" t="s">
        <v>482</v>
      </c>
      <c r="D144" s="402" t="s">
        <v>482</v>
      </c>
      <c r="E144" s="403" t="s">
        <v>482</v>
      </c>
      <c r="F144" s="402" t="s">
        <v>482</v>
      </c>
      <c r="G144" s="55">
        <f>ROUND(SUM(G142:G143),0)</f>
        <v>9945</v>
      </c>
    </row>
    <row r="145" spans="1:7">
      <c r="A145" s="400" t="s">
        <v>483</v>
      </c>
      <c r="B145" s="400" t="s">
        <v>483</v>
      </c>
      <c r="C145" s="400" t="s">
        <v>483</v>
      </c>
      <c r="D145" s="400" t="s">
        <v>483</v>
      </c>
      <c r="E145" s="401" t="s">
        <v>483</v>
      </c>
      <c r="F145" s="400" t="s">
        <v>483</v>
      </c>
      <c r="G145" s="401" t="s">
        <v>483</v>
      </c>
    </row>
    <row r="146" spans="1:7">
      <c r="A146" s="3" t="s">
        <v>484</v>
      </c>
      <c r="B146" s="3" t="s">
        <v>800</v>
      </c>
      <c r="C146" s="3" t="s">
        <v>801</v>
      </c>
      <c r="D146" s="3" t="s">
        <v>72</v>
      </c>
      <c r="E146" s="262">
        <f>ROUND(INSUMOS!$E$10,0)</f>
        <v>130900</v>
      </c>
      <c r="F146" s="6">
        <v>0.84</v>
      </c>
      <c r="G146" s="35">
        <f t="shared" ref="G146:G151" si="0">ROUND(E146*F146,0)</f>
        <v>109956</v>
      </c>
    </row>
    <row r="147" spans="1:7">
      <c r="A147" s="3" t="s">
        <v>484</v>
      </c>
      <c r="B147" s="3" t="s">
        <v>784</v>
      </c>
      <c r="C147" s="3" t="s">
        <v>785</v>
      </c>
      <c r="D147" s="3" t="s">
        <v>72</v>
      </c>
      <c r="E147" s="262">
        <f>ROUND(INSUMOS!$E$7,0)</f>
        <v>160650</v>
      </c>
      <c r="F147" s="6">
        <v>0.56000000000000005</v>
      </c>
      <c r="G147" s="35">
        <f t="shared" si="0"/>
        <v>89964</v>
      </c>
    </row>
    <row r="148" spans="1:7">
      <c r="A148" s="3" t="s">
        <v>484</v>
      </c>
      <c r="B148" s="3" t="s">
        <v>781</v>
      </c>
      <c r="C148" s="3" t="s">
        <v>782</v>
      </c>
      <c r="D148" s="3" t="s">
        <v>783</v>
      </c>
      <c r="E148" s="262">
        <f>ROUND(INSUMOS!$E$6,0)</f>
        <v>41983</v>
      </c>
      <c r="F148" s="6">
        <v>7</v>
      </c>
      <c r="G148" s="35">
        <f t="shared" si="0"/>
        <v>293881</v>
      </c>
    </row>
    <row r="149" spans="1:7">
      <c r="A149" s="3" t="s">
        <v>484</v>
      </c>
      <c r="B149" s="3" t="s">
        <v>786</v>
      </c>
      <c r="C149" s="3" t="s">
        <v>787</v>
      </c>
      <c r="D149" s="3" t="s">
        <v>788</v>
      </c>
      <c r="E149" s="262">
        <f>ROUND(INSUMOS!$E$8,0)</f>
        <v>25</v>
      </c>
      <c r="F149" s="6">
        <v>180</v>
      </c>
      <c r="G149" s="35">
        <f t="shared" si="0"/>
        <v>4500</v>
      </c>
    </row>
    <row r="150" spans="1:7">
      <c r="A150" s="3" t="s">
        <v>484</v>
      </c>
      <c r="B150" s="3" t="s">
        <v>789</v>
      </c>
      <c r="C150" s="3" t="s">
        <v>790</v>
      </c>
      <c r="D150" s="3" t="s">
        <v>791</v>
      </c>
      <c r="E150" s="262">
        <f>ROUND(INSUMOS!$E$9,0)</f>
        <v>32</v>
      </c>
      <c r="F150" s="6">
        <v>1750</v>
      </c>
      <c r="G150" s="35">
        <f t="shared" si="0"/>
        <v>56000</v>
      </c>
    </row>
    <row r="151" spans="1:7">
      <c r="A151" s="3" t="s">
        <v>484</v>
      </c>
      <c r="B151" s="3" t="s">
        <v>479</v>
      </c>
      <c r="C151" s="3" t="s">
        <v>792</v>
      </c>
      <c r="D151" s="3" t="s">
        <v>481</v>
      </c>
      <c r="E151" s="262">
        <f>ROUND(SUM($G$146:$G$150),0)</f>
        <v>554301</v>
      </c>
      <c r="F151" s="7">
        <v>0.05</v>
      </c>
      <c r="G151" s="35">
        <f t="shared" si="0"/>
        <v>27715</v>
      </c>
    </row>
    <row r="152" spans="1:7">
      <c r="A152" s="402" t="s">
        <v>495</v>
      </c>
      <c r="B152" s="402" t="s">
        <v>495</v>
      </c>
      <c r="C152" s="402" t="s">
        <v>495</v>
      </c>
      <c r="D152" s="402" t="s">
        <v>495</v>
      </c>
      <c r="E152" s="403" t="s">
        <v>495</v>
      </c>
      <c r="F152" s="402" t="s">
        <v>495</v>
      </c>
      <c r="G152" s="55">
        <f>ROUND(SUM(G146:G151),0)</f>
        <v>582016</v>
      </c>
    </row>
    <row r="153" spans="1:7">
      <c r="A153" s="400" t="s">
        <v>496</v>
      </c>
      <c r="B153" s="400" t="s">
        <v>496</v>
      </c>
      <c r="C153" s="400" t="s">
        <v>496</v>
      </c>
      <c r="D153" s="400" t="s">
        <v>496</v>
      </c>
      <c r="E153" s="401" t="s">
        <v>496</v>
      </c>
      <c r="F153" s="400" t="s">
        <v>496</v>
      </c>
      <c r="G153" s="401" t="s">
        <v>496</v>
      </c>
    </row>
    <row r="154" spans="1:7">
      <c r="A154" s="3" t="s">
        <v>496</v>
      </c>
      <c r="B154" s="3" t="s">
        <v>793</v>
      </c>
      <c r="C154" s="3" t="s">
        <v>798</v>
      </c>
      <c r="D154" s="3" t="s">
        <v>478</v>
      </c>
      <c r="E154" s="262">
        <f>ROUND('MANO DE OBRA'!$E$7,0)</f>
        <v>176836</v>
      </c>
      <c r="F154" s="6">
        <v>0.17699115044247787</v>
      </c>
      <c r="G154" s="35">
        <f>ROUND(E154*F154,0)</f>
        <v>31298</v>
      </c>
    </row>
    <row r="155" spans="1:7">
      <c r="A155" s="3" t="s">
        <v>496</v>
      </c>
      <c r="B155" s="3" t="s">
        <v>794</v>
      </c>
      <c r="C155" s="3" t="s">
        <v>502</v>
      </c>
      <c r="D155" s="3" t="s">
        <v>478</v>
      </c>
      <c r="E155" s="262">
        <f>ROUND('MANO DE OBRA'!$E$8,0)</f>
        <v>107827</v>
      </c>
      <c r="F155" s="6">
        <v>1.0619469026548671</v>
      </c>
      <c r="G155" s="35">
        <f>ROUND(E155*F155,0)</f>
        <v>114507</v>
      </c>
    </row>
    <row r="156" spans="1:7">
      <c r="A156" s="402" t="s">
        <v>503</v>
      </c>
      <c r="B156" s="402" t="s">
        <v>503</v>
      </c>
      <c r="C156" s="402" t="s">
        <v>503</v>
      </c>
      <c r="D156" s="402" t="s">
        <v>503</v>
      </c>
      <c r="E156" s="403" t="s">
        <v>503</v>
      </c>
      <c r="F156" s="402" t="s">
        <v>503</v>
      </c>
      <c r="G156" s="55">
        <f>ROUND(SUM(G154:G155),0)</f>
        <v>145805</v>
      </c>
    </row>
    <row r="157" spans="1:7">
      <c r="A157" s="400" t="s">
        <v>621</v>
      </c>
      <c r="B157" s="400" t="s">
        <v>621</v>
      </c>
      <c r="C157" s="400" t="s">
        <v>621</v>
      </c>
      <c r="D157" s="400" t="s">
        <v>621</v>
      </c>
      <c r="E157" s="401" t="s">
        <v>621</v>
      </c>
      <c r="F157" s="400" t="s">
        <v>621</v>
      </c>
      <c r="G157" s="401" t="s">
        <v>621</v>
      </c>
    </row>
    <row r="158" spans="1:7">
      <c r="A158" s="3" t="s">
        <v>621</v>
      </c>
      <c r="B158" s="3" t="s">
        <v>802</v>
      </c>
      <c r="C158" s="3" t="s">
        <v>803</v>
      </c>
      <c r="D158" s="3" t="s">
        <v>797</v>
      </c>
      <c r="E158" s="262">
        <f>ROUND(TRANSPORTE!$E$7,0)</f>
        <v>1000</v>
      </c>
      <c r="F158" s="6">
        <v>109.2</v>
      </c>
      <c r="G158" s="35">
        <f>ROUND(E158*F158,0)</f>
        <v>109200</v>
      </c>
    </row>
    <row r="159" spans="1:7">
      <c r="A159" s="3" t="s">
        <v>621</v>
      </c>
      <c r="B159" s="3" t="s">
        <v>795</v>
      </c>
      <c r="C159" s="3" t="s">
        <v>796</v>
      </c>
      <c r="D159" s="3" t="s">
        <v>797</v>
      </c>
      <c r="E159" s="262">
        <f>ROUND(TRANSPORTE!$E$6,0)</f>
        <v>1000</v>
      </c>
      <c r="F159" s="6">
        <v>72.800000000000011</v>
      </c>
      <c r="G159" s="35">
        <f>ROUND(E159*F159,0)</f>
        <v>72800</v>
      </c>
    </row>
    <row r="160" spans="1:7">
      <c r="A160" s="402" t="s">
        <v>624</v>
      </c>
      <c r="B160" s="402" t="s">
        <v>624</v>
      </c>
      <c r="C160" s="402" t="s">
        <v>624</v>
      </c>
      <c r="D160" s="402" t="s">
        <v>624</v>
      </c>
      <c r="E160" s="403" t="s">
        <v>624</v>
      </c>
      <c r="F160" s="402" t="s">
        <v>624</v>
      </c>
      <c r="G160" s="55">
        <f>ROUND(SUM(G158:G159),0)</f>
        <v>182000</v>
      </c>
    </row>
    <row r="161" spans="1:7">
      <c r="A161" s="414" t="s">
        <v>504</v>
      </c>
      <c r="B161" s="414" t="s">
        <v>504</v>
      </c>
      <c r="C161" s="414" t="s">
        <v>504</v>
      </c>
      <c r="D161" s="414" t="s">
        <v>504</v>
      </c>
      <c r="E161" s="415" t="s">
        <v>504</v>
      </c>
      <c r="F161" s="8">
        <v>926519</v>
      </c>
      <c r="G161" s="56">
        <f>ROUND(SUM(G144,G152,G156,G160),0)</f>
        <v>919766</v>
      </c>
    </row>
    <row r="162" spans="1:7">
      <c r="A162" s="1"/>
      <c r="B162" s="1"/>
      <c r="C162" s="1"/>
      <c r="D162" s="1"/>
      <c r="E162" s="52"/>
      <c r="F162" s="1"/>
      <c r="G162" s="52"/>
    </row>
    <row r="163" spans="1:7" ht="42" customHeight="1">
      <c r="A163" s="5" t="s">
        <v>811</v>
      </c>
      <c r="B163" s="5" t="s">
        <v>812</v>
      </c>
      <c r="C163" s="407" t="s">
        <v>778</v>
      </c>
      <c r="D163" s="407"/>
      <c r="E163" s="408"/>
      <c r="F163" s="407"/>
      <c r="G163" s="53" t="s">
        <v>72</v>
      </c>
    </row>
    <row r="164" spans="1:7">
      <c r="A164" s="2" t="s">
        <v>470</v>
      </c>
      <c r="B164" s="2" t="s">
        <v>471</v>
      </c>
      <c r="C164" s="2" t="s">
        <v>4</v>
      </c>
      <c r="D164" s="2" t="s">
        <v>58</v>
      </c>
      <c r="E164" s="54" t="s">
        <v>472</v>
      </c>
      <c r="F164" s="2" t="s">
        <v>473</v>
      </c>
      <c r="G164" s="54" t="s">
        <v>264</v>
      </c>
    </row>
    <row r="165" spans="1:7">
      <c r="A165" s="400" t="s">
        <v>474</v>
      </c>
      <c r="B165" s="400" t="s">
        <v>474</v>
      </c>
      <c r="C165" s="400" t="s">
        <v>474</v>
      </c>
      <c r="D165" s="400" t="s">
        <v>474</v>
      </c>
      <c r="E165" s="401" t="s">
        <v>474</v>
      </c>
      <c r="F165" s="400" t="s">
        <v>474</v>
      </c>
      <c r="G165" s="401" t="s">
        <v>474</v>
      </c>
    </row>
    <row r="166" spans="1:7">
      <c r="A166" s="3" t="s">
        <v>475</v>
      </c>
      <c r="B166" s="3" t="s">
        <v>779</v>
      </c>
      <c r="C166" s="3" t="s">
        <v>514</v>
      </c>
      <c r="D166" s="3" t="s">
        <v>780</v>
      </c>
      <c r="E166" s="262">
        <f>ROUND(EQUIPOS!$E$6,0)</f>
        <v>15000</v>
      </c>
      <c r="F166" s="6">
        <v>0.17699115044247785</v>
      </c>
      <c r="G166" s="35">
        <f>ROUND(E166*F166,0)</f>
        <v>2655</v>
      </c>
    </row>
    <row r="167" spans="1:7">
      <c r="A167" s="3" t="s">
        <v>475</v>
      </c>
      <c r="B167" s="3" t="s">
        <v>479</v>
      </c>
      <c r="C167" s="3" t="s">
        <v>480</v>
      </c>
      <c r="D167" s="3" t="s">
        <v>481</v>
      </c>
      <c r="E167" s="262">
        <f>ROUND($G$179,0)</f>
        <v>145805</v>
      </c>
      <c r="F167" s="7">
        <v>0.05</v>
      </c>
      <c r="G167" s="35">
        <f>ROUND(E167*F167,0)</f>
        <v>7290</v>
      </c>
    </row>
    <row r="168" spans="1:7">
      <c r="A168" s="402" t="s">
        <v>482</v>
      </c>
      <c r="B168" s="402" t="s">
        <v>482</v>
      </c>
      <c r="C168" s="402" t="s">
        <v>482</v>
      </c>
      <c r="D168" s="402" t="s">
        <v>482</v>
      </c>
      <c r="E168" s="403" t="s">
        <v>482</v>
      </c>
      <c r="F168" s="402" t="s">
        <v>482</v>
      </c>
      <c r="G168" s="55">
        <f>ROUND(SUM(G166:G167),0)</f>
        <v>9945</v>
      </c>
    </row>
    <row r="169" spans="1:7">
      <c r="A169" s="400" t="s">
        <v>483</v>
      </c>
      <c r="B169" s="400" t="s">
        <v>483</v>
      </c>
      <c r="C169" s="400" t="s">
        <v>483</v>
      </c>
      <c r="D169" s="400" t="s">
        <v>483</v>
      </c>
      <c r="E169" s="401" t="s">
        <v>483</v>
      </c>
      <c r="F169" s="400" t="s">
        <v>483</v>
      </c>
      <c r="G169" s="401" t="s">
        <v>483</v>
      </c>
    </row>
    <row r="170" spans="1:7">
      <c r="A170" s="3" t="s">
        <v>484</v>
      </c>
      <c r="B170" s="3" t="s">
        <v>800</v>
      </c>
      <c r="C170" s="3" t="s">
        <v>801</v>
      </c>
      <c r="D170" s="3" t="s">
        <v>72</v>
      </c>
      <c r="E170" s="262">
        <f>ROUND(INSUMOS!$E$10,0)</f>
        <v>130900</v>
      </c>
      <c r="F170" s="6">
        <v>0.67</v>
      </c>
      <c r="G170" s="35">
        <f>ROUND(E170*F170,0)</f>
        <v>87703</v>
      </c>
    </row>
    <row r="171" spans="1:7">
      <c r="A171" s="3" t="s">
        <v>484</v>
      </c>
      <c r="B171" s="3" t="s">
        <v>784</v>
      </c>
      <c r="C171" s="3" t="s">
        <v>785</v>
      </c>
      <c r="D171" s="3" t="s">
        <v>72</v>
      </c>
      <c r="E171" s="262">
        <f>ROUND(INSUMOS!$E$7,0)</f>
        <v>160650</v>
      </c>
      <c r="F171" s="6">
        <v>0.67</v>
      </c>
      <c r="G171" s="35">
        <f>ROUND(E171*F171,0)</f>
        <v>107636</v>
      </c>
    </row>
    <row r="172" spans="1:7">
      <c r="A172" s="3" t="s">
        <v>484</v>
      </c>
      <c r="B172" s="3" t="s">
        <v>781</v>
      </c>
      <c r="C172" s="3" t="s">
        <v>782</v>
      </c>
      <c r="D172" s="3" t="s">
        <v>783</v>
      </c>
      <c r="E172" s="262">
        <f>ROUND(INSUMOS!$E$6,0)</f>
        <v>41983</v>
      </c>
      <c r="F172" s="6">
        <v>8.4</v>
      </c>
      <c r="G172" s="35">
        <f>ROUND(E172*F172,0)</f>
        <v>352657</v>
      </c>
    </row>
    <row r="173" spans="1:7">
      <c r="A173" s="3" t="s">
        <v>484</v>
      </c>
      <c r="B173" s="3" t="s">
        <v>786</v>
      </c>
      <c r="C173" s="3" t="s">
        <v>787</v>
      </c>
      <c r="D173" s="3" t="s">
        <v>788</v>
      </c>
      <c r="E173" s="262">
        <f>ROUND(INSUMOS!$E$8,0)</f>
        <v>25</v>
      </c>
      <c r="F173" s="6">
        <v>190</v>
      </c>
      <c r="G173" s="35">
        <f>ROUND(E173*F173,0)</f>
        <v>4750</v>
      </c>
    </row>
    <row r="174" spans="1:7">
      <c r="A174" s="3" t="s">
        <v>484</v>
      </c>
      <c r="B174" s="3" t="s">
        <v>479</v>
      </c>
      <c r="C174" s="3" t="s">
        <v>792</v>
      </c>
      <c r="D174" s="3" t="s">
        <v>481</v>
      </c>
      <c r="E174" s="262">
        <f>ROUND(SUM($G$170:$G$173),0)</f>
        <v>552746</v>
      </c>
      <c r="F174" s="7">
        <v>0.05</v>
      </c>
      <c r="G174" s="35">
        <f>ROUND(E174*F174,0)</f>
        <v>27637</v>
      </c>
    </row>
    <row r="175" spans="1:7">
      <c r="A175" s="402" t="s">
        <v>495</v>
      </c>
      <c r="B175" s="402" t="s">
        <v>495</v>
      </c>
      <c r="C175" s="402" t="s">
        <v>495</v>
      </c>
      <c r="D175" s="402" t="s">
        <v>495</v>
      </c>
      <c r="E175" s="403" t="s">
        <v>495</v>
      </c>
      <c r="F175" s="402" t="s">
        <v>495</v>
      </c>
      <c r="G175" s="55">
        <f>ROUND(SUM(G170:G174),0)</f>
        <v>580383</v>
      </c>
    </row>
    <row r="176" spans="1:7">
      <c r="A176" s="400" t="s">
        <v>496</v>
      </c>
      <c r="B176" s="400" t="s">
        <v>496</v>
      </c>
      <c r="C176" s="400" t="s">
        <v>496</v>
      </c>
      <c r="D176" s="400" t="s">
        <v>496</v>
      </c>
      <c r="E176" s="401" t="s">
        <v>496</v>
      </c>
      <c r="F176" s="400" t="s">
        <v>496</v>
      </c>
      <c r="G176" s="401" t="s">
        <v>496</v>
      </c>
    </row>
    <row r="177" spans="1:7">
      <c r="A177" s="3" t="s">
        <v>496</v>
      </c>
      <c r="B177" s="3" t="s">
        <v>793</v>
      </c>
      <c r="C177" s="3" t="s">
        <v>798</v>
      </c>
      <c r="D177" s="3" t="s">
        <v>478</v>
      </c>
      <c r="E177" s="262">
        <f>ROUND('MANO DE OBRA'!$E$7,0)</f>
        <v>176836</v>
      </c>
      <c r="F177" s="6">
        <v>0.17699115044247787</v>
      </c>
      <c r="G177" s="35">
        <f>ROUND(E177*F177,0)</f>
        <v>31298</v>
      </c>
    </row>
    <row r="178" spans="1:7">
      <c r="A178" s="3" t="s">
        <v>496</v>
      </c>
      <c r="B178" s="3" t="s">
        <v>794</v>
      </c>
      <c r="C178" s="3" t="s">
        <v>502</v>
      </c>
      <c r="D178" s="3" t="s">
        <v>478</v>
      </c>
      <c r="E178" s="262">
        <f>ROUND('MANO DE OBRA'!$E$8,0)</f>
        <v>107827</v>
      </c>
      <c r="F178" s="6">
        <v>1.0619469026548671</v>
      </c>
      <c r="G178" s="35">
        <f>ROUND(E178*F178,0)</f>
        <v>114507</v>
      </c>
    </row>
    <row r="179" spans="1:7">
      <c r="A179" s="402" t="s">
        <v>503</v>
      </c>
      <c r="B179" s="402" t="s">
        <v>503</v>
      </c>
      <c r="C179" s="402" t="s">
        <v>503</v>
      </c>
      <c r="D179" s="402" t="s">
        <v>503</v>
      </c>
      <c r="E179" s="403" t="s">
        <v>503</v>
      </c>
      <c r="F179" s="402" t="s">
        <v>503</v>
      </c>
      <c r="G179" s="55">
        <f>ROUND(SUM(G177:G178),0)</f>
        <v>145805</v>
      </c>
    </row>
    <row r="180" spans="1:7">
      <c r="A180" s="400" t="s">
        <v>621</v>
      </c>
      <c r="B180" s="400" t="s">
        <v>621</v>
      </c>
      <c r="C180" s="400" t="s">
        <v>621</v>
      </c>
      <c r="D180" s="400" t="s">
        <v>621</v>
      </c>
      <c r="E180" s="401" t="s">
        <v>621</v>
      </c>
      <c r="F180" s="400" t="s">
        <v>621</v>
      </c>
      <c r="G180" s="401" t="s">
        <v>621</v>
      </c>
    </row>
    <row r="181" spans="1:7">
      <c r="A181" s="3" t="s">
        <v>621</v>
      </c>
      <c r="B181" s="3" t="s">
        <v>802</v>
      </c>
      <c r="C181" s="3" t="s">
        <v>803</v>
      </c>
      <c r="D181" s="3" t="s">
        <v>797</v>
      </c>
      <c r="E181" s="262">
        <f>ROUND(TRANSPORTE!$E$7,0)</f>
        <v>1000</v>
      </c>
      <c r="F181" s="6">
        <v>87.100000000000009</v>
      </c>
      <c r="G181" s="35">
        <f>ROUND(E181*F181,0)</f>
        <v>87100</v>
      </c>
    </row>
    <row r="182" spans="1:7">
      <c r="A182" s="3" t="s">
        <v>621</v>
      </c>
      <c r="B182" s="3" t="s">
        <v>795</v>
      </c>
      <c r="C182" s="3" t="s">
        <v>796</v>
      </c>
      <c r="D182" s="3" t="s">
        <v>797</v>
      </c>
      <c r="E182" s="262">
        <f>ROUND(TRANSPORTE!$E$6,0)</f>
        <v>1000</v>
      </c>
      <c r="F182" s="6">
        <v>87.100000000000009</v>
      </c>
      <c r="G182" s="35">
        <f>ROUND(E182*F182,0)</f>
        <v>87100</v>
      </c>
    </row>
    <row r="183" spans="1:7">
      <c r="A183" s="402" t="s">
        <v>624</v>
      </c>
      <c r="B183" s="402" t="s">
        <v>624</v>
      </c>
      <c r="C183" s="402" t="s">
        <v>624</v>
      </c>
      <c r="D183" s="402" t="s">
        <v>624</v>
      </c>
      <c r="E183" s="403" t="s">
        <v>624</v>
      </c>
      <c r="F183" s="402" t="s">
        <v>624</v>
      </c>
      <c r="G183" s="55">
        <f>ROUND(SUM(G181:G182),0)</f>
        <v>174200</v>
      </c>
    </row>
    <row r="184" spans="1:7">
      <c r="A184" s="414" t="s">
        <v>504</v>
      </c>
      <c r="B184" s="414" t="s">
        <v>504</v>
      </c>
      <c r="C184" s="414" t="s">
        <v>504</v>
      </c>
      <c r="D184" s="414" t="s">
        <v>504</v>
      </c>
      <c r="E184" s="415" t="s">
        <v>504</v>
      </c>
      <c r="F184" s="8">
        <v>917625</v>
      </c>
      <c r="G184" s="56">
        <f>ROUND(SUM(G168,G175,G179,G183),0)</f>
        <v>910333</v>
      </c>
    </row>
  </sheetData>
  <mergeCells count="83">
    <mergeCell ref="A180:G180"/>
    <mergeCell ref="A183:F183"/>
    <mergeCell ref="A184:E184"/>
    <mergeCell ref="A168:F168"/>
    <mergeCell ref="A169:G169"/>
    <mergeCell ref="A175:F175"/>
    <mergeCell ref="A176:G176"/>
    <mergeCell ref="A179:F179"/>
    <mergeCell ref="A157:G157"/>
    <mergeCell ref="A160:F160"/>
    <mergeCell ref="A161:E161"/>
    <mergeCell ref="C163:F163"/>
    <mergeCell ref="A165:G165"/>
    <mergeCell ref="A144:F144"/>
    <mergeCell ref="A145:G145"/>
    <mergeCell ref="A152:F152"/>
    <mergeCell ref="A153:G153"/>
    <mergeCell ref="A156:F156"/>
    <mergeCell ref="A133:G133"/>
    <mergeCell ref="A136:F136"/>
    <mergeCell ref="A137:E137"/>
    <mergeCell ref="C139:F139"/>
    <mergeCell ref="A141:G141"/>
    <mergeCell ref="A121:F121"/>
    <mergeCell ref="A122:G122"/>
    <mergeCell ref="A128:F128"/>
    <mergeCell ref="A129:G129"/>
    <mergeCell ref="A132:F132"/>
    <mergeCell ref="A110:G110"/>
    <mergeCell ref="A113:F113"/>
    <mergeCell ref="A114:E114"/>
    <mergeCell ref="C116:F116"/>
    <mergeCell ref="A118:G118"/>
    <mergeCell ref="A98:F98"/>
    <mergeCell ref="A99:G99"/>
    <mergeCell ref="A105:F105"/>
    <mergeCell ref="A106:G106"/>
    <mergeCell ref="A109:F109"/>
    <mergeCell ref="A87:G87"/>
    <mergeCell ref="A90:F90"/>
    <mergeCell ref="A91:E91"/>
    <mergeCell ref="C93:F93"/>
    <mergeCell ref="A95:G95"/>
    <mergeCell ref="A75:F75"/>
    <mergeCell ref="A76:G76"/>
    <mergeCell ref="A82:F82"/>
    <mergeCell ref="A83:G83"/>
    <mergeCell ref="A86:F86"/>
    <mergeCell ref="A65:G65"/>
    <mergeCell ref="A67:F67"/>
    <mergeCell ref="A68:E68"/>
    <mergeCell ref="C70:F70"/>
    <mergeCell ref="A72:G72"/>
    <mergeCell ref="A54:F54"/>
    <mergeCell ref="A55:G55"/>
    <mergeCell ref="A60:F60"/>
    <mergeCell ref="A61:G61"/>
    <mergeCell ref="A64:F64"/>
    <mergeCell ref="A44:G44"/>
    <mergeCell ref="A46:F46"/>
    <mergeCell ref="A47:E47"/>
    <mergeCell ref="C49:F49"/>
    <mergeCell ref="A51:G51"/>
    <mergeCell ref="A32:F32"/>
    <mergeCell ref="A33:G33"/>
    <mergeCell ref="A39:F39"/>
    <mergeCell ref="A40:G40"/>
    <mergeCell ref="A43:F43"/>
    <mergeCell ref="A22:G22"/>
    <mergeCell ref="A24:F24"/>
    <mergeCell ref="A25:E25"/>
    <mergeCell ref="C27:F27"/>
    <mergeCell ref="A29:G29"/>
    <mergeCell ref="A10:F10"/>
    <mergeCell ref="A11:G11"/>
    <mergeCell ref="A17:F17"/>
    <mergeCell ref="A18:G18"/>
    <mergeCell ref="A21:F21"/>
    <mergeCell ref="A1:G1"/>
    <mergeCell ref="A2:G2"/>
    <mergeCell ref="A3:G3"/>
    <mergeCell ref="C5:F5"/>
    <mergeCell ref="A7:G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11"/>
  <sheetViews>
    <sheetView showGridLines="0" workbookViewId="0">
      <selection sqref="A1:E1"/>
    </sheetView>
  </sheetViews>
  <sheetFormatPr defaultColWidth="8.75" defaultRowHeight="14.25"/>
  <cols>
    <col min="1" max="2" width="14" customWidth="1"/>
    <col min="3" max="3" width="60" customWidth="1"/>
    <col min="4" max="4" width="12" customWidth="1"/>
    <col min="5" max="5" width="18" customWidth="1"/>
  </cols>
  <sheetData>
    <row r="1" spans="1:5" ht="24" customHeight="1">
      <c r="A1" s="389" t="s">
        <v>0</v>
      </c>
      <c r="B1" s="389" t="s">
        <v>0</v>
      </c>
      <c r="C1" s="389" t="s">
        <v>0</v>
      </c>
      <c r="D1" s="389" t="s">
        <v>0</v>
      </c>
      <c r="E1" s="389" t="s">
        <v>0</v>
      </c>
    </row>
    <row r="2" spans="1:5" ht="48" customHeight="1">
      <c r="A2" s="389" t="s">
        <v>1</v>
      </c>
      <c r="B2" s="389" t="s">
        <v>1</v>
      </c>
      <c r="C2" s="389" t="s">
        <v>1</v>
      </c>
      <c r="D2" s="389" t="s">
        <v>1</v>
      </c>
      <c r="E2" s="389" t="s">
        <v>1</v>
      </c>
    </row>
    <row r="3" spans="1:5" ht="24" customHeight="1">
      <c r="A3" s="389" t="s">
        <v>813</v>
      </c>
      <c r="B3" s="389" t="s">
        <v>813</v>
      </c>
      <c r="C3" s="389" t="s">
        <v>813</v>
      </c>
      <c r="D3" s="389" t="s">
        <v>813</v>
      </c>
      <c r="E3" s="389" t="s">
        <v>813</v>
      </c>
    </row>
    <row r="4" spans="1:5">
      <c r="A4" s="1"/>
      <c r="B4" s="1"/>
      <c r="C4" s="1"/>
      <c r="D4" s="1"/>
      <c r="E4" s="1"/>
    </row>
    <row r="5" spans="1:5">
      <c r="A5" s="2" t="s">
        <v>471</v>
      </c>
      <c r="B5" s="2" t="s">
        <v>814</v>
      </c>
      <c r="C5" s="2" t="s">
        <v>4</v>
      </c>
      <c r="D5" s="2" t="s">
        <v>58</v>
      </c>
      <c r="E5" s="2" t="s">
        <v>815</v>
      </c>
    </row>
    <row r="6" spans="1:5">
      <c r="A6" s="4" t="s">
        <v>781</v>
      </c>
      <c r="B6" s="4">
        <v>321</v>
      </c>
      <c r="C6" s="3" t="s">
        <v>782</v>
      </c>
      <c r="D6" s="4" t="s">
        <v>783</v>
      </c>
      <c r="E6" s="262">
        <v>41983</v>
      </c>
    </row>
    <row r="7" spans="1:5">
      <c r="A7" s="4" t="s">
        <v>784</v>
      </c>
      <c r="B7" s="4">
        <v>319</v>
      </c>
      <c r="C7" s="3" t="s">
        <v>785</v>
      </c>
      <c r="D7" s="4" t="s">
        <v>68</v>
      </c>
      <c r="E7" s="262">
        <v>160650</v>
      </c>
    </row>
    <row r="8" spans="1:5">
      <c r="A8" s="4" t="s">
        <v>786</v>
      </c>
      <c r="B8" s="4">
        <v>259</v>
      </c>
      <c r="C8" s="3" t="s">
        <v>787</v>
      </c>
      <c r="D8" s="4" t="s">
        <v>816</v>
      </c>
      <c r="E8" s="262">
        <v>25</v>
      </c>
    </row>
    <row r="9" spans="1:5">
      <c r="A9" s="4" t="s">
        <v>789</v>
      </c>
      <c r="B9" s="4">
        <v>334</v>
      </c>
      <c r="C9" s="3" t="s">
        <v>790</v>
      </c>
      <c r="D9" s="4" t="s">
        <v>791</v>
      </c>
      <c r="E9" s="262">
        <v>32</v>
      </c>
    </row>
    <row r="10" spans="1:5">
      <c r="A10" s="4" t="s">
        <v>800</v>
      </c>
      <c r="B10" s="4">
        <v>126</v>
      </c>
      <c r="C10" s="3" t="s">
        <v>801</v>
      </c>
      <c r="D10" s="4" t="s">
        <v>68</v>
      </c>
      <c r="E10" s="262">
        <v>130900</v>
      </c>
    </row>
    <row r="11" spans="1:5">
      <c r="A11" s="4" t="s">
        <v>485</v>
      </c>
      <c r="B11" s="4">
        <v>1</v>
      </c>
      <c r="C11" s="3" t="s">
        <v>486</v>
      </c>
      <c r="D11" s="4" t="s">
        <v>68</v>
      </c>
      <c r="E11" s="262">
        <v>8925</v>
      </c>
    </row>
    <row r="12" spans="1:5">
      <c r="A12" s="4" t="s">
        <v>487</v>
      </c>
      <c r="B12" s="4">
        <v>2</v>
      </c>
      <c r="C12" s="3" t="s">
        <v>488</v>
      </c>
      <c r="D12" s="4" t="s">
        <v>489</v>
      </c>
      <c r="E12" s="262">
        <v>130781</v>
      </c>
    </row>
    <row r="13" spans="1:5">
      <c r="A13" s="4" t="s">
        <v>490</v>
      </c>
      <c r="B13" s="4">
        <v>3</v>
      </c>
      <c r="C13" s="3" t="s">
        <v>491</v>
      </c>
      <c r="D13" s="4" t="s">
        <v>492</v>
      </c>
      <c r="E13" s="262">
        <v>6248</v>
      </c>
    </row>
    <row r="14" spans="1:5">
      <c r="A14" s="4" t="s">
        <v>493</v>
      </c>
      <c r="B14" s="4">
        <v>4</v>
      </c>
      <c r="C14" s="3" t="s">
        <v>494</v>
      </c>
      <c r="D14" s="4" t="s">
        <v>489</v>
      </c>
      <c r="E14" s="262">
        <v>66402</v>
      </c>
    </row>
    <row r="15" spans="1:5">
      <c r="A15" s="4" t="s">
        <v>505</v>
      </c>
      <c r="B15" s="4">
        <v>28</v>
      </c>
      <c r="C15" s="3" t="s">
        <v>506</v>
      </c>
      <c r="D15" s="4" t="s">
        <v>68</v>
      </c>
      <c r="E15" s="262">
        <v>5500</v>
      </c>
    </row>
    <row r="16" spans="1:5">
      <c r="A16" s="4" t="s">
        <v>507</v>
      </c>
      <c r="B16" s="4">
        <v>343</v>
      </c>
      <c r="C16" s="3" t="s">
        <v>508</v>
      </c>
      <c r="D16" s="4" t="s">
        <v>68</v>
      </c>
      <c r="E16" s="262">
        <v>3332</v>
      </c>
    </row>
    <row r="17" spans="1:5" ht="24">
      <c r="A17" s="4" t="s">
        <v>520</v>
      </c>
      <c r="B17" s="4">
        <v>23</v>
      </c>
      <c r="C17" s="3" t="s">
        <v>817</v>
      </c>
      <c r="D17" s="4" t="s">
        <v>522</v>
      </c>
      <c r="E17" s="262">
        <v>25783</v>
      </c>
    </row>
    <row r="18" spans="1:5">
      <c r="A18" s="4" t="s">
        <v>523</v>
      </c>
      <c r="B18" s="4">
        <v>29</v>
      </c>
      <c r="C18" s="3" t="s">
        <v>524</v>
      </c>
      <c r="D18" s="4" t="s">
        <v>492</v>
      </c>
      <c r="E18" s="262">
        <v>6248</v>
      </c>
    </row>
    <row r="19" spans="1:5">
      <c r="A19" s="4" t="s">
        <v>525</v>
      </c>
      <c r="B19" s="4">
        <v>26</v>
      </c>
      <c r="C19" s="3" t="s">
        <v>526</v>
      </c>
      <c r="D19" s="4" t="s">
        <v>68</v>
      </c>
      <c r="E19" s="262">
        <v>5000</v>
      </c>
    </row>
    <row r="20" spans="1:5">
      <c r="A20" s="4" t="s">
        <v>527</v>
      </c>
      <c r="B20" s="4">
        <v>27</v>
      </c>
      <c r="C20" s="3" t="s">
        <v>546</v>
      </c>
      <c r="D20" s="4" t="s">
        <v>120</v>
      </c>
      <c r="E20" s="262">
        <v>9226</v>
      </c>
    </row>
    <row r="21" spans="1:5">
      <c r="A21" s="4" t="s">
        <v>530</v>
      </c>
      <c r="B21" s="4">
        <v>32</v>
      </c>
      <c r="C21" s="3" t="s">
        <v>531</v>
      </c>
      <c r="D21" s="4" t="s">
        <v>68</v>
      </c>
      <c r="E21" s="262">
        <v>9917</v>
      </c>
    </row>
    <row r="22" spans="1:5">
      <c r="A22" s="4" t="s">
        <v>532</v>
      </c>
      <c r="B22" s="4">
        <v>30</v>
      </c>
      <c r="C22" s="3" t="s">
        <v>533</v>
      </c>
      <c r="D22" s="4" t="s">
        <v>68</v>
      </c>
      <c r="E22" s="262">
        <v>2643</v>
      </c>
    </row>
    <row r="23" spans="1:5">
      <c r="A23" s="4" t="s">
        <v>536</v>
      </c>
      <c r="B23" s="4">
        <v>437</v>
      </c>
      <c r="C23" s="3" t="s">
        <v>537</v>
      </c>
      <c r="D23" s="4" t="s">
        <v>103</v>
      </c>
      <c r="E23" s="262">
        <v>125000</v>
      </c>
    </row>
    <row r="24" spans="1:5">
      <c r="A24" s="4" t="s">
        <v>538</v>
      </c>
      <c r="B24" s="4">
        <v>25</v>
      </c>
      <c r="C24" s="3" t="s">
        <v>539</v>
      </c>
      <c r="D24" s="4" t="s">
        <v>68</v>
      </c>
      <c r="E24" s="262">
        <v>139825</v>
      </c>
    </row>
    <row r="25" spans="1:5">
      <c r="A25" s="4" t="s">
        <v>540</v>
      </c>
      <c r="B25" s="4">
        <v>260</v>
      </c>
      <c r="C25" s="3" t="s">
        <v>541</v>
      </c>
      <c r="D25" s="4" t="s">
        <v>120</v>
      </c>
      <c r="E25" s="262">
        <v>1918</v>
      </c>
    </row>
    <row r="26" spans="1:5">
      <c r="A26" s="4" t="s">
        <v>542</v>
      </c>
      <c r="B26" s="4">
        <v>261</v>
      </c>
      <c r="C26" s="3" t="s">
        <v>543</v>
      </c>
      <c r="D26" s="4" t="s">
        <v>120</v>
      </c>
      <c r="E26" s="262">
        <v>7366</v>
      </c>
    </row>
    <row r="27" spans="1:5">
      <c r="A27" s="4" t="s">
        <v>544</v>
      </c>
      <c r="B27" s="4">
        <v>35</v>
      </c>
      <c r="C27" s="3" t="s">
        <v>545</v>
      </c>
      <c r="D27" s="4" t="s">
        <v>120</v>
      </c>
      <c r="E27" s="262">
        <v>7522</v>
      </c>
    </row>
    <row r="28" spans="1:5">
      <c r="A28" s="4" t="s">
        <v>547</v>
      </c>
      <c r="B28" s="4">
        <v>34</v>
      </c>
      <c r="C28" s="3" t="s">
        <v>548</v>
      </c>
      <c r="D28" s="4" t="s">
        <v>103</v>
      </c>
      <c r="E28" s="262">
        <v>6664</v>
      </c>
    </row>
    <row r="29" spans="1:5">
      <c r="A29" s="4" t="s">
        <v>549</v>
      </c>
      <c r="B29" s="4">
        <v>36</v>
      </c>
      <c r="C29" s="3" t="s">
        <v>550</v>
      </c>
      <c r="D29" s="4" t="s">
        <v>103</v>
      </c>
      <c r="E29" s="262">
        <v>211868</v>
      </c>
    </row>
    <row r="30" spans="1:5">
      <c r="A30" s="4" t="s">
        <v>551</v>
      </c>
      <c r="B30" s="4">
        <v>320</v>
      </c>
      <c r="C30" s="3" t="s">
        <v>552</v>
      </c>
      <c r="D30" s="4" t="s">
        <v>103</v>
      </c>
      <c r="E30" s="262">
        <v>4046</v>
      </c>
    </row>
    <row r="31" spans="1:5">
      <c r="A31" s="4" t="s">
        <v>555</v>
      </c>
      <c r="B31" s="4">
        <v>10</v>
      </c>
      <c r="C31" s="3" t="s">
        <v>556</v>
      </c>
      <c r="D31" s="4" t="s">
        <v>103</v>
      </c>
      <c r="E31" s="262">
        <v>2202</v>
      </c>
    </row>
    <row r="32" spans="1:5">
      <c r="A32" s="4" t="s">
        <v>557</v>
      </c>
      <c r="B32" s="4">
        <v>37</v>
      </c>
      <c r="C32" s="3" t="s">
        <v>558</v>
      </c>
      <c r="D32" s="4" t="s">
        <v>68</v>
      </c>
      <c r="E32" s="262">
        <v>10591</v>
      </c>
    </row>
    <row r="33" spans="1:5">
      <c r="A33" s="4" t="s">
        <v>561</v>
      </c>
      <c r="B33" s="4">
        <v>39</v>
      </c>
      <c r="C33" s="3" t="s">
        <v>562</v>
      </c>
      <c r="D33" s="4" t="s">
        <v>103</v>
      </c>
      <c r="E33" s="262">
        <v>4165</v>
      </c>
    </row>
    <row r="34" spans="1:5">
      <c r="A34" s="4" t="s">
        <v>771</v>
      </c>
      <c r="B34" s="4">
        <v>435</v>
      </c>
      <c r="C34" s="3" t="s">
        <v>772</v>
      </c>
      <c r="D34" s="4" t="s">
        <v>120</v>
      </c>
      <c r="E34" s="262">
        <v>11305</v>
      </c>
    </row>
    <row r="35" spans="1:5">
      <c r="A35" s="4" t="s">
        <v>567</v>
      </c>
      <c r="B35" s="4">
        <v>269</v>
      </c>
      <c r="C35" s="3" t="s">
        <v>568</v>
      </c>
      <c r="D35" s="4" t="s">
        <v>120</v>
      </c>
      <c r="E35" s="262">
        <v>14732</v>
      </c>
    </row>
    <row r="36" spans="1:5">
      <c r="A36" s="4" t="s">
        <v>569</v>
      </c>
      <c r="B36" s="4">
        <v>288</v>
      </c>
      <c r="C36" s="3" t="s">
        <v>29</v>
      </c>
      <c r="D36" s="4" t="s">
        <v>489</v>
      </c>
      <c r="E36" s="262">
        <v>101031</v>
      </c>
    </row>
    <row r="37" spans="1:5">
      <c r="A37" s="4" t="s">
        <v>570</v>
      </c>
      <c r="B37" s="4">
        <v>301</v>
      </c>
      <c r="C37" s="3" t="s">
        <v>571</v>
      </c>
      <c r="D37" s="4" t="s">
        <v>103</v>
      </c>
      <c r="E37" s="262">
        <v>2261</v>
      </c>
    </row>
    <row r="38" spans="1:5">
      <c r="A38" s="4" t="s">
        <v>572</v>
      </c>
      <c r="B38" s="4">
        <v>283</v>
      </c>
      <c r="C38" s="3" t="s">
        <v>573</v>
      </c>
      <c r="D38" s="4" t="s">
        <v>489</v>
      </c>
      <c r="E38" s="262">
        <v>89131</v>
      </c>
    </row>
    <row r="39" spans="1:5">
      <c r="A39" s="4" t="s">
        <v>580</v>
      </c>
      <c r="B39" s="4">
        <v>442</v>
      </c>
      <c r="C39" s="3" t="s">
        <v>581</v>
      </c>
      <c r="D39" s="4" t="s">
        <v>68</v>
      </c>
      <c r="E39" s="262">
        <v>29857</v>
      </c>
    </row>
    <row r="40" spans="1:5">
      <c r="A40" s="4" t="s">
        <v>582</v>
      </c>
      <c r="B40" s="4">
        <v>443</v>
      </c>
      <c r="C40" s="3" t="s">
        <v>583</v>
      </c>
      <c r="D40" s="4" t="s">
        <v>68</v>
      </c>
      <c r="E40" s="262">
        <v>8034</v>
      </c>
    </row>
    <row r="41" spans="1:5" ht="24">
      <c r="A41" s="4" t="s">
        <v>584</v>
      </c>
      <c r="B41" s="4">
        <v>280</v>
      </c>
      <c r="C41" s="3" t="s">
        <v>585</v>
      </c>
      <c r="D41" s="4" t="s">
        <v>65</v>
      </c>
      <c r="E41" s="262">
        <v>290127</v>
      </c>
    </row>
    <row r="42" spans="1:5">
      <c r="A42" s="4" t="s">
        <v>587</v>
      </c>
      <c r="B42" s="4">
        <v>382</v>
      </c>
      <c r="C42" s="3" t="s">
        <v>588</v>
      </c>
      <c r="D42" s="4" t="s">
        <v>489</v>
      </c>
      <c r="E42" s="262">
        <v>91980</v>
      </c>
    </row>
    <row r="43" spans="1:5">
      <c r="A43" s="4" t="s">
        <v>591</v>
      </c>
      <c r="B43" s="4">
        <v>187</v>
      </c>
      <c r="C43" s="3" t="s">
        <v>592</v>
      </c>
      <c r="D43" s="4" t="s">
        <v>103</v>
      </c>
      <c r="E43" s="262">
        <v>2717</v>
      </c>
    </row>
    <row r="44" spans="1:5">
      <c r="A44" s="4" t="s">
        <v>593</v>
      </c>
      <c r="B44" s="4">
        <v>412</v>
      </c>
      <c r="C44" s="3" t="s">
        <v>594</v>
      </c>
      <c r="D44" s="4" t="s">
        <v>68</v>
      </c>
      <c r="E44" s="262">
        <v>1733</v>
      </c>
    </row>
    <row r="45" spans="1:5">
      <c r="A45" s="4" t="s">
        <v>595</v>
      </c>
      <c r="B45" s="4">
        <v>183</v>
      </c>
      <c r="C45" s="3" t="s">
        <v>596</v>
      </c>
      <c r="D45" s="4" t="s">
        <v>103</v>
      </c>
      <c r="E45" s="262">
        <v>34177</v>
      </c>
    </row>
    <row r="46" spans="1:5">
      <c r="A46" s="4" t="s">
        <v>597</v>
      </c>
      <c r="B46" s="4">
        <v>413</v>
      </c>
      <c r="C46" s="3" t="s">
        <v>598</v>
      </c>
      <c r="D46" s="4" t="s">
        <v>68</v>
      </c>
      <c r="E46" s="262">
        <v>3708</v>
      </c>
    </row>
    <row r="47" spans="1:5">
      <c r="A47" s="4" t="s">
        <v>599</v>
      </c>
      <c r="B47" s="4">
        <v>414</v>
      </c>
      <c r="C47" s="3" t="s">
        <v>600</v>
      </c>
      <c r="D47" s="4" t="s">
        <v>103</v>
      </c>
      <c r="E47" s="262">
        <v>764</v>
      </c>
    </row>
    <row r="48" spans="1:5">
      <c r="A48" s="4" t="s">
        <v>601</v>
      </c>
      <c r="B48" s="4">
        <v>415</v>
      </c>
      <c r="C48" s="3" t="s">
        <v>602</v>
      </c>
      <c r="D48" s="4" t="s">
        <v>103</v>
      </c>
      <c r="E48" s="262">
        <v>900</v>
      </c>
    </row>
    <row r="49" spans="1:5">
      <c r="A49" s="4" t="s">
        <v>603</v>
      </c>
      <c r="B49" s="4">
        <v>416</v>
      </c>
      <c r="C49" s="3" t="s">
        <v>604</v>
      </c>
      <c r="D49" s="4" t="s">
        <v>103</v>
      </c>
      <c r="E49" s="262">
        <v>2200</v>
      </c>
    </row>
    <row r="50" spans="1:5">
      <c r="A50" s="4" t="s">
        <v>605</v>
      </c>
      <c r="B50" s="4">
        <v>417</v>
      </c>
      <c r="C50" s="3" t="s">
        <v>606</v>
      </c>
      <c r="D50" s="4" t="s">
        <v>103</v>
      </c>
      <c r="E50" s="262">
        <v>1200</v>
      </c>
    </row>
    <row r="51" spans="1:5">
      <c r="A51" s="4" t="s">
        <v>607</v>
      </c>
      <c r="B51" s="4">
        <v>418</v>
      </c>
      <c r="C51" s="3" t="s">
        <v>608</v>
      </c>
      <c r="D51" s="4" t="s">
        <v>103</v>
      </c>
      <c r="E51" s="262">
        <v>1200</v>
      </c>
    </row>
    <row r="52" spans="1:5">
      <c r="A52" s="4" t="s">
        <v>609</v>
      </c>
      <c r="B52" s="4">
        <v>419</v>
      </c>
      <c r="C52" s="3" t="s">
        <v>610</v>
      </c>
      <c r="D52" s="4" t="s">
        <v>103</v>
      </c>
      <c r="E52" s="262">
        <v>2100</v>
      </c>
    </row>
    <row r="53" spans="1:5">
      <c r="A53" s="4" t="s">
        <v>611</v>
      </c>
      <c r="B53" s="4">
        <v>420</v>
      </c>
      <c r="C53" s="3" t="s">
        <v>612</v>
      </c>
      <c r="D53" s="4" t="s">
        <v>103</v>
      </c>
      <c r="E53" s="262">
        <v>22295</v>
      </c>
    </row>
    <row r="54" spans="1:5">
      <c r="A54" s="4" t="s">
        <v>613</v>
      </c>
      <c r="B54" s="4">
        <v>421</v>
      </c>
      <c r="C54" s="3" t="s">
        <v>614</v>
      </c>
      <c r="D54" s="4" t="s">
        <v>103</v>
      </c>
      <c r="E54" s="262">
        <v>33866</v>
      </c>
    </row>
    <row r="55" spans="1:5">
      <c r="A55" s="4" t="s">
        <v>615</v>
      </c>
      <c r="B55" s="4">
        <v>422</v>
      </c>
      <c r="C55" s="3" t="s">
        <v>616</v>
      </c>
      <c r="D55" s="4" t="s">
        <v>103</v>
      </c>
      <c r="E55" s="262">
        <v>9225</v>
      </c>
    </row>
    <row r="56" spans="1:5">
      <c r="A56" s="4" t="s">
        <v>625</v>
      </c>
      <c r="B56" s="4">
        <v>172</v>
      </c>
      <c r="C56" s="3" t="s">
        <v>626</v>
      </c>
      <c r="D56" s="4" t="s">
        <v>68</v>
      </c>
      <c r="E56" s="262">
        <v>4378</v>
      </c>
    </row>
    <row r="57" spans="1:5">
      <c r="A57" s="4" t="s">
        <v>627</v>
      </c>
      <c r="B57" s="4">
        <v>424</v>
      </c>
      <c r="C57" s="3" t="s">
        <v>628</v>
      </c>
      <c r="D57" s="4" t="s">
        <v>103</v>
      </c>
      <c r="E57" s="262">
        <v>2990</v>
      </c>
    </row>
    <row r="58" spans="1:5">
      <c r="A58" s="4" t="s">
        <v>629</v>
      </c>
      <c r="B58" s="4">
        <v>425</v>
      </c>
      <c r="C58" s="3" t="s">
        <v>630</v>
      </c>
      <c r="D58" s="4" t="s">
        <v>103</v>
      </c>
      <c r="E58" s="262">
        <v>14170</v>
      </c>
    </row>
    <row r="59" spans="1:5">
      <c r="A59" s="4" t="s">
        <v>631</v>
      </c>
      <c r="B59" s="4">
        <v>423</v>
      </c>
      <c r="C59" s="3" t="s">
        <v>632</v>
      </c>
      <c r="D59" s="4" t="s">
        <v>103</v>
      </c>
      <c r="E59" s="262">
        <v>28090</v>
      </c>
    </row>
    <row r="60" spans="1:5">
      <c r="A60" s="4" t="s">
        <v>641</v>
      </c>
      <c r="B60" s="4">
        <v>426</v>
      </c>
      <c r="C60" s="3" t="s">
        <v>642</v>
      </c>
      <c r="D60" s="4" t="s">
        <v>103</v>
      </c>
      <c r="E60" s="262">
        <v>8450</v>
      </c>
    </row>
    <row r="61" spans="1:5">
      <c r="A61" s="4" t="s">
        <v>643</v>
      </c>
      <c r="B61" s="4">
        <v>427</v>
      </c>
      <c r="C61" s="3" t="s">
        <v>644</v>
      </c>
      <c r="D61" s="4" t="s">
        <v>103</v>
      </c>
      <c r="E61" s="262">
        <v>5499</v>
      </c>
    </row>
    <row r="62" spans="1:5">
      <c r="A62" s="4" t="s">
        <v>645</v>
      </c>
      <c r="B62" s="4">
        <v>430</v>
      </c>
      <c r="C62" s="3" t="s">
        <v>646</v>
      </c>
      <c r="D62" s="4" t="s">
        <v>103</v>
      </c>
      <c r="E62" s="262">
        <v>5800</v>
      </c>
    </row>
    <row r="63" spans="1:5">
      <c r="A63" s="4" t="s">
        <v>647</v>
      </c>
      <c r="B63" s="4">
        <v>431</v>
      </c>
      <c r="C63" s="3" t="s">
        <v>648</v>
      </c>
      <c r="D63" s="4" t="s">
        <v>103</v>
      </c>
      <c r="E63" s="262">
        <v>2900</v>
      </c>
    </row>
    <row r="64" spans="1:5">
      <c r="A64" s="4" t="s">
        <v>649</v>
      </c>
      <c r="B64" s="4">
        <v>429</v>
      </c>
      <c r="C64" s="3" t="s">
        <v>650</v>
      </c>
      <c r="D64" s="4" t="s">
        <v>103</v>
      </c>
      <c r="E64" s="262">
        <v>3250</v>
      </c>
    </row>
    <row r="65" spans="1:5">
      <c r="A65" s="4" t="s">
        <v>651</v>
      </c>
      <c r="B65" s="4">
        <v>432</v>
      </c>
      <c r="C65" s="3" t="s">
        <v>652</v>
      </c>
      <c r="D65" s="4" t="s">
        <v>103</v>
      </c>
      <c r="E65" s="262">
        <v>14170</v>
      </c>
    </row>
    <row r="66" spans="1:5">
      <c r="A66" s="4" t="s">
        <v>653</v>
      </c>
      <c r="B66" s="4">
        <v>433</v>
      </c>
      <c r="C66" s="3" t="s">
        <v>654</v>
      </c>
      <c r="D66" s="4" t="s">
        <v>103</v>
      </c>
      <c r="E66" s="262">
        <v>7540</v>
      </c>
    </row>
    <row r="67" spans="1:5">
      <c r="A67" s="4" t="s">
        <v>655</v>
      </c>
      <c r="B67" s="4">
        <v>207</v>
      </c>
      <c r="C67" s="3" t="s">
        <v>656</v>
      </c>
      <c r="D67" s="4" t="s">
        <v>103</v>
      </c>
      <c r="E67" s="262">
        <v>175826</v>
      </c>
    </row>
    <row r="68" spans="1:5">
      <c r="A68" s="4" t="s">
        <v>657</v>
      </c>
      <c r="B68" s="4">
        <v>434</v>
      </c>
      <c r="C68" s="3" t="s">
        <v>658</v>
      </c>
      <c r="D68" s="4" t="s">
        <v>103</v>
      </c>
      <c r="E68" s="262">
        <v>23800</v>
      </c>
    </row>
    <row r="69" spans="1:5">
      <c r="A69" s="4" t="s">
        <v>661</v>
      </c>
      <c r="B69" s="4">
        <v>224</v>
      </c>
      <c r="C69" s="3" t="s">
        <v>662</v>
      </c>
      <c r="D69" s="4" t="s">
        <v>68</v>
      </c>
      <c r="E69" s="262">
        <v>47450</v>
      </c>
    </row>
    <row r="70" spans="1:5">
      <c r="A70" s="4" t="s">
        <v>663</v>
      </c>
      <c r="B70" s="4">
        <v>222</v>
      </c>
      <c r="C70" s="3" t="s">
        <v>664</v>
      </c>
      <c r="D70" s="4" t="s">
        <v>103</v>
      </c>
      <c r="E70" s="262">
        <v>272034</v>
      </c>
    </row>
    <row r="71" spans="1:5">
      <c r="A71" s="4" t="s">
        <v>669</v>
      </c>
      <c r="B71" s="4">
        <v>22</v>
      </c>
      <c r="C71" s="3" t="s">
        <v>670</v>
      </c>
      <c r="D71" s="4" t="s">
        <v>103</v>
      </c>
      <c r="E71" s="262">
        <v>19100</v>
      </c>
    </row>
    <row r="72" spans="1:5">
      <c r="A72" s="4" t="s">
        <v>671</v>
      </c>
      <c r="B72" s="4">
        <v>409</v>
      </c>
      <c r="C72" s="3" t="s">
        <v>672</v>
      </c>
      <c r="D72" s="4" t="s">
        <v>103</v>
      </c>
      <c r="E72" s="262">
        <v>499900</v>
      </c>
    </row>
    <row r="73" spans="1:5">
      <c r="A73" s="4" t="s">
        <v>675</v>
      </c>
      <c r="B73" s="4">
        <v>190</v>
      </c>
      <c r="C73" s="3" t="s">
        <v>676</v>
      </c>
      <c r="D73" s="4" t="s">
        <v>68</v>
      </c>
      <c r="E73" s="262">
        <v>12957</v>
      </c>
    </row>
    <row r="74" spans="1:5">
      <c r="A74" s="4" t="s">
        <v>677</v>
      </c>
      <c r="B74" s="4">
        <v>191</v>
      </c>
      <c r="C74" s="3" t="s">
        <v>678</v>
      </c>
      <c r="D74" s="4" t="s">
        <v>103</v>
      </c>
      <c r="E74" s="262">
        <v>1600</v>
      </c>
    </row>
    <row r="75" spans="1:5">
      <c r="A75" s="4" t="s">
        <v>679</v>
      </c>
      <c r="B75" s="4">
        <v>186</v>
      </c>
      <c r="C75" s="3" t="s">
        <v>680</v>
      </c>
      <c r="D75" s="4" t="s">
        <v>103</v>
      </c>
      <c r="E75" s="262">
        <v>2730</v>
      </c>
    </row>
    <row r="76" spans="1:5">
      <c r="A76" s="4" t="s">
        <v>681</v>
      </c>
      <c r="B76" s="4">
        <v>215</v>
      </c>
      <c r="C76" s="3" t="s">
        <v>682</v>
      </c>
      <c r="D76" s="4" t="s">
        <v>103</v>
      </c>
      <c r="E76" s="262">
        <v>114900</v>
      </c>
    </row>
    <row r="77" spans="1:5">
      <c r="A77" s="4" t="s">
        <v>683</v>
      </c>
      <c r="B77" s="4">
        <v>410</v>
      </c>
      <c r="C77" s="3" t="s">
        <v>684</v>
      </c>
      <c r="D77" s="4" t="s">
        <v>103</v>
      </c>
      <c r="E77" s="262">
        <v>41650</v>
      </c>
    </row>
    <row r="78" spans="1:5">
      <c r="A78" s="4" t="s">
        <v>687</v>
      </c>
      <c r="B78" s="4">
        <v>266</v>
      </c>
      <c r="C78" s="3" t="s">
        <v>688</v>
      </c>
      <c r="D78" s="4" t="s">
        <v>103</v>
      </c>
      <c r="E78" s="262">
        <v>260664</v>
      </c>
    </row>
    <row r="79" spans="1:5">
      <c r="A79" s="4" t="s">
        <v>689</v>
      </c>
      <c r="B79" s="4">
        <v>268</v>
      </c>
      <c r="C79" s="3" t="s">
        <v>690</v>
      </c>
      <c r="D79" s="4" t="s">
        <v>103</v>
      </c>
      <c r="E79" s="262">
        <v>128520</v>
      </c>
    </row>
    <row r="80" spans="1:5">
      <c r="A80" s="4" t="s">
        <v>691</v>
      </c>
      <c r="B80" s="4">
        <v>13</v>
      </c>
      <c r="C80" s="3" t="s">
        <v>692</v>
      </c>
      <c r="D80" s="4" t="s">
        <v>103</v>
      </c>
      <c r="E80" s="262">
        <v>125250</v>
      </c>
    </row>
    <row r="81" spans="1:5">
      <c r="A81" s="4" t="s">
        <v>693</v>
      </c>
      <c r="B81" s="4">
        <v>270</v>
      </c>
      <c r="C81" s="3" t="s">
        <v>694</v>
      </c>
      <c r="D81" s="4" t="s">
        <v>103</v>
      </c>
      <c r="E81" s="262">
        <v>6747</v>
      </c>
    </row>
    <row r="82" spans="1:5">
      <c r="A82" s="4" t="s">
        <v>704</v>
      </c>
      <c r="B82" s="4">
        <v>290</v>
      </c>
      <c r="C82" s="3" t="s">
        <v>705</v>
      </c>
      <c r="D82" s="4" t="s">
        <v>489</v>
      </c>
      <c r="E82" s="262">
        <v>140420</v>
      </c>
    </row>
    <row r="83" spans="1:5">
      <c r="A83" s="4" t="s">
        <v>710</v>
      </c>
      <c r="B83" s="4">
        <v>216</v>
      </c>
      <c r="C83" s="3" t="s">
        <v>711</v>
      </c>
      <c r="D83" s="4" t="s">
        <v>103</v>
      </c>
      <c r="E83" s="262">
        <v>66400</v>
      </c>
    </row>
    <row r="84" spans="1:5">
      <c r="A84" s="4" t="s">
        <v>712</v>
      </c>
      <c r="B84" s="4">
        <v>121</v>
      </c>
      <c r="C84" s="3" t="s">
        <v>713</v>
      </c>
      <c r="D84" s="4" t="s">
        <v>68</v>
      </c>
      <c r="E84" s="262">
        <v>5923</v>
      </c>
    </row>
    <row r="85" spans="1:5">
      <c r="A85" s="4" t="s">
        <v>714</v>
      </c>
      <c r="B85" s="4">
        <v>109</v>
      </c>
      <c r="C85" s="3" t="s">
        <v>715</v>
      </c>
      <c r="D85" s="4" t="s">
        <v>103</v>
      </c>
      <c r="E85" s="262">
        <v>1294</v>
      </c>
    </row>
    <row r="86" spans="1:5">
      <c r="A86" s="4" t="s">
        <v>716</v>
      </c>
      <c r="B86" s="4">
        <v>75</v>
      </c>
      <c r="C86" s="3" t="s">
        <v>717</v>
      </c>
      <c r="D86" s="4" t="s">
        <v>103</v>
      </c>
      <c r="E86" s="262">
        <v>61880</v>
      </c>
    </row>
    <row r="87" spans="1:5">
      <c r="A87" s="4" t="s">
        <v>718</v>
      </c>
      <c r="B87" s="4">
        <v>351</v>
      </c>
      <c r="C87" s="3" t="s">
        <v>719</v>
      </c>
      <c r="D87" s="4" t="s">
        <v>720</v>
      </c>
      <c r="E87" s="262">
        <v>54900</v>
      </c>
    </row>
    <row r="88" spans="1:5">
      <c r="A88" s="4" t="s">
        <v>725</v>
      </c>
      <c r="B88" s="4">
        <v>122</v>
      </c>
      <c r="C88" s="3" t="s">
        <v>726</v>
      </c>
      <c r="D88" s="4" t="s">
        <v>103</v>
      </c>
      <c r="E88" s="262">
        <v>981</v>
      </c>
    </row>
    <row r="89" spans="1:5">
      <c r="A89" s="4" t="s">
        <v>727</v>
      </c>
      <c r="B89" s="4">
        <v>119</v>
      </c>
      <c r="C89" s="3" t="s">
        <v>728</v>
      </c>
      <c r="D89" s="4" t="s">
        <v>103</v>
      </c>
      <c r="E89" s="262">
        <v>1293</v>
      </c>
    </row>
    <row r="90" spans="1:5">
      <c r="A90" s="4" t="s">
        <v>729</v>
      </c>
      <c r="B90" s="4">
        <v>113</v>
      </c>
      <c r="C90" s="3" t="s">
        <v>730</v>
      </c>
      <c r="D90" s="4" t="s">
        <v>103</v>
      </c>
      <c r="E90" s="262">
        <v>61761</v>
      </c>
    </row>
    <row r="91" spans="1:5">
      <c r="A91" s="4" t="s">
        <v>731</v>
      </c>
      <c r="B91" s="4">
        <v>125</v>
      </c>
      <c r="C91" s="3" t="s">
        <v>732</v>
      </c>
      <c r="D91" s="4" t="s">
        <v>103</v>
      </c>
      <c r="E91" s="262">
        <v>29718</v>
      </c>
    </row>
    <row r="92" spans="1:5">
      <c r="A92" s="4" t="s">
        <v>733</v>
      </c>
      <c r="B92" s="4">
        <v>132</v>
      </c>
      <c r="C92" s="3" t="s">
        <v>734</v>
      </c>
      <c r="D92" s="4" t="s">
        <v>103</v>
      </c>
      <c r="E92" s="262">
        <v>5593</v>
      </c>
    </row>
    <row r="93" spans="1:5">
      <c r="A93" s="4" t="s">
        <v>735</v>
      </c>
      <c r="B93" s="4">
        <v>138</v>
      </c>
      <c r="C93" s="3" t="s">
        <v>736</v>
      </c>
      <c r="D93" s="4" t="s">
        <v>103</v>
      </c>
      <c r="E93" s="262">
        <v>9520</v>
      </c>
    </row>
    <row r="94" spans="1:5">
      <c r="A94" s="4" t="s">
        <v>737</v>
      </c>
      <c r="B94" s="4">
        <v>140</v>
      </c>
      <c r="C94" s="3" t="s">
        <v>738</v>
      </c>
      <c r="D94" s="4" t="s">
        <v>103</v>
      </c>
      <c r="E94" s="262">
        <v>36771</v>
      </c>
    </row>
    <row r="95" spans="1:5">
      <c r="A95" s="4" t="s">
        <v>739</v>
      </c>
      <c r="B95" s="4">
        <v>127</v>
      </c>
      <c r="C95" s="3" t="s">
        <v>740</v>
      </c>
      <c r="D95" s="4" t="s">
        <v>68</v>
      </c>
      <c r="E95" s="262">
        <v>11790</v>
      </c>
    </row>
    <row r="96" spans="1:5">
      <c r="A96" s="4" t="s">
        <v>741</v>
      </c>
      <c r="B96" s="4">
        <v>141</v>
      </c>
      <c r="C96" s="3" t="s">
        <v>742</v>
      </c>
      <c r="D96" s="4" t="s">
        <v>103</v>
      </c>
      <c r="E96" s="262">
        <v>3577</v>
      </c>
    </row>
    <row r="97" spans="1:5">
      <c r="A97" s="4" t="s">
        <v>743</v>
      </c>
      <c r="B97" s="4">
        <v>137</v>
      </c>
      <c r="C97" s="3" t="s">
        <v>744</v>
      </c>
      <c r="D97" s="4" t="s">
        <v>103</v>
      </c>
      <c r="E97" s="262">
        <v>24947</v>
      </c>
    </row>
    <row r="98" spans="1:5">
      <c r="A98" s="4" t="s">
        <v>745</v>
      </c>
      <c r="B98" s="4">
        <v>396</v>
      </c>
      <c r="C98" s="3" t="s">
        <v>746</v>
      </c>
      <c r="D98" s="4" t="s">
        <v>103</v>
      </c>
      <c r="E98" s="262">
        <v>17357</v>
      </c>
    </row>
    <row r="99" spans="1:5">
      <c r="A99" s="4" t="s">
        <v>747</v>
      </c>
      <c r="B99" s="4">
        <v>33</v>
      </c>
      <c r="C99" s="3" t="s">
        <v>748</v>
      </c>
      <c r="D99" s="4" t="s">
        <v>68</v>
      </c>
      <c r="E99" s="262">
        <v>12500</v>
      </c>
    </row>
    <row r="100" spans="1:5">
      <c r="A100" s="4" t="s">
        <v>749</v>
      </c>
      <c r="B100" s="4">
        <v>262</v>
      </c>
      <c r="C100" s="3" t="s">
        <v>750</v>
      </c>
      <c r="D100" s="4" t="s">
        <v>68</v>
      </c>
      <c r="E100" s="262">
        <v>64022</v>
      </c>
    </row>
    <row r="101" spans="1:5">
      <c r="A101" s="4" t="s">
        <v>753</v>
      </c>
      <c r="B101" s="4">
        <v>315</v>
      </c>
      <c r="C101" s="3" t="s">
        <v>754</v>
      </c>
      <c r="D101" s="4" t="s">
        <v>68</v>
      </c>
      <c r="E101" s="262">
        <v>582500</v>
      </c>
    </row>
    <row r="102" spans="1:5">
      <c r="A102" s="4" t="s">
        <v>755</v>
      </c>
      <c r="B102" s="4">
        <v>438</v>
      </c>
      <c r="C102" s="3" t="s">
        <v>756</v>
      </c>
      <c r="D102" s="4" t="s">
        <v>103</v>
      </c>
      <c r="E102" s="262">
        <v>761600</v>
      </c>
    </row>
    <row r="103" spans="1:5">
      <c r="A103" s="4" t="s">
        <v>757</v>
      </c>
      <c r="B103" s="4">
        <v>135</v>
      </c>
      <c r="C103" s="3" t="s">
        <v>758</v>
      </c>
      <c r="D103" s="4" t="s">
        <v>103</v>
      </c>
      <c r="E103" s="262">
        <v>72471</v>
      </c>
    </row>
    <row r="104" spans="1:5">
      <c r="A104" s="4" t="s">
        <v>759</v>
      </c>
      <c r="B104" s="4">
        <v>307</v>
      </c>
      <c r="C104" s="3" t="s">
        <v>760</v>
      </c>
      <c r="D104" s="4" t="s">
        <v>103</v>
      </c>
      <c r="E104" s="262">
        <v>982900</v>
      </c>
    </row>
    <row r="105" spans="1:5">
      <c r="A105" s="4" t="s">
        <v>761</v>
      </c>
      <c r="B105" s="4">
        <v>303</v>
      </c>
      <c r="C105" s="3" t="s">
        <v>762</v>
      </c>
      <c r="D105" s="4" t="s">
        <v>103</v>
      </c>
      <c r="E105" s="262">
        <v>206941</v>
      </c>
    </row>
    <row r="106" spans="1:5">
      <c r="A106" s="4" t="s">
        <v>763</v>
      </c>
      <c r="B106" s="4">
        <v>439</v>
      </c>
      <c r="C106" s="3" t="s">
        <v>764</v>
      </c>
      <c r="D106" s="4" t="s">
        <v>103</v>
      </c>
      <c r="E106" s="262">
        <v>59900</v>
      </c>
    </row>
    <row r="107" spans="1:5">
      <c r="A107" s="4" t="s">
        <v>765</v>
      </c>
      <c r="B107" s="4">
        <v>440</v>
      </c>
      <c r="C107" s="3" t="s">
        <v>766</v>
      </c>
      <c r="D107" s="4" t="s">
        <v>103</v>
      </c>
      <c r="E107" s="262">
        <v>4122900</v>
      </c>
    </row>
    <row r="108" spans="1:5">
      <c r="A108" s="4" t="s">
        <v>767</v>
      </c>
      <c r="B108" s="4">
        <v>78</v>
      </c>
      <c r="C108" s="3" t="s">
        <v>818</v>
      </c>
      <c r="D108" s="4" t="s">
        <v>68</v>
      </c>
      <c r="E108" s="262">
        <v>28752</v>
      </c>
    </row>
    <row r="109" spans="1:5">
      <c r="A109" s="4" t="s">
        <v>769</v>
      </c>
      <c r="B109" s="4">
        <v>441</v>
      </c>
      <c r="C109" s="3" t="s">
        <v>770</v>
      </c>
      <c r="D109" s="4" t="s">
        <v>68</v>
      </c>
      <c r="E109" s="262">
        <v>537880</v>
      </c>
    </row>
    <row r="110" spans="1:5">
      <c r="A110" s="4" t="s">
        <v>773</v>
      </c>
      <c r="B110" s="4">
        <v>436</v>
      </c>
      <c r="C110" s="3" t="s">
        <v>774</v>
      </c>
      <c r="D110" s="4" t="s">
        <v>120</v>
      </c>
      <c r="E110" s="262">
        <v>12000</v>
      </c>
    </row>
    <row r="111" spans="1:5">
      <c r="A111" s="4" t="s">
        <v>565</v>
      </c>
      <c r="B111" s="4"/>
      <c r="C111" s="3" t="s">
        <v>566</v>
      </c>
      <c r="D111" s="4" t="s">
        <v>120</v>
      </c>
      <c r="E111" s="262">
        <v>11305</v>
      </c>
    </row>
  </sheetData>
  <mergeCells count="3">
    <mergeCell ref="A1:E1"/>
    <mergeCell ref="A2:E2"/>
    <mergeCell ref="A3:E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22"/>
  <sheetViews>
    <sheetView showGridLines="0" workbookViewId="0">
      <selection activeCell="E10" sqref="E10"/>
    </sheetView>
  </sheetViews>
  <sheetFormatPr defaultColWidth="8.75" defaultRowHeight="14.25"/>
  <cols>
    <col min="1" max="2" width="14" customWidth="1"/>
    <col min="3" max="3" width="60" customWidth="1"/>
    <col min="4" max="4" width="12" customWidth="1"/>
    <col min="5" max="5" width="18" customWidth="1"/>
  </cols>
  <sheetData>
    <row r="1" spans="1:5" ht="24" customHeight="1">
      <c r="A1" s="389" t="s">
        <v>0</v>
      </c>
      <c r="B1" s="389" t="s">
        <v>0</v>
      </c>
      <c r="C1" s="389" t="s">
        <v>0</v>
      </c>
      <c r="D1" s="389" t="s">
        <v>0</v>
      </c>
      <c r="E1" s="389" t="s">
        <v>0</v>
      </c>
    </row>
    <row r="2" spans="1:5" ht="48" customHeight="1">
      <c r="A2" s="389" t="s">
        <v>1</v>
      </c>
      <c r="B2" s="389" t="s">
        <v>1</v>
      </c>
      <c r="C2" s="389" t="s">
        <v>1</v>
      </c>
      <c r="D2" s="389" t="s">
        <v>1</v>
      </c>
      <c r="E2" s="389" t="s">
        <v>1</v>
      </c>
    </row>
    <row r="3" spans="1:5" ht="24" customHeight="1">
      <c r="A3" s="389" t="s">
        <v>819</v>
      </c>
      <c r="B3" s="389" t="s">
        <v>819</v>
      </c>
      <c r="C3" s="389" t="s">
        <v>819</v>
      </c>
      <c r="D3" s="389" t="s">
        <v>819</v>
      </c>
      <c r="E3" s="389" t="s">
        <v>819</v>
      </c>
    </row>
    <row r="4" spans="1:5">
      <c r="A4" s="1"/>
      <c r="B4" s="1"/>
      <c r="C4" s="1"/>
      <c r="D4" s="1"/>
      <c r="E4" s="1"/>
    </row>
    <row r="5" spans="1:5">
      <c r="A5" s="2" t="s">
        <v>471</v>
      </c>
      <c r="B5" s="2" t="s">
        <v>814</v>
      </c>
      <c r="C5" s="2" t="s">
        <v>4</v>
      </c>
      <c r="D5" s="2" t="s">
        <v>58</v>
      </c>
      <c r="E5" s="2" t="s">
        <v>815</v>
      </c>
    </row>
    <row r="6" spans="1:5">
      <c r="A6" s="4" t="s">
        <v>779</v>
      </c>
      <c r="B6" s="4">
        <v>7</v>
      </c>
      <c r="C6" s="3" t="s">
        <v>514</v>
      </c>
      <c r="D6" s="4" t="s">
        <v>780</v>
      </c>
      <c r="E6" s="262">
        <v>15000</v>
      </c>
    </row>
    <row r="7" spans="1:5">
      <c r="A7" s="4" t="s">
        <v>476</v>
      </c>
      <c r="B7" s="4">
        <v>3</v>
      </c>
      <c r="C7" s="3" t="s">
        <v>477</v>
      </c>
      <c r="D7" s="4" t="s">
        <v>478</v>
      </c>
      <c r="E7" s="262">
        <v>15000</v>
      </c>
    </row>
    <row r="8" spans="1:5">
      <c r="A8" s="4" t="s">
        <v>511</v>
      </c>
      <c r="B8" s="4">
        <v>6</v>
      </c>
      <c r="C8" s="3" t="s">
        <v>512</v>
      </c>
      <c r="D8" s="4" t="s">
        <v>478</v>
      </c>
      <c r="E8" s="262">
        <v>241800</v>
      </c>
    </row>
    <row r="9" spans="1:5">
      <c r="A9" s="4" t="s">
        <v>513</v>
      </c>
      <c r="B9" s="4">
        <v>7</v>
      </c>
      <c r="C9" s="3" t="s">
        <v>514</v>
      </c>
      <c r="D9" s="4" t="s">
        <v>478</v>
      </c>
      <c r="E9" s="262">
        <v>87000</v>
      </c>
    </row>
    <row r="10" spans="1:5">
      <c r="A10" s="4" t="s">
        <v>534</v>
      </c>
      <c r="B10" s="4">
        <v>8</v>
      </c>
      <c r="C10" s="3" t="s">
        <v>535</v>
      </c>
      <c r="D10" s="4" t="s">
        <v>478</v>
      </c>
      <c r="E10" s="262">
        <v>50000</v>
      </c>
    </row>
    <row r="11" spans="1:5">
      <c r="A11" s="4" t="s">
        <v>563</v>
      </c>
      <c r="B11" s="4">
        <v>16</v>
      </c>
      <c r="C11" s="3" t="s">
        <v>564</v>
      </c>
      <c r="D11" s="4" t="s">
        <v>478</v>
      </c>
      <c r="E11" s="262">
        <v>57120</v>
      </c>
    </row>
    <row r="12" spans="1:5">
      <c r="A12" s="4" t="s">
        <v>578</v>
      </c>
      <c r="B12" s="4">
        <v>24</v>
      </c>
      <c r="C12" s="3" t="s">
        <v>579</v>
      </c>
      <c r="D12" s="4" t="s">
        <v>478</v>
      </c>
      <c r="E12" s="262">
        <v>35000</v>
      </c>
    </row>
    <row r="13" spans="1:5">
      <c r="A13" s="4" t="s">
        <v>589</v>
      </c>
      <c r="B13" s="4"/>
      <c r="C13" s="3" t="s">
        <v>590</v>
      </c>
      <c r="D13" s="4" t="s">
        <v>478</v>
      </c>
      <c r="E13" s="262">
        <v>388</v>
      </c>
    </row>
    <row r="14" spans="1:5">
      <c r="A14" s="4" t="s">
        <v>637</v>
      </c>
      <c r="B14" s="4"/>
      <c r="C14" s="3" t="s">
        <v>638</v>
      </c>
      <c r="D14" s="4" t="s">
        <v>478</v>
      </c>
      <c r="E14" s="262">
        <v>105</v>
      </c>
    </row>
    <row r="15" spans="1:5">
      <c r="A15" s="4" t="s">
        <v>639</v>
      </c>
      <c r="B15" s="4"/>
      <c r="C15" s="3" t="s">
        <v>640</v>
      </c>
      <c r="D15" s="4" t="s">
        <v>478</v>
      </c>
      <c r="E15" s="262">
        <v>75</v>
      </c>
    </row>
    <row r="16" spans="1:5">
      <c r="A16" s="4" t="s">
        <v>659</v>
      </c>
      <c r="B16" s="4"/>
      <c r="C16" s="3" t="s">
        <v>660</v>
      </c>
      <c r="D16" s="4" t="s">
        <v>478</v>
      </c>
      <c r="E16" s="262">
        <v>3752</v>
      </c>
    </row>
    <row r="17" spans="1:5">
      <c r="A17" s="4" t="s">
        <v>665</v>
      </c>
      <c r="B17" s="4"/>
      <c r="C17" s="3" t="s">
        <v>666</v>
      </c>
      <c r="D17" s="4" t="s">
        <v>478</v>
      </c>
      <c r="E17" s="262">
        <v>1211</v>
      </c>
    </row>
    <row r="18" spans="1:5">
      <c r="A18" s="4" t="s">
        <v>667</v>
      </c>
      <c r="B18" s="4"/>
      <c r="C18" s="3" t="s">
        <v>668</v>
      </c>
      <c r="D18" s="4" t="s">
        <v>478</v>
      </c>
      <c r="E18" s="262">
        <v>237</v>
      </c>
    </row>
    <row r="19" spans="1:5">
      <c r="A19" s="4" t="s">
        <v>685</v>
      </c>
      <c r="B19" s="4">
        <v>17</v>
      </c>
      <c r="C19" s="3" t="s">
        <v>686</v>
      </c>
      <c r="D19" s="4" t="s">
        <v>478</v>
      </c>
      <c r="E19" s="262">
        <v>360000</v>
      </c>
    </row>
    <row r="20" spans="1:5">
      <c r="A20" s="4" t="s">
        <v>699</v>
      </c>
      <c r="B20" s="4">
        <v>4</v>
      </c>
      <c r="C20" s="3" t="s">
        <v>700</v>
      </c>
      <c r="D20" s="4" t="s">
        <v>701</v>
      </c>
      <c r="E20" s="262">
        <v>25000</v>
      </c>
    </row>
    <row r="21" spans="1:5">
      <c r="A21" s="4" t="s">
        <v>702</v>
      </c>
      <c r="B21" s="4">
        <v>5</v>
      </c>
      <c r="C21" s="3" t="s">
        <v>703</v>
      </c>
      <c r="D21" s="4" t="s">
        <v>701</v>
      </c>
      <c r="E21" s="262">
        <v>295</v>
      </c>
    </row>
    <row r="22" spans="1:5">
      <c r="A22" s="4" t="s">
        <v>751</v>
      </c>
      <c r="B22" s="4">
        <v>15</v>
      </c>
      <c r="C22" s="3" t="s">
        <v>752</v>
      </c>
      <c r="D22" s="4" t="s">
        <v>478</v>
      </c>
      <c r="E22" s="262">
        <v>27500</v>
      </c>
    </row>
  </sheetData>
  <mergeCells count="3">
    <mergeCell ref="A1:E1"/>
    <mergeCell ref="A2:E2"/>
    <mergeCell ref="A3:E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43"/>
  <sheetViews>
    <sheetView showGridLines="0" topLeftCell="D1" workbookViewId="0">
      <selection activeCell="N19" sqref="N19"/>
    </sheetView>
  </sheetViews>
  <sheetFormatPr defaultColWidth="8.75" defaultRowHeight="14.25"/>
  <cols>
    <col min="1" max="1" width="13" customWidth="1"/>
    <col min="2" max="2" width="44" customWidth="1"/>
    <col min="3" max="3" width="18" customWidth="1"/>
    <col min="4" max="4" width="11" customWidth="1"/>
    <col min="5" max="5" width="17" customWidth="1"/>
    <col min="6" max="6" width="12" customWidth="1"/>
    <col min="7" max="7" width="18" customWidth="1"/>
    <col min="8" max="8" width="16" customWidth="1"/>
    <col min="9" max="9" width="17" customWidth="1"/>
    <col min="10" max="10" width="34" customWidth="1"/>
    <col min="12" max="12" width="29" customWidth="1"/>
    <col min="13" max="15" width="13" customWidth="1"/>
  </cols>
  <sheetData>
    <row r="1" spans="1:15" ht="24" customHeight="1">
      <c r="A1" s="418" t="s">
        <v>0</v>
      </c>
      <c r="B1" s="418"/>
      <c r="C1" s="418"/>
      <c r="D1" s="418"/>
      <c r="E1" s="418"/>
      <c r="F1" s="418"/>
      <c r="G1" s="418"/>
      <c r="H1" s="418"/>
      <c r="I1" s="418"/>
      <c r="J1" s="418"/>
    </row>
    <row r="2" spans="1:15" ht="37.9" customHeight="1">
      <c r="A2" s="418" t="s">
        <v>1</v>
      </c>
      <c r="B2" s="418"/>
      <c r="C2" s="418"/>
      <c r="D2" s="418"/>
      <c r="E2" s="418"/>
      <c r="F2" s="418"/>
      <c r="G2" s="418"/>
      <c r="H2" s="418"/>
      <c r="I2" s="418"/>
      <c r="J2" s="418"/>
      <c r="L2" s="417" t="s">
        <v>820</v>
      </c>
      <c r="M2" s="417"/>
    </row>
    <row r="3" spans="1:15" ht="24" customHeight="1">
      <c r="A3" s="418" t="s">
        <v>821</v>
      </c>
      <c r="B3" s="418"/>
      <c r="C3" s="418"/>
      <c r="D3" s="418"/>
      <c r="E3" s="418"/>
      <c r="F3" s="418"/>
      <c r="G3" s="418"/>
      <c r="H3" s="418"/>
      <c r="I3" s="418"/>
      <c r="J3" s="418"/>
      <c r="L3" s="267" t="s">
        <v>822</v>
      </c>
      <c r="M3" s="57">
        <v>1750905</v>
      </c>
    </row>
    <row r="4" spans="1:15" ht="30" customHeight="1">
      <c r="A4" s="419"/>
      <c r="B4" s="419"/>
      <c r="C4" s="419"/>
      <c r="D4" s="419"/>
      <c r="E4" s="419"/>
      <c r="F4" s="419"/>
      <c r="G4" s="419"/>
      <c r="H4" s="419"/>
      <c r="I4" s="419"/>
      <c r="J4" s="419"/>
      <c r="L4" s="267" t="s">
        <v>823</v>
      </c>
      <c r="M4" s="57">
        <v>249095</v>
      </c>
    </row>
    <row r="5" spans="1:15" ht="15">
      <c r="A5" s="1"/>
      <c r="B5" s="1"/>
      <c r="C5" s="1"/>
      <c r="D5" s="1"/>
      <c r="E5" s="1"/>
      <c r="F5" s="1"/>
      <c r="L5" s="267" t="s">
        <v>824</v>
      </c>
      <c r="M5" s="12">
        <v>30</v>
      </c>
    </row>
    <row r="6" spans="1:15" ht="15">
      <c r="A6" s="2" t="s">
        <v>471</v>
      </c>
      <c r="B6" s="2" t="s">
        <v>814</v>
      </c>
      <c r="C6" s="2" t="s">
        <v>4</v>
      </c>
      <c r="D6" s="2" t="s">
        <v>58</v>
      </c>
      <c r="E6" s="2" t="s">
        <v>815</v>
      </c>
      <c r="F6" s="2"/>
      <c r="L6" s="267" t="s">
        <v>825</v>
      </c>
      <c r="M6" s="12">
        <v>0.60540000000000005</v>
      </c>
    </row>
    <row r="7" spans="1:15" ht="15">
      <c r="A7" s="4" t="s">
        <v>793</v>
      </c>
      <c r="B7" s="4">
        <v>2</v>
      </c>
      <c r="C7" s="3" t="s">
        <v>510</v>
      </c>
      <c r="D7" s="4" t="s">
        <v>478</v>
      </c>
      <c r="E7" s="262">
        <v>176836</v>
      </c>
      <c r="F7" s="3"/>
      <c r="L7" s="267" t="s">
        <v>826</v>
      </c>
      <c r="M7" s="12">
        <v>0.76939877063575701</v>
      </c>
    </row>
    <row r="8" spans="1:15" ht="15">
      <c r="A8" s="4" t="s">
        <v>794</v>
      </c>
      <c r="B8" s="4">
        <v>1</v>
      </c>
      <c r="C8" s="3" t="s">
        <v>502</v>
      </c>
      <c r="D8" s="4" t="s">
        <v>478</v>
      </c>
      <c r="E8" s="262">
        <v>107827</v>
      </c>
      <c r="F8" s="3"/>
      <c r="L8" s="62" t="s">
        <v>827</v>
      </c>
      <c r="M8" s="62" t="s">
        <v>828</v>
      </c>
      <c r="N8" s="62" t="s">
        <v>829</v>
      </c>
      <c r="O8" s="62" t="s">
        <v>828</v>
      </c>
    </row>
    <row r="9" spans="1:15" ht="15">
      <c r="A9" s="4" t="s">
        <v>497</v>
      </c>
      <c r="B9" s="4">
        <v>3</v>
      </c>
      <c r="C9" s="3" t="s">
        <v>498</v>
      </c>
      <c r="D9" s="4" t="s">
        <v>478</v>
      </c>
      <c r="E9" s="262">
        <v>251576</v>
      </c>
      <c r="F9" s="3"/>
      <c r="L9" s="62" t="s">
        <v>830</v>
      </c>
      <c r="M9" s="62" t="s">
        <v>831</v>
      </c>
      <c r="N9" s="62" t="s">
        <v>831</v>
      </c>
      <c r="O9" s="62" t="s">
        <v>832</v>
      </c>
    </row>
    <row r="10" spans="1:15">
      <c r="A10" s="4" t="s">
        <v>499</v>
      </c>
      <c r="B10" s="4">
        <v>4</v>
      </c>
      <c r="C10" s="3" t="s">
        <v>500</v>
      </c>
      <c r="D10" s="4" t="s">
        <v>478</v>
      </c>
      <c r="E10" s="262">
        <v>196251</v>
      </c>
      <c r="F10" s="3"/>
      <c r="L10" s="60"/>
      <c r="M10" s="60"/>
      <c r="N10" s="60"/>
      <c r="O10" s="60"/>
    </row>
    <row r="11" spans="1:15">
      <c r="A11" s="4" t="s">
        <v>501</v>
      </c>
      <c r="B11" s="4">
        <v>1</v>
      </c>
      <c r="C11" s="3" t="s">
        <v>502</v>
      </c>
      <c r="D11" s="4" t="s">
        <v>478</v>
      </c>
      <c r="E11" s="262">
        <v>107973</v>
      </c>
      <c r="F11" s="3"/>
      <c r="L11" s="60" t="s">
        <v>833</v>
      </c>
      <c r="M11" s="61">
        <f>$M$4/$M$3</f>
        <v>0.14226642793298322</v>
      </c>
      <c r="N11" s="61">
        <f>$M$4/$M$3</f>
        <v>0.14226642793298322</v>
      </c>
      <c r="O11" s="61">
        <v>0</v>
      </c>
    </row>
    <row r="12" spans="1:15">
      <c r="A12" s="4" t="s">
        <v>509</v>
      </c>
      <c r="B12" s="4">
        <v>2</v>
      </c>
      <c r="C12" s="3" t="s">
        <v>510</v>
      </c>
      <c r="D12" s="4" t="s">
        <v>478</v>
      </c>
      <c r="E12" s="262">
        <v>177075</v>
      </c>
      <c r="F12" s="3"/>
      <c r="L12" s="60" t="s">
        <v>834</v>
      </c>
      <c r="M12" s="61">
        <v>8.3299999999999999E-2</v>
      </c>
      <c r="N12" s="61">
        <v>8.3299999999999999E-2</v>
      </c>
      <c r="O12" s="61">
        <v>8.3299999999999999E-2</v>
      </c>
    </row>
    <row r="13" spans="1:15" ht="48">
      <c r="A13" s="4" t="s">
        <v>574</v>
      </c>
      <c r="B13" s="4">
        <v>2</v>
      </c>
      <c r="C13" s="3" t="s">
        <v>575</v>
      </c>
      <c r="D13" s="4" t="s">
        <v>478</v>
      </c>
      <c r="E13" s="262">
        <v>177075</v>
      </c>
      <c r="F13" s="3"/>
      <c r="L13" s="60" t="s">
        <v>835</v>
      </c>
      <c r="M13" s="61">
        <v>0.01</v>
      </c>
      <c r="N13" s="61">
        <v>0.01</v>
      </c>
      <c r="O13" s="61">
        <v>0.01</v>
      </c>
    </row>
    <row r="14" spans="1:15" ht="36">
      <c r="A14" s="4" t="s">
        <v>576</v>
      </c>
      <c r="B14" s="4">
        <v>1</v>
      </c>
      <c r="C14" s="3" t="s">
        <v>577</v>
      </c>
      <c r="D14" s="4" t="s">
        <v>478</v>
      </c>
      <c r="E14" s="262">
        <v>107973</v>
      </c>
      <c r="F14" s="3"/>
      <c r="L14" s="60" t="s">
        <v>836</v>
      </c>
      <c r="M14" s="61">
        <v>8.3299999999999999E-2</v>
      </c>
      <c r="N14" s="61">
        <v>8.3299999999999999E-2</v>
      </c>
      <c r="O14" s="61">
        <v>8.3299999999999999E-2</v>
      </c>
    </row>
    <row r="15" spans="1:15">
      <c r="A15" s="4" t="s">
        <v>617</v>
      </c>
      <c r="B15" s="4">
        <v>5</v>
      </c>
      <c r="C15" s="3" t="s">
        <v>618</v>
      </c>
      <c r="D15" s="4" t="s">
        <v>478</v>
      </c>
      <c r="E15" s="262">
        <v>164541</v>
      </c>
      <c r="F15" s="3"/>
      <c r="L15" s="60" t="s">
        <v>837</v>
      </c>
      <c r="M15" s="61">
        <v>4.1700000000000001E-2</v>
      </c>
      <c r="N15" s="61">
        <v>4.1700000000000001E-2</v>
      </c>
      <c r="O15" s="61">
        <v>4.1700000000000001E-2</v>
      </c>
    </row>
    <row r="16" spans="1:15">
      <c r="A16" s="4" t="s">
        <v>619</v>
      </c>
      <c r="B16" s="4">
        <v>6</v>
      </c>
      <c r="C16" s="3" t="s">
        <v>620</v>
      </c>
      <c r="D16" s="4" t="s">
        <v>478</v>
      </c>
      <c r="E16" s="262">
        <v>83958</v>
      </c>
      <c r="F16" s="3"/>
      <c r="L16" s="60" t="s">
        <v>838</v>
      </c>
      <c r="M16" s="61">
        <v>0.02</v>
      </c>
      <c r="N16" s="61">
        <v>0.02</v>
      </c>
      <c r="O16" s="61">
        <v>0.02</v>
      </c>
    </row>
    <row r="17" spans="1:15">
      <c r="A17" s="4" t="s">
        <v>673</v>
      </c>
      <c r="B17" s="4">
        <v>2</v>
      </c>
      <c r="C17" s="3" t="s">
        <v>618</v>
      </c>
      <c r="D17" s="4" t="s">
        <v>478</v>
      </c>
      <c r="E17" s="262">
        <v>177075</v>
      </c>
      <c r="F17" s="3"/>
      <c r="L17" s="60" t="s">
        <v>839</v>
      </c>
      <c r="M17" s="61">
        <v>0.03</v>
      </c>
      <c r="N17" s="61">
        <v>0.03</v>
      </c>
      <c r="O17" s="61">
        <v>0.03</v>
      </c>
    </row>
    <row r="18" spans="1:15">
      <c r="A18" s="4" t="s">
        <v>674</v>
      </c>
      <c r="B18" s="4">
        <v>1</v>
      </c>
      <c r="C18" s="3" t="s">
        <v>620</v>
      </c>
      <c r="D18" s="4" t="s">
        <v>478</v>
      </c>
      <c r="E18" s="262">
        <v>107973</v>
      </c>
      <c r="F18" s="3"/>
      <c r="L18" s="60" t="s">
        <v>840</v>
      </c>
      <c r="M18" s="61">
        <v>0.04</v>
      </c>
      <c r="N18" s="61">
        <v>0.04</v>
      </c>
      <c r="O18" s="61">
        <v>0.04</v>
      </c>
    </row>
    <row r="19" spans="1:15" ht="24">
      <c r="A19" s="4" t="s">
        <v>695</v>
      </c>
      <c r="B19" s="4">
        <v>2</v>
      </c>
      <c r="C19" s="3" t="s">
        <v>696</v>
      </c>
      <c r="D19" s="4" t="s">
        <v>478</v>
      </c>
      <c r="E19" s="262">
        <v>177075</v>
      </c>
      <c r="F19" s="3"/>
      <c r="L19" s="60" t="s">
        <v>841</v>
      </c>
      <c r="M19" s="61">
        <v>2.5000000000000001E-3</v>
      </c>
      <c r="N19" s="61">
        <v>2.5000000000000001E-3</v>
      </c>
      <c r="O19" s="61">
        <v>2.5000000000000001E-3</v>
      </c>
    </row>
    <row r="20" spans="1:15" ht="24">
      <c r="A20" s="4" t="s">
        <v>697</v>
      </c>
      <c r="B20" s="4">
        <v>1</v>
      </c>
      <c r="C20" s="3" t="s">
        <v>698</v>
      </c>
      <c r="D20" s="4" t="s">
        <v>478</v>
      </c>
      <c r="E20" s="262">
        <v>107973</v>
      </c>
      <c r="F20" s="3"/>
      <c r="L20" s="60" t="s">
        <v>842</v>
      </c>
      <c r="M20" s="61">
        <v>8.5000000000000006E-2</v>
      </c>
      <c r="N20" s="61">
        <v>8.5000000000000006E-2</v>
      </c>
      <c r="O20" s="61">
        <v>8.5000000000000006E-2</v>
      </c>
    </row>
    <row r="21" spans="1:15">
      <c r="A21" s="4" t="s">
        <v>706</v>
      </c>
      <c r="B21" s="4">
        <v>2</v>
      </c>
      <c r="C21" s="3" t="s">
        <v>707</v>
      </c>
      <c r="D21" s="4" t="s">
        <v>478</v>
      </c>
      <c r="E21" s="262">
        <v>177075</v>
      </c>
      <c r="F21" s="3"/>
      <c r="L21" s="60" t="s">
        <v>843</v>
      </c>
      <c r="M21" s="61">
        <v>0.12</v>
      </c>
      <c r="N21" s="61">
        <v>0.12</v>
      </c>
      <c r="O21" s="61">
        <v>0.12</v>
      </c>
    </row>
    <row r="22" spans="1:15" ht="24">
      <c r="A22" s="4" t="s">
        <v>708</v>
      </c>
      <c r="B22" s="4">
        <v>1</v>
      </c>
      <c r="C22" s="3" t="s">
        <v>709</v>
      </c>
      <c r="D22" s="4" t="s">
        <v>478</v>
      </c>
      <c r="E22" s="262">
        <v>107973</v>
      </c>
      <c r="F22" s="3"/>
      <c r="L22" s="60" t="s">
        <v>844</v>
      </c>
      <c r="M22" s="61">
        <v>6.9599999999999995E-2</v>
      </c>
      <c r="N22" s="61">
        <v>5.1999999999999998E-3</v>
      </c>
      <c r="O22" s="61">
        <v>6.9599999999999995E-2</v>
      </c>
    </row>
    <row r="23" spans="1:15">
      <c r="A23" s="4" t="s">
        <v>721</v>
      </c>
      <c r="B23" s="4">
        <v>2</v>
      </c>
      <c r="C23" s="3" t="s">
        <v>722</v>
      </c>
      <c r="D23" s="4" t="s">
        <v>478</v>
      </c>
      <c r="E23" s="262">
        <v>177075</v>
      </c>
      <c r="F23" s="3"/>
      <c r="L23" s="60" t="s">
        <v>845</v>
      </c>
      <c r="M23" s="61">
        <v>3.3500000000000002E-2</v>
      </c>
      <c r="N23" s="61">
        <v>3.3500000000000002E-2</v>
      </c>
      <c r="O23" s="61">
        <v>0.01</v>
      </c>
    </row>
    <row r="24" spans="1:15">
      <c r="A24" s="4" t="s">
        <v>723</v>
      </c>
      <c r="B24" s="4">
        <v>1</v>
      </c>
      <c r="C24" s="3" t="s">
        <v>724</v>
      </c>
      <c r="D24" s="4" t="s">
        <v>478</v>
      </c>
      <c r="E24" s="262">
        <v>107973</v>
      </c>
      <c r="F24" s="3"/>
      <c r="L24" s="60" t="s">
        <v>846</v>
      </c>
      <c r="M24" s="61">
        <v>0.01</v>
      </c>
      <c r="N24" s="61">
        <v>0.01</v>
      </c>
      <c r="O24" s="61">
        <v>0.01</v>
      </c>
    </row>
    <row r="25" spans="1:15">
      <c r="L25" s="60"/>
      <c r="M25" s="61"/>
      <c r="N25" s="61"/>
      <c r="O25" s="61"/>
    </row>
    <row r="26" spans="1:15" ht="15">
      <c r="L26" s="63" t="s">
        <v>847</v>
      </c>
      <c r="M26" s="64">
        <f>SUM(M11:M24)</f>
        <v>0.77116642793298318</v>
      </c>
      <c r="N26" s="64">
        <f>SUM(N11:N24)</f>
        <v>0.70676642793298317</v>
      </c>
      <c r="O26" s="64">
        <f>SUM(O11:O24)</f>
        <v>0.60540000000000005</v>
      </c>
    </row>
    <row r="27" spans="1:15" ht="15">
      <c r="A27" s="416" t="s">
        <v>848</v>
      </c>
      <c r="B27" s="416"/>
      <c r="C27" s="416"/>
      <c r="D27" s="416"/>
      <c r="E27" s="416"/>
      <c r="F27" s="416"/>
      <c r="G27" s="416"/>
      <c r="H27" s="416"/>
      <c r="I27" s="416"/>
      <c r="J27" s="416"/>
      <c r="L27" s="60"/>
      <c r="M27" s="60"/>
      <c r="N27" s="60"/>
      <c r="O27" s="60"/>
    </row>
    <row r="28" spans="1:15">
      <c r="A28" s="268" t="s">
        <v>471</v>
      </c>
      <c r="B28" s="268" t="s">
        <v>849</v>
      </c>
      <c r="C28" s="268" t="s">
        <v>850</v>
      </c>
      <c r="D28" s="268" t="s">
        <v>851</v>
      </c>
      <c r="E28" s="268" t="s">
        <v>852</v>
      </c>
      <c r="F28" s="268" t="s">
        <v>853</v>
      </c>
      <c r="G28" s="268" t="s">
        <v>854</v>
      </c>
      <c r="H28" s="268" t="s">
        <v>855</v>
      </c>
      <c r="I28" s="268"/>
      <c r="J28" s="268"/>
    </row>
    <row r="29" spans="1:15">
      <c r="A29" s="13" t="s">
        <v>856</v>
      </c>
      <c r="B29" s="13" t="s">
        <v>857</v>
      </c>
      <c r="C29" s="13" t="s">
        <v>858</v>
      </c>
      <c r="D29" s="15">
        <v>5.2682412854508698</v>
      </c>
      <c r="E29" s="16">
        <f t="shared" ref="E29:E43" si="0">ROUND(D29*$M$3,0)</f>
        <v>9224190</v>
      </c>
      <c r="F29" s="17">
        <f t="shared" ref="F29:F43" si="1">IF(D29&gt;2,$M$6,$M$7)</f>
        <v>0.60540000000000005</v>
      </c>
      <c r="G29" s="16">
        <f t="shared" ref="G29:G43" si="2">ROUND(E29*(1+F29),0)</f>
        <v>14808515</v>
      </c>
      <c r="H29" s="16">
        <f t="shared" ref="H29:H43" si="3">ROUND(E29/$M$5,0)</f>
        <v>307473</v>
      </c>
      <c r="I29" s="13"/>
      <c r="J29" s="13"/>
    </row>
    <row r="30" spans="1:15">
      <c r="A30" s="13" t="s">
        <v>859</v>
      </c>
      <c r="B30" s="13" t="s">
        <v>860</v>
      </c>
      <c r="C30" s="13" t="s">
        <v>858</v>
      </c>
      <c r="D30" s="15">
        <v>2.33</v>
      </c>
      <c r="E30" s="16">
        <f t="shared" si="0"/>
        <v>4079609</v>
      </c>
      <c r="F30" s="17">
        <f t="shared" si="1"/>
        <v>0.60540000000000005</v>
      </c>
      <c r="G30" s="16">
        <f t="shared" si="2"/>
        <v>6549404</v>
      </c>
      <c r="H30" s="16">
        <f t="shared" si="3"/>
        <v>135987</v>
      </c>
      <c r="I30" s="13"/>
      <c r="J30" s="13"/>
    </row>
    <row r="31" spans="1:15">
      <c r="A31" s="13" t="s">
        <v>861</v>
      </c>
      <c r="B31" s="13" t="s">
        <v>862</v>
      </c>
      <c r="C31" s="13" t="s">
        <v>858</v>
      </c>
      <c r="D31" s="15">
        <v>1.55</v>
      </c>
      <c r="E31" s="16">
        <f t="shared" si="0"/>
        <v>2713903</v>
      </c>
      <c r="F31" s="17">
        <f t="shared" si="1"/>
        <v>0.76939877063575701</v>
      </c>
      <c r="G31" s="16">
        <f t="shared" si="2"/>
        <v>4801977</v>
      </c>
      <c r="H31" s="16">
        <f t="shared" si="3"/>
        <v>90463</v>
      </c>
      <c r="I31" s="13"/>
      <c r="J31" s="13"/>
    </row>
    <row r="32" spans="1:15">
      <c r="A32" s="13" t="s">
        <v>863</v>
      </c>
      <c r="B32" s="13" t="s">
        <v>864</v>
      </c>
      <c r="C32" s="13" t="s">
        <v>858</v>
      </c>
      <c r="D32" s="15">
        <v>1.55</v>
      </c>
      <c r="E32" s="16">
        <f t="shared" si="0"/>
        <v>2713903</v>
      </c>
      <c r="F32" s="17">
        <f t="shared" si="1"/>
        <v>0.76939877063575701</v>
      </c>
      <c r="G32" s="16">
        <f t="shared" si="2"/>
        <v>4801977</v>
      </c>
      <c r="H32" s="16">
        <f t="shared" si="3"/>
        <v>90463</v>
      </c>
      <c r="I32" s="13"/>
      <c r="J32" s="13"/>
    </row>
    <row r="33" spans="1:10">
      <c r="A33" s="13" t="s">
        <v>865</v>
      </c>
      <c r="B33" s="13" t="s">
        <v>866</v>
      </c>
      <c r="C33" s="13" t="s">
        <v>858</v>
      </c>
      <c r="D33" s="15">
        <v>1.81760073673417</v>
      </c>
      <c r="E33" s="16">
        <f t="shared" si="0"/>
        <v>3182446</v>
      </c>
      <c r="F33" s="17">
        <f t="shared" si="1"/>
        <v>0.76939877063575701</v>
      </c>
      <c r="G33" s="16">
        <f t="shared" si="2"/>
        <v>5631016</v>
      </c>
      <c r="H33" s="16">
        <f t="shared" si="3"/>
        <v>106082</v>
      </c>
      <c r="I33" s="13"/>
      <c r="J33" s="13"/>
    </row>
    <row r="34" spans="1:10">
      <c r="A34" s="13" t="s">
        <v>867</v>
      </c>
      <c r="B34" s="13" t="s">
        <v>868</v>
      </c>
      <c r="C34" s="13" t="s">
        <v>858</v>
      </c>
      <c r="D34" s="15">
        <v>2.16</v>
      </c>
      <c r="E34" s="16">
        <f t="shared" si="0"/>
        <v>3781955</v>
      </c>
      <c r="F34" s="17">
        <f t="shared" si="1"/>
        <v>0.60540000000000005</v>
      </c>
      <c r="G34" s="16">
        <f t="shared" si="2"/>
        <v>6071551</v>
      </c>
      <c r="H34" s="16">
        <f t="shared" si="3"/>
        <v>126065</v>
      </c>
      <c r="I34" s="13"/>
      <c r="J34" s="13"/>
    </row>
    <row r="35" spans="1:10">
      <c r="A35" s="13" t="s">
        <v>869</v>
      </c>
      <c r="B35" s="13" t="s">
        <v>870</v>
      </c>
      <c r="C35" s="13" t="s">
        <v>858</v>
      </c>
      <c r="D35" s="15">
        <v>1.81760073673417</v>
      </c>
      <c r="E35" s="16">
        <f t="shared" si="0"/>
        <v>3182446</v>
      </c>
      <c r="F35" s="17">
        <f t="shared" si="1"/>
        <v>0.76939877063575701</v>
      </c>
      <c r="G35" s="16">
        <f t="shared" si="2"/>
        <v>5631016</v>
      </c>
      <c r="H35" s="16">
        <f t="shared" si="3"/>
        <v>106082</v>
      </c>
      <c r="I35" s="13"/>
      <c r="J35" s="13"/>
    </row>
    <row r="36" spans="1:10">
      <c r="A36" s="13" t="s">
        <v>871</v>
      </c>
      <c r="B36" s="13" t="s">
        <v>872</v>
      </c>
      <c r="C36" s="13" t="s">
        <v>858</v>
      </c>
      <c r="D36" s="15">
        <v>1.72</v>
      </c>
      <c r="E36" s="16">
        <f t="shared" si="0"/>
        <v>3011557</v>
      </c>
      <c r="F36" s="17">
        <f t="shared" si="1"/>
        <v>0.76939877063575701</v>
      </c>
      <c r="G36" s="16">
        <f t="shared" si="2"/>
        <v>5328645</v>
      </c>
      <c r="H36" s="16">
        <f t="shared" si="3"/>
        <v>100385</v>
      </c>
      <c r="I36" s="13"/>
      <c r="J36" s="13"/>
    </row>
    <row r="37" spans="1:10">
      <c r="A37" s="13" t="s">
        <v>873</v>
      </c>
      <c r="B37" s="13" t="s">
        <v>874</v>
      </c>
      <c r="C37" s="13" t="s">
        <v>47</v>
      </c>
      <c r="D37" s="15">
        <v>5.2682412854508698</v>
      </c>
      <c r="E37" s="16">
        <f t="shared" si="0"/>
        <v>9224190</v>
      </c>
      <c r="F37" s="17">
        <f t="shared" si="1"/>
        <v>0.60540000000000005</v>
      </c>
      <c r="G37" s="16">
        <f t="shared" si="2"/>
        <v>14808515</v>
      </c>
      <c r="H37" s="16">
        <f t="shared" si="3"/>
        <v>307473</v>
      </c>
      <c r="I37" s="13"/>
      <c r="J37" s="13"/>
    </row>
    <row r="38" spans="1:10">
      <c r="A38" s="13" t="s">
        <v>875</v>
      </c>
      <c r="B38" s="13" t="s">
        <v>876</v>
      </c>
      <c r="C38" s="13" t="s">
        <v>47</v>
      </c>
      <c r="D38" s="15">
        <v>2.33</v>
      </c>
      <c r="E38" s="16">
        <f t="shared" si="0"/>
        <v>4079609</v>
      </c>
      <c r="F38" s="17">
        <f t="shared" si="1"/>
        <v>0.60540000000000005</v>
      </c>
      <c r="G38" s="16">
        <f t="shared" si="2"/>
        <v>6549404</v>
      </c>
      <c r="H38" s="16">
        <f t="shared" si="3"/>
        <v>135987</v>
      </c>
      <c r="I38" s="13"/>
      <c r="J38" s="13"/>
    </row>
    <row r="39" spans="1:10">
      <c r="A39" s="13" t="s">
        <v>877</v>
      </c>
      <c r="B39" s="13" t="s">
        <v>878</v>
      </c>
      <c r="C39" s="13" t="s">
        <v>47</v>
      </c>
      <c r="D39" s="15">
        <v>1.81760073673417</v>
      </c>
      <c r="E39" s="16">
        <f t="shared" si="0"/>
        <v>3182446</v>
      </c>
      <c r="F39" s="17">
        <f t="shared" si="1"/>
        <v>0.76939877063575701</v>
      </c>
      <c r="G39" s="16">
        <f t="shared" si="2"/>
        <v>5631016</v>
      </c>
      <c r="H39" s="16">
        <f t="shared" si="3"/>
        <v>106082</v>
      </c>
      <c r="I39" s="13"/>
      <c r="J39" s="13"/>
    </row>
    <row r="40" spans="1:10">
      <c r="A40" s="13" t="s">
        <v>879</v>
      </c>
      <c r="B40" s="13" t="s">
        <v>880</v>
      </c>
      <c r="C40" s="13" t="s">
        <v>47</v>
      </c>
      <c r="D40" s="15">
        <v>1.81760073673417</v>
      </c>
      <c r="E40" s="16">
        <f t="shared" si="0"/>
        <v>3182446</v>
      </c>
      <c r="F40" s="17">
        <f t="shared" si="1"/>
        <v>0.76939877063575701</v>
      </c>
      <c r="G40" s="16">
        <f t="shared" si="2"/>
        <v>5631016</v>
      </c>
      <c r="H40" s="16">
        <f t="shared" si="3"/>
        <v>106082</v>
      </c>
      <c r="I40" s="13"/>
      <c r="J40" s="13"/>
    </row>
    <row r="41" spans="1:10">
      <c r="A41" s="13" t="s">
        <v>881</v>
      </c>
      <c r="B41" s="13" t="s">
        <v>882</v>
      </c>
      <c r="C41" s="13" t="s">
        <v>47</v>
      </c>
      <c r="D41" s="15">
        <v>2.33</v>
      </c>
      <c r="E41" s="16">
        <f t="shared" si="0"/>
        <v>4079609</v>
      </c>
      <c r="F41" s="17">
        <f t="shared" si="1"/>
        <v>0.60540000000000005</v>
      </c>
      <c r="G41" s="16">
        <f t="shared" si="2"/>
        <v>6549404</v>
      </c>
      <c r="H41" s="16">
        <f t="shared" si="3"/>
        <v>135987</v>
      </c>
      <c r="I41" s="13"/>
      <c r="J41" s="13"/>
    </row>
    <row r="42" spans="1:10">
      <c r="A42" s="13" t="s">
        <v>883</v>
      </c>
      <c r="B42" s="13" t="s">
        <v>864</v>
      </c>
      <c r="C42" s="13" t="s">
        <v>47</v>
      </c>
      <c r="D42" s="15">
        <v>1.55</v>
      </c>
      <c r="E42" s="16">
        <f t="shared" si="0"/>
        <v>2713903</v>
      </c>
      <c r="F42" s="17">
        <f t="shared" si="1"/>
        <v>0.76939877063575701</v>
      </c>
      <c r="G42" s="16">
        <f t="shared" si="2"/>
        <v>4801977</v>
      </c>
      <c r="H42" s="16">
        <f t="shared" si="3"/>
        <v>90463</v>
      </c>
      <c r="I42" s="13"/>
      <c r="J42" s="13"/>
    </row>
    <row r="43" spans="1:10">
      <c r="A43" s="13" t="s">
        <v>884</v>
      </c>
      <c r="B43" s="13" t="s">
        <v>885</v>
      </c>
      <c r="C43" s="13" t="s">
        <v>858</v>
      </c>
      <c r="D43" s="15">
        <v>5.2682412854508698</v>
      </c>
      <c r="E43" s="16">
        <f t="shared" si="0"/>
        <v>9224190</v>
      </c>
      <c r="F43" s="17">
        <f t="shared" si="1"/>
        <v>0.60540000000000005</v>
      </c>
      <c r="G43" s="16">
        <f t="shared" si="2"/>
        <v>14808515</v>
      </c>
      <c r="H43" s="16">
        <f t="shared" si="3"/>
        <v>307473</v>
      </c>
      <c r="I43" s="13"/>
      <c r="J43" s="13"/>
    </row>
  </sheetData>
  <mergeCells count="6">
    <mergeCell ref="A27:J27"/>
    <mergeCell ref="L2:M2"/>
    <mergeCell ref="A1:J1"/>
    <mergeCell ref="A2:J2"/>
    <mergeCell ref="A3:J3"/>
    <mergeCell ref="A4:J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2"/>
  <sheetViews>
    <sheetView showGridLines="0" workbookViewId="0">
      <selection sqref="A1:E1"/>
    </sheetView>
  </sheetViews>
  <sheetFormatPr defaultColWidth="8.75" defaultRowHeight="14.25"/>
  <cols>
    <col min="1" max="2" width="14" customWidth="1"/>
    <col min="3" max="3" width="60" customWidth="1"/>
    <col min="4" max="4" width="12" customWidth="1"/>
    <col min="5" max="5" width="18" customWidth="1"/>
  </cols>
  <sheetData>
    <row r="1" spans="1:5" ht="24" customHeight="1">
      <c r="A1" s="389" t="s">
        <v>0</v>
      </c>
      <c r="B1" s="389" t="s">
        <v>0</v>
      </c>
      <c r="C1" s="389" t="s">
        <v>0</v>
      </c>
      <c r="D1" s="389" t="s">
        <v>0</v>
      </c>
      <c r="E1" s="389" t="s">
        <v>0</v>
      </c>
    </row>
    <row r="2" spans="1:5" ht="48" customHeight="1">
      <c r="A2" s="389" t="s">
        <v>1</v>
      </c>
      <c r="B2" s="389" t="s">
        <v>1</v>
      </c>
      <c r="C2" s="389" t="s">
        <v>1</v>
      </c>
      <c r="D2" s="389" t="s">
        <v>1</v>
      </c>
      <c r="E2" s="389" t="s">
        <v>1</v>
      </c>
    </row>
    <row r="3" spans="1:5" ht="24" customHeight="1">
      <c r="A3" s="389" t="s">
        <v>886</v>
      </c>
      <c r="B3" s="389" t="s">
        <v>886</v>
      </c>
      <c r="C3" s="389" t="s">
        <v>886</v>
      </c>
      <c r="D3" s="389" t="s">
        <v>886</v>
      </c>
      <c r="E3" s="389" t="s">
        <v>886</v>
      </c>
    </row>
    <row r="4" spans="1:5">
      <c r="A4" s="1"/>
      <c r="B4" s="1"/>
      <c r="C4" s="1"/>
      <c r="D4" s="1"/>
      <c r="E4" s="1"/>
    </row>
    <row r="5" spans="1:5">
      <c r="A5" s="2" t="s">
        <v>471</v>
      </c>
      <c r="B5" s="2" t="s">
        <v>814</v>
      </c>
      <c r="C5" s="2" t="s">
        <v>4</v>
      </c>
      <c r="D5" s="2" t="s">
        <v>58</v>
      </c>
      <c r="E5" s="2" t="s">
        <v>815</v>
      </c>
    </row>
    <row r="6" spans="1:5">
      <c r="A6" s="4" t="s">
        <v>795</v>
      </c>
      <c r="B6" s="4">
        <v>11</v>
      </c>
      <c r="C6" s="3" t="s">
        <v>796</v>
      </c>
      <c r="D6" s="4" t="s">
        <v>797</v>
      </c>
      <c r="E6" s="262">
        <v>1000</v>
      </c>
    </row>
    <row r="7" spans="1:5">
      <c r="A7" s="4" t="s">
        <v>802</v>
      </c>
      <c r="B7" s="4">
        <v>6</v>
      </c>
      <c r="C7" s="3" t="s">
        <v>803</v>
      </c>
      <c r="D7" s="4" t="s">
        <v>797</v>
      </c>
      <c r="E7" s="262">
        <v>1000</v>
      </c>
    </row>
    <row r="8" spans="1:5">
      <c r="A8" s="4" t="s">
        <v>807</v>
      </c>
      <c r="B8" s="4">
        <v>1</v>
      </c>
      <c r="C8" s="3" t="s">
        <v>808</v>
      </c>
      <c r="D8" s="4" t="s">
        <v>797</v>
      </c>
      <c r="E8" s="262">
        <v>1000</v>
      </c>
    </row>
    <row r="9" spans="1:5">
      <c r="A9" s="4" t="s">
        <v>622</v>
      </c>
      <c r="B9" s="4"/>
      <c r="C9" s="3" t="s">
        <v>623</v>
      </c>
      <c r="D9" s="4" t="s">
        <v>478</v>
      </c>
      <c r="E9" s="262">
        <v>126000</v>
      </c>
    </row>
    <row r="10" spans="1:5">
      <c r="A10" s="4" t="s">
        <v>633</v>
      </c>
      <c r="B10" s="4"/>
      <c r="C10" s="3" t="s">
        <v>634</v>
      </c>
      <c r="D10" s="4" t="s">
        <v>478</v>
      </c>
      <c r="E10" s="262">
        <v>653</v>
      </c>
    </row>
    <row r="11" spans="1:5">
      <c r="A11" s="4" t="s">
        <v>635</v>
      </c>
      <c r="B11" s="4"/>
      <c r="C11" s="3" t="s">
        <v>636</v>
      </c>
      <c r="D11" s="4" t="s">
        <v>478</v>
      </c>
      <c r="E11" s="262">
        <v>653</v>
      </c>
    </row>
    <row r="12" spans="1:5" ht="24">
      <c r="A12" s="4" t="s">
        <v>887</v>
      </c>
      <c r="B12" s="4"/>
      <c r="C12" s="3" t="s">
        <v>888</v>
      </c>
      <c r="D12" s="4" t="s">
        <v>65</v>
      </c>
      <c r="E12" s="262">
        <v>25000</v>
      </c>
    </row>
  </sheetData>
  <mergeCells count="3">
    <mergeCell ref="A1:E1"/>
    <mergeCell ref="A2:E2"/>
    <mergeCell ref="A3:E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83"/>
  <sheetViews>
    <sheetView showGridLines="0" topLeftCell="A15" workbookViewId="0">
      <selection activeCell="C81" sqref="C81"/>
    </sheetView>
  </sheetViews>
  <sheetFormatPr defaultColWidth="8.75" defaultRowHeight="14.25"/>
  <cols>
    <col min="1" max="1" width="8" customWidth="1"/>
    <col min="2" max="2" width="50" customWidth="1"/>
    <col min="3" max="3" width="11" customWidth="1"/>
    <col min="4" max="4" width="14.125" bestFit="1" customWidth="1"/>
    <col min="5" max="5" width="18" customWidth="1"/>
    <col min="6" max="6" width="13" customWidth="1"/>
    <col min="7" max="7" width="12" customWidth="1"/>
    <col min="8" max="8" width="9" customWidth="1"/>
    <col min="9" max="9" width="18" customWidth="1"/>
    <col min="10" max="10" width="13" customWidth="1"/>
    <col min="11" max="11" width="18" customWidth="1"/>
    <col min="12" max="12" width="13" customWidth="1"/>
    <col min="14" max="14" width="16.25" bestFit="1" customWidth="1"/>
  </cols>
  <sheetData>
    <row r="1" spans="1:12" ht="22.15" customHeight="1">
      <c r="A1" s="420" t="s">
        <v>0</v>
      </c>
      <c r="B1" s="420"/>
      <c r="C1" s="420"/>
      <c r="D1" s="420"/>
      <c r="E1" s="420"/>
      <c r="F1" s="420"/>
      <c r="G1" s="420"/>
      <c r="H1" s="420"/>
      <c r="I1" s="420"/>
      <c r="J1" s="420"/>
      <c r="K1" s="420"/>
      <c r="L1" s="420"/>
    </row>
    <row r="2" spans="1:12" ht="37.9" customHeight="1">
      <c r="A2" s="420" t="s">
        <v>1</v>
      </c>
      <c r="B2" s="420"/>
      <c r="C2" s="420"/>
      <c r="D2" s="420"/>
      <c r="E2" s="420"/>
      <c r="F2" s="420"/>
      <c r="G2" s="420"/>
      <c r="H2" s="420"/>
      <c r="I2" s="420"/>
      <c r="J2" s="420"/>
      <c r="K2" s="420"/>
      <c r="L2" s="420"/>
    </row>
    <row r="3" spans="1:12" ht="24" customHeight="1">
      <c r="A3" s="420" t="s">
        <v>889</v>
      </c>
      <c r="B3" s="420"/>
      <c r="C3" s="420"/>
      <c r="D3" s="420"/>
      <c r="E3" s="420"/>
      <c r="F3" s="420"/>
      <c r="G3" s="420"/>
      <c r="H3" s="420"/>
      <c r="I3" s="420"/>
      <c r="J3" s="420"/>
      <c r="K3" s="420"/>
      <c r="L3" s="420"/>
    </row>
    <row r="5" spans="1:12" ht="24">
      <c r="A5" s="268" t="s">
        <v>57</v>
      </c>
      <c r="B5" s="268" t="s">
        <v>4</v>
      </c>
      <c r="C5" s="268" t="s">
        <v>58</v>
      </c>
      <c r="D5" s="268" t="s">
        <v>890</v>
      </c>
      <c r="E5" s="268" t="s">
        <v>891</v>
      </c>
      <c r="F5" s="268" t="s">
        <v>892</v>
      </c>
      <c r="G5" s="268" t="s">
        <v>893</v>
      </c>
      <c r="H5" s="268" t="s">
        <v>894</v>
      </c>
      <c r="I5" s="268" t="s">
        <v>895</v>
      </c>
      <c r="J5" s="268" t="s">
        <v>896</v>
      </c>
      <c r="K5" s="268" t="s">
        <v>897</v>
      </c>
      <c r="L5" s="268" t="s">
        <v>6</v>
      </c>
    </row>
    <row r="6" spans="1:12">
      <c r="A6" s="13"/>
      <c r="B6" s="13" t="s">
        <v>898</v>
      </c>
      <c r="C6" s="13"/>
      <c r="D6" s="58"/>
      <c r="E6" s="16"/>
      <c r="F6" s="17"/>
      <c r="G6" s="28"/>
      <c r="H6" s="58"/>
      <c r="I6" s="16"/>
      <c r="J6" s="17"/>
      <c r="K6" s="16">
        <f>ROUND(ACTIVIDADES!$H$145,0)</f>
        <v>397544413</v>
      </c>
      <c r="L6" s="18">
        <f>1</f>
        <v>1</v>
      </c>
    </row>
    <row r="7" spans="1:12" ht="15" hidden="1">
      <c r="A7" s="13"/>
      <c r="B7" s="13" t="s">
        <v>899</v>
      </c>
      <c r="C7" s="13"/>
      <c r="D7" s="58"/>
      <c r="E7" s="16"/>
      <c r="F7" s="17"/>
      <c r="G7" s="28"/>
      <c r="H7" s="58"/>
      <c r="I7" s="16"/>
      <c r="J7" s="24">
        <v>0.25</v>
      </c>
      <c r="K7" s="16">
        <f>ROUND($K$6*$J$7,0)</f>
        <v>99386103</v>
      </c>
      <c r="L7" s="18">
        <f>K7/$K$6</f>
        <v>0.24999999937113945</v>
      </c>
    </row>
    <row r="8" spans="1:12" ht="15" hidden="1">
      <c r="A8" s="13"/>
      <c r="B8" s="13" t="s">
        <v>43</v>
      </c>
      <c r="C8" s="13"/>
      <c r="D8" s="58"/>
      <c r="E8" s="16"/>
      <c r="F8" s="17"/>
      <c r="G8" s="28"/>
      <c r="H8" s="58"/>
      <c r="I8" s="16"/>
      <c r="J8" s="24">
        <v>0.05</v>
      </c>
      <c r="K8" s="16">
        <f>ROUND($K$6*$J$8,0)</f>
        <v>19877221</v>
      </c>
      <c r="L8" s="18">
        <f>K8/$K$6</f>
        <v>5.000000088040478E-2</v>
      </c>
    </row>
    <row r="9" spans="1:12" hidden="1">
      <c r="A9" s="13"/>
      <c r="B9" s="13"/>
      <c r="C9" s="13"/>
      <c r="D9" s="58"/>
      <c r="E9" s="16"/>
      <c r="F9" s="17"/>
      <c r="G9" s="28"/>
      <c r="H9" s="58"/>
      <c r="I9" s="16"/>
      <c r="J9" s="17"/>
      <c r="K9" s="16"/>
      <c r="L9" s="18"/>
    </row>
    <row r="10" spans="1:12" ht="15">
      <c r="A10" s="421" t="s">
        <v>900</v>
      </c>
      <c r="B10" s="421"/>
      <c r="C10" s="421"/>
      <c r="D10" s="422"/>
      <c r="E10" s="423"/>
      <c r="F10" s="424"/>
      <c r="G10" s="425"/>
      <c r="H10" s="422"/>
      <c r="I10" s="423"/>
      <c r="J10" s="424"/>
      <c r="K10" s="423"/>
      <c r="L10" s="426"/>
    </row>
    <row r="11" spans="1:12">
      <c r="A11" s="13">
        <v>1</v>
      </c>
      <c r="B11" s="13" t="s">
        <v>901</v>
      </c>
      <c r="C11" s="13" t="s">
        <v>902</v>
      </c>
      <c r="D11" s="59">
        <v>0</v>
      </c>
      <c r="E11" s="26">
        <f>ROUND('MANO DE OBRA'!$E$29,0)</f>
        <v>9224190</v>
      </c>
      <c r="F11" s="15">
        <f>1+'MANO DE OBRA'!$F$29</f>
        <v>1.6053999999999999</v>
      </c>
      <c r="G11" s="29">
        <v>0.3</v>
      </c>
      <c r="H11" s="59">
        <v>5</v>
      </c>
      <c r="I11" s="16">
        <f>ROUND(D11*E11*F11*G11*H11,0)</f>
        <v>0</v>
      </c>
      <c r="J11" s="17">
        <f>$J$56</f>
        <v>1</v>
      </c>
      <c r="K11" s="16">
        <f>ROUND(I11*J11,0)</f>
        <v>0</v>
      </c>
      <c r="L11" s="18">
        <f>IFERROR(K11/$K$6,0)</f>
        <v>0</v>
      </c>
    </row>
    <row r="12" spans="1:12">
      <c r="A12" s="13">
        <v>2</v>
      </c>
      <c r="B12" s="13" t="s">
        <v>903</v>
      </c>
      <c r="C12" s="13" t="s">
        <v>902</v>
      </c>
      <c r="D12" s="59">
        <v>1</v>
      </c>
      <c r="E12" s="26">
        <f>ROUND('MANO DE OBRA'!$E$30,0)</f>
        <v>4079609</v>
      </c>
      <c r="F12" s="15">
        <f>1+'MANO DE OBRA'!$F$30</f>
        <v>1.6053999999999999</v>
      </c>
      <c r="G12" s="29">
        <v>1</v>
      </c>
      <c r="H12" s="59">
        <v>5</v>
      </c>
      <c r="I12" s="16">
        <f>ROUND(D12*E12*F12*G12*H12,0)</f>
        <v>32747021</v>
      </c>
      <c r="J12" s="17">
        <f>$J$56</f>
        <v>1</v>
      </c>
      <c r="K12" s="16">
        <f>ROUND(I12*J12,0)</f>
        <v>32747021</v>
      </c>
      <c r="L12" s="18">
        <f>IFERROR(K12/$K$6,0)</f>
        <v>8.2373239137937523E-2</v>
      </c>
    </row>
    <row r="13" spans="1:12">
      <c r="A13" s="13">
        <v>3</v>
      </c>
      <c r="B13" s="13" t="s">
        <v>904</v>
      </c>
      <c r="C13" s="13" t="s">
        <v>902</v>
      </c>
      <c r="D13" s="59">
        <v>0</v>
      </c>
      <c r="E13" s="26">
        <f>ROUND('MANO DE OBRA'!$E$31,0)</f>
        <v>2713903</v>
      </c>
      <c r="F13" s="15">
        <f>1+'MANO DE OBRA'!$F$31</f>
        <v>1.769398770635757</v>
      </c>
      <c r="G13" s="29">
        <v>0.5</v>
      </c>
      <c r="H13" s="59">
        <v>5</v>
      </c>
      <c r="I13" s="16">
        <f>ROUND(D13*E13*F13*G13*H13,0)</f>
        <v>0</v>
      </c>
      <c r="J13" s="17">
        <f>$J$56</f>
        <v>1</v>
      </c>
      <c r="K13" s="16">
        <f>ROUND(I13*J13,0)</f>
        <v>0</v>
      </c>
      <c r="L13" s="18">
        <f>IFERROR(K13/$K$6,0)</f>
        <v>0</v>
      </c>
    </row>
    <row r="14" spans="1:12">
      <c r="A14" s="13">
        <v>4</v>
      </c>
      <c r="B14" s="13" t="s">
        <v>905</v>
      </c>
      <c r="C14" s="13" t="s">
        <v>902</v>
      </c>
      <c r="D14" s="59">
        <v>1</v>
      </c>
      <c r="E14" s="26">
        <f>ROUND('MANO DE OBRA'!$E$32,0)</f>
        <v>2713903</v>
      </c>
      <c r="F14" s="15">
        <f>1+'MANO DE OBRA'!$F$32</f>
        <v>1.769398770635757</v>
      </c>
      <c r="G14" s="29">
        <v>0.5</v>
      </c>
      <c r="H14" s="59">
        <v>5</v>
      </c>
      <c r="I14" s="16">
        <f>ROUND(D14*E14*F14*G14*H14,0)</f>
        <v>12004942</v>
      </c>
      <c r="J14" s="17">
        <f>$J$56</f>
        <v>1</v>
      </c>
      <c r="K14" s="16">
        <f>ROUND(I14*J14,0)</f>
        <v>12004942</v>
      </c>
      <c r="L14" s="18">
        <f>IFERROR(K14/$K$6,0)</f>
        <v>3.0197737931736447E-2</v>
      </c>
    </row>
    <row r="15" spans="1:12" ht="15">
      <c r="A15" s="269"/>
      <c r="B15" s="269" t="s">
        <v>906</v>
      </c>
      <c r="C15" s="269"/>
      <c r="D15" s="270"/>
      <c r="E15" s="271"/>
      <c r="F15" s="272"/>
      <c r="G15" s="273"/>
      <c r="H15" s="270"/>
      <c r="I15" s="271">
        <f>ROUND(SUM(I11:I14),0)</f>
        <v>44751963</v>
      </c>
      <c r="J15" s="272"/>
      <c r="K15" s="271">
        <f>ROUND(SUM(K11:K14),0)</f>
        <v>44751963</v>
      </c>
      <c r="L15" s="274">
        <f>K15/$K$6</f>
        <v>0.11257097706967398</v>
      </c>
    </row>
    <row r="16" spans="1:12" ht="15">
      <c r="A16" s="421" t="s">
        <v>907</v>
      </c>
      <c r="B16" s="421"/>
      <c r="C16" s="421"/>
      <c r="D16" s="422"/>
      <c r="E16" s="423"/>
      <c r="F16" s="424"/>
      <c r="G16" s="425"/>
      <c r="H16" s="422"/>
      <c r="I16" s="423"/>
      <c r="J16" s="424"/>
      <c r="K16" s="423"/>
      <c r="L16" s="426"/>
    </row>
    <row r="17" spans="1:12">
      <c r="A17" s="13">
        <v>5</v>
      </c>
      <c r="B17" s="13" t="s">
        <v>908</v>
      </c>
      <c r="C17" s="13" t="s">
        <v>902</v>
      </c>
      <c r="D17" s="59">
        <v>0</v>
      </c>
      <c r="E17" s="26">
        <f>ROUND('MANO DE OBRA'!$E$33,0)</f>
        <v>3182446</v>
      </c>
      <c r="F17" s="15">
        <f>1+'MANO DE OBRA'!$F$33</f>
        <v>1.769398770635757</v>
      </c>
      <c r="G17" s="29">
        <v>1</v>
      </c>
      <c r="H17" s="59">
        <v>5</v>
      </c>
      <c r="I17" s="16">
        <f>ROUND(D17*E17*F17*G17*H17,0)</f>
        <v>0</v>
      </c>
      <c r="J17" s="17">
        <f>$J$56</f>
        <v>1</v>
      </c>
      <c r="K17" s="16">
        <f>ROUND(I17*J17,0)</f>
        <v>0</v>
      </c>
      <c r="L17" s="18">
        <f>IFERROR(K17/$K$6,0)</f>
        <v>0</v>
      </c>
    </row>
    <row r="18" spans="1:12">
      <c r="A18" s="13">
        <v>6</v>
      </c>
      <c r="B18" s="13" t="s">
        <v>909</v>
      </c>
      <c r="C18" s="13" t="s">
        <v>902</v>
      </c>
      <c r="D18" s="59">
        <v>0</v>
      </c>
      <c r="E18" s="26">
        <f>ROUND('MANO DE OBRA'!$E$34,0)</f>
        <v>3781955</v>
      </c>
      <c r="F18" s="15">
        <f>1+'MANO DE OBRA'!$F$34</f>
        <v>1.6053999999999999</v>
      </c>
      <c r="G18" s="29">
        <v>1</v>
      </c>
      <c r="H18" s="59">
        <v>5</v>
      </c>
      <c r="I18" s="16">
        <f>ROUND(D18*E18*F18*G18*H18,0)</f>
        <v>0</v>
      </c>
      <c r="J18" s="17">
        <f>$J$56</f>
        <v>1</v>
      </c>
      <c r="K18" s="16">
        <f>ROUND(I18*J18,0)</f>
        <v>0</v>
      </c>
      <c r="L18" s="18">
        <f>IFERROR(K18/$K$6,0)</f>
        <v>0</v>
      </c>
    </row>
    <row r="19" spans="1:12">
      <c r="A19" s="13">
        <v>7</v>
      </c>
      <c r="B19" s="13" t="s">
        <v>910</v>
      </c>
      <c r="C19" s="13" t="s">
        <v>902</v>
      </c>
      <c r="D19" s="59">
        <v>0</v>
      </c>
      <c r="E19" s="26">
        <f>ROUND('MANO DE OBRA'!$E$35,0)</f>
        <v>3182446</v>
      </c>
      <c r="F19" s="15">
        <f>1+'MANO DE OBRA'!$F$35</f>
        <v>1.769398770635757</v>
      </c>
      <c r="G19" s="29">
        <v>1</v>
      </c>
      <c r="H19" s="59">
        <v>5</v>
      </c>
      <c r="I19" s="16">
        <f>ROUND(D19*E19*F19*G19*H19,0)</f>
        <v>0</v>
      </c>
      <c r="J19" s="17">
        <f>$J$56</f>
        <v>1</v>
      </c>
      <c r="K19" s="16">
        <f>ROUND(I19*J19,0)</f>
        <v>0</v>
      </c>
      <c r="L19" s="18">
        <f>IFERROR(K19/$K$6,0)</f>
        <v>0</v>
      </c>
    </row>
    <row r="20" spans="1:12" ht="15">
      <c r="A20" s="269"/>
      <c r="B20" s="269" t="s">
        <v>911</v>
      </c>
      <c r="C20" s="269"/>
      <c r="D20" s="270"/>
      <c r="E20" s="271"/>
      <c r="F20" s="272"/>
      <c r="G20" s="273"/>
      <c r="H20" s="270"/>
      <c r="I20" s="271">
        <f>ROUND(SUM(I17:I19),0)</f>
        <v>0</v>
      </c>
      <c r="J20" s="272"/>
      <c r="K20" s="271">
        <f>ROUND(SUM(K17:K19),0)</f>
        <v>0</v>
      </c>
      <c r="L20" s="274">
        <f>K20/$K$6</f>
        <v>0</v>
      </c>
    </row>
    <row r="21" spans="1:12" ht="15">
      <c r="A21" s="421" t="s">
        <v>912</v>
      </c>
      <c r="B21" s="421"/>
      <c r="C21" s="421"/>
      <c r="D21" s="422"/>
      <c r="E21" s="423"/>
      <c r="F21" s="424"/>
      <c r="G21" s="425"/>
      <c r="H21" s="422"/>
      <c r="I21" s="423"/>
      <c r="J21" s="424"/>
      <c r="K21" s="423"/>
      <c r="L21" s="426"/>
    </row>
    <row r="22" spans="1:12">
      <c r="A22" s="13">
        <v>8</v>
      </c>
      <c r="B22" s="13" t="s">
        <v>913</v>
      </c>
      <c r="C22" s="13" t="s">
        <v>902</v>
      </c>
      <c r="D22" s="59">
        <v>0</v>
      </c>
      <c r="E22" s="26">
        <f>ROUND('MANO DE OBRA'!$E$36,0)</f>
        <v>3011557</v>
      </c>
      <c r="F22" s="15">
        <f>1+'MANO DE OBRA'!$F$36</f>
        <v>1.769398770635757</v>
      </c>
      <c r="G22" s="29">
        <v>0.05</v>
      </c>
      <c r="H22" s="59">
        <v>5</v>
      </c>
      <c r="I22" s="16">
        <f>ROUND(D22*E22*F22*G22*H22,0)</f>
        <v>0</v>
      </c>
      <c r="J22" s="17">
        <f>$J$56</f>
        <v>1</v>
      </c>
      <c r="K22" s="16">
        <f>ROUND(I22*J22,0)</f>
        <v>0</v>
      </c>
      <c r="L22" s="18">
        <f>IFERROR(K22/$K$6,0)</f>
        <v>0</v>
      </c>
    </row>
    <row r="23" spans="1:12">
      <c r="A23" s="13">
        <v>9</v>
      </c>
      <c r="B23" s="13" t="s">
        <v>914</v>
      </c>
      <c r="C23" s="13" t="s">
        <v>902</v>
      </c>
      <c r="D23" s="59">
        <v>0</v>
      </c>
      <c r="E23" s="26">
        <f>ROUND('MANO DE OBRA'!$E$36,0)</f>
        <v>3011557</v>
      </c>
      <c r="F23" s="15">
        <f>1+'MANO DE OBRA'!$F$36</f>
        <v>1.769398770635757</v>
      </c>
      <c r="G23" s="29">
        <v>0.05</v>
      </c>
      <c r="H23" s="59">
        <v>5</v>
      </c>
      <c r="I23" s="16">
        <f>ROUND(D23*E23*F23*G23*H23,0)</f>
        <v>0</v>
      </c>
      <c r="J23" s="17">
        <f>$J$56</f>
        <v>1</v>
      </c>
      <c r="K23" s="16">
        <f>ROUND(I23*J23,0)</f>
        <v>0</v>
      </c>
      <c r="L23" s="18">
        <f>IFERROR(K23/$K$6,0)</f>
        <v>0</v>
      </c>
    </row>
    <row r="24" spans="1:12" ht="15">
      <c r="A24" s="269"/>
      <c r="B24" s="269" t="s">
        <v>915</v>
      </c>
      <c r="C24" s="269"/>
      <c r="D24" s="270"/>
      <c r="E24" s="271"/>
      <c r="F24" s="272"/>
      <c r="G24" s="273"/>
      <c r="H24" s="270"/>
      <c r="I24" s="271">
        <f>ROUND(SUM(I22:I23),0)</f>
        <v>0</v>
      </c>
      <c r="J24" s="272"/>
      <c r="K24" s="271">
        <f>ROUND(SUM(K22:K23),0)</f>
        <v>0</v>
      </c>
      <c r="L24" s="274">
        <f>K24/$K$6</f>
        <v>0</v>
      </c>
    </row>
    <row r="25" spans="1:12" ht="15">
      <c r="A25" s="421" t="s">
        <v>916</v>
      </c>
      <c r="B25" s="421"/>
      <c r="C25" s="421"/>
      <c r="D25" s="422"/>
      <c r="E25" s="423"/>
      <c r="F25" s="424"/>
      <c r="G25" s="425"/>
      <c r="H25" s="422"/>
      <c r="I25" s="423"/>
      <c r="J25" s="424"/>
      <c r="K25" s="423"/>
      <c r="L25" s="426"/>
    </row>
    <row r="26" spans="1:12">
      <c r="A26" s="13">
        <v>10</v>
      </c>
      <c r="B26" s="13" t="s">
        <v>917</v>
      </c>
      <c r="C26" s="13" t="s">
        <v>902</v>
      </c>
      <c r="D26" s="59">
        <v>1</v>
      </c>
      <c r="E26" s="26">
        <v>500000</v>
      </c>
      <c r="F26" s="15">
        <v>1</v>
      </c>
      <c r="G26" s="29">
        <v>1</v>
      </c>
      <c r="H26" s="59">
        <v>5</v>
      </c>
      <c r="I26" s="16">
        <f>ROUND(D26*E26*F26*G26*H26,0)</f>
        <v>2500000</v>
      </c>
      <c r="J26" s="17">
        <f>$J$56</f>
        <v>1</v>
      </c>
      <c r="K26" s="16">
        <f>ROUND(I26*J26,0)</f>
        <v>2500000</v>
      </c>
      <c r="L26" s="18">
        <f>IFERROR(K26/$K$6,0)</f>
        <v>6.2886055450614518E-3</v>
      </c>
    </row>
    <row r="27" spans="1:12">
      <c r="A27" s="13">
        <v>11</v>
      </c>
      <c r="B27" s="13" t="s">
        <v>918</v>
      </c>
      <c r="C27" s="13" t="s">
        <v>919</v>
      </c>
      <c r="D27" s="59">
        <v>1</v>
      </c>
      <c r="E27" s="26">
        <v>800000</v>
      </c>
      <c r="F27" s="15">
        <v>1</v>
      </c>
      <c r="G27" s="29">
        <v>1</v>
      </c>
      <c r="H27" s="59">
        <v>1</v>
      </c>
      <c r="I27" s="16">
        <f>ROUND(D27*E27*F27*G27*H27,0)</f>
        <v>800000</v>
      </c>
      <c r="J27" s="17">
        <f>$J$56</f>
        <v>1</v>
      </c>
      <c r="K27" s="16">
        <f>ROUND(I27*J27,0)</f>
        <v>800000</v>
      </c>
      <c r="L27" s="18">
        <f>IFERROR(K27/$K$6,0)</f>
        <v>2.0123537744196648E-3</v>
      </c>
    </row>
    <row r="28" spans="1:12" ht="15">
      <c r="A28" s="269"/>
      <c r="B28" s="269" t="s">
        <v>920</v>
      </c>
      <c r="C28" s="269"/>
      <c r="D28" s="270"/>
      <c r="E28" s="271"/>
      <c r="F28" s="272"/>
      <c r="G28" s="273"/>
      <c r="H28" s="270"/>
      <c r="I28" s="271">
        <f>ROUND(SUM(I26:I27),0)</f>
        <v>3300000</v>
      </c>
      <c r="J28" s="272"/>
      <c r="K28" s="271">
        <f>ROUND(SUM(K26:K27),0)</f>
        <v>3300000</v>
      </c>
      <c r="L28" s="274">
        <f>K28/$K$6</f>
        <v>8.300959319481117E-3</v>
      </c>
    </row>
    <row r="29" spans="1:12" ht="15">
      <c r="A29" s="421" t="s">
        <v>921</v>
      </c>
      <c r="B29" s="421"/>
      <c r="C29" s="421"/>
      <c r="D29" s="422"/>
      <c r="E29" s="423"/>
      <c r="F29" s="424"/>
      <c r="G29" s="425"/>
      <c r="H29" s="422"/>
      <c r="I29" s="423"/>
      <c r="J29" s="424"/>
      <c r="K29" s="423"/>
      <c r="L29" s="426"/>
    </row>
    <row r="30" spans="1:12">
      <c r="A30" s="13">
        <v>12</v>
      </c>
      <c r="B30" s="13" t="s">
        <v>922</v>
      </c>
      <c r="C30" s="13" t="s">
        <v>902</v>
      </c>
      <c r="D30" s="59">
        <v>2</v>
      </c>
      <c r="E30" s="26">
        <v>100000</v>
      </c>
      <c r="F30" s="15">
        <v>1</v>
      </c>
      <c r="G30" s="29">
        <v>1</v>
      </c>
      <c r="H30" s="59">
        <v>5</v>
      </c>
      <c r="I30" s="16">
        <f>ROUND(D30*E30*F30*G30*H30,0)</f>
        <v>1000000</v>
      </c>
      <c r="J30" s="17">
        <f>$J$56</f>
        <v>1</v>
      </c>
      <c r="K30" s="16">
        <f>ROUND(I30*J30,0)</f>
        <v>1000000</v>
      </c>
      <c r="L30" s="18">
        <f>IFERROR(K30/$K$6,0)</f>
        <v>2.5154422180245807E-3</v>
      </c>
    </row>
    <row r="31" spans="1:12">
      <c r="A31" s="13">
        <v>13</v>
      </c>
      <c r="B31" s="13" t="s">
        <v>923</v>
      </c>
      <c r="C31" s="13" t="s">
        <v>919</v>
      </c>
      <c r="D31" s="59">
        <v>1</v>
      </c>
      <c r="E31" s="26">
        <v>250000</v>
      </c>
      <c r="F31" s="15">
        <v>1</v>
      </c>
      <c r="G31" s="29">
        <v>1</v>
      </c>
      <c r="H31" s="59">
        <v>1</v>
      </c>
      <c r="I31" s="16">
        <f>ROUND(D31*E31*F31*G31*H31,0)</f>
        <v>250000</v>
      </c>
      <c r="J31" s="17">
        <f>$J$56</f>
        <v>1</v>
      </c>
      <c r="K31" s="16">
        <f>ROUND(I31*J31,0)</f>
        <v>250000</v>
      </c>
      <c r="L31" s="18">
        <f>IFERROR(K31/$K$6,0)</f>
        <v>6.2886055450614518E-4</v>
      </c>
    </row>
    <row r="32" spans="1:12">
      <c r="A32" s="13">
        <v>14</v>
      </c>
      <c r="B32" s="13" t="s">
        <v>924</v>
      </c>
      <c r="C32" s="13" t="s">
        <v>902</v>
      </c>
      <c r="D32" s="59">
        <v>2</v>
      </c>
      <c r="E32" s="26">
        <v>50000</v>
      </c>
      <c r="F32" s="15">
        <v>1</v>
      </c>
      <c r="G32" s="29">
        <v>1</v>
      </c>
      <c r="H32" s="59">
        <v>5</v>
      </c>
      <c r="I32" s="16">
        <f>ROUND(D32*E32*F32*G32*H32,0)</f>
        <v>500000</v>
      </c>
      <c r="J32" s="17">
        <f>$J$56</f>
        <v>1</v>
      </c>
      <c r="K32" s="16">
        <f>ROUND(I32*J32,0)</f>
        <v>500000</v>
      </c>
      <c r="L32" s="18">
        <f>IFERROR(K32/$K$6,0)</f>
        <v>1.2577211090122904E-3</v>
      </c>
    </row>
    <row r="33" spans="1:12" ht="15">
      <c r="A33" s="269"/>
      <c r="B33" s="269" t="s">
        <v>925</v>
      </c>
      <c r="C33" s="269"/>
      <c r="D33" s="270"/>
      <c r="E33" s="271"/>
      <c r="F33" s="272"/>
      <c r="G33" s="273"/>
      <c r="H33" s="270"/>
      <c r="I33" s="271">
        <f>ROUND(SUM(I30:I32),0)</f>
        <v>1750000</v>
      </c>
      <c r="J33" s="272"/>
      <c r="K33" s="271">
        <f>ROUND(SUM(K30:K32),0)</f>
        <v>1750000</v>
      </c>
      <c r="L33" s="274">
        <f>K33/$K$6</f>
        <v>4.4020238815430162E-3</v>
      </c>
    </row>
    <row r="34" spans="1:12" ht="15">
      <c r="A34" s="421" t="s">
        <v>926</v>
      </c>
      <c r="B34" s="421"/>
      <c r="C34" s="421"/>
      <c r="D34" s="422"/>
      <c r="E34" s="423"/>
      <c r="F34" s="424"/>
      <c r="G34" s="425"/>
      <c r="H34" s="422"/>
      <c r="I34" s="423"/>
      <c r="J34" s="424"/>
      <c r="K34" s="423"/>
      <c r="L34" s="426"/>
    </row>
    <row r="35" spans="1:12">
      <c r="A35" s="13">
        <v>15</v>
      </c>
      <c r="B35" s="13" t="s">
        <v>927</v>
      </c>
      <c r="C35" s="13" t="s">
        <v>103</v>
      </c>
      <c r="D35" s="59">
        <v>0</v>
      </c>
      <c r="E35" s="26">
        <v>100000</v>
      </c>
      <c r="F35" s="15">
        <v>1</v>
      </c>
      <c r="G35" s="29">
        <v>1</v>
      </c>
      <c r="H35" s="59">
        <v>1</v>
      </c>
      <c r="I35" s="16">
        <f>ROUND(D35*E35*F35*G35*H35,0)</f>
        <v>0</v>
      </c>
      <c r="J35" s="17">
        <f>$J$56</f>
        <v>1</v>
      </c>
      <c r="K35" s="16">
        <f>ROUND(I35*J35,0)</f>
        <v>0</v>
      </c>
      <c r="L35" s="18">
        <f>IFERROR(K35/$K$6,0)</f>
        <v>0</v>
      </c>
    </row>
    <row r="36" spans="1:12">
      <c r="A36" s="13">
        <v>16</v>
      </c>
      <c r="B36" s="13" t="s">
        <v>928</v>
      </c>
      <c r="C36" s="13" t="s">
        <v>902</v>
      </c>
      <c r="D36" s="59">
        <v>1</v>
      </c>
      <c r="E36" s="26">
        <v>150000</v>
      </c>
      <c r="F36" s="15">
        <v>1</v>
      </c>
      <c r="G36" s="29">
        <v>1</v>
      </c>
      <c r="H36" s="59">
        <v>5</v>
      </c>
      <c r="I36" s="16">
        <f>ROUND(D36*E36*F36*G36*H36,0)</f>
        <v>750000</v>
      </c>
      <c r="J36" s="17">
        <f>$J$56</f>
        <v>1</v>
      </c>
      <c r="K36" s="16">
        <f>ROUND(I36*J36,0)</f>
        <v>750000</v>
      </c>
      <c r="L36" s="18">
        <f>IFERROR(K36/$K$6,0)</f>
        <v>1.8865816635184355E-3</v>
      </c>
    </row>
    <row r="37" spans="1:12" ht="15">
      <c r="A37" s="269"/>
      <c r="B37" s="269" t="s">
        <v>929</v>
      </c>
      <c r="C37" s="269"/>
      <c r="D37" s="270"/>
      <c r="E37" s="271"/>
      <c r="F37" s="272"/>
      <c r="G37" s="273"/>
      <c r="H37" s="270"/>
      <c r="I37" s="271">
        <f>ROUND(SUM(I35:I36),0)</f>
        <v>750000</v>
      </c>
      <c r="J37" s="272"/>
      <c r="K37" s="271">
        <f>ROUND(SUM(K35:K36),0)</f>
        <v>750000</v>
      </c>
      <c r="L37" s="274">
        <f>K37/$K$6</f>
        <v>1.8865816635184355E-3</v>
      </c>
    </row>
    <row r="38" spans="1:12" ht="15">
      <c r="A38" s="421" t="s">
        <v>930</v>
      </c>
      <c r="B38" s="421"/>
      <c r="C38" s="421"/>
      <c r="D38" s="422"/>
      <c r="E38" s="423"/>
      <c r="F38" s="424"/>
      <c r="G38" s="425"/>
      <c r="H38" s="422"/>
      <c r="I38" s="423"/>
      <c r="J38" s="424"/>
      <c r="K38" s="423"/>
      <c r="L38" s="426"/>
    </row>
    <row r="39" spans="1:12">
      <c r="A39" s="13">
        <v>17</v>
      </c>
      <c r="B39" s="13" t="s">
        <v>931</v>
      </c>
      <c r="C39" s="13" t="s">
        <v>103</v>
      </c>
      <c r="D39" s="59">
        <v>1</v>
      </c>
      <c r="E39" s="26">
        <v>645288</v>
      </c>
      <c r="F39" s="15">
        <v>1</v>
      </c>
      <c r="G39" s="29">
        <v>1</v>
      </c>
      <c r="H39" s="59">
        <v>1</v>
      </c>
      <c r="I39" s="16">
        <f>ROUND(D39*E39*F39*G39*H39,0)</f>
        <v>645288</v>
      </c>
      <c r="J39" s="17">
        <f>$J$56</f>
        <v>1</v>
      </c>
      <c r="K39" s="16">
        <f>ROUND(I39*J39,0)</f>
        <v>645288</v>
      </c>
      <c r="L39" s="18">
        <f>IFERROR(K39/$K$6,0)</f>
        <v>1.6231846779846458E-3</v>
      </c>
    </row>
    <row r="40" spans="1:12" ht="15">
      <c r="A40" s="269"/>
      <c r="B40" s="269" t="s">
        <v>932</v>
      </c>
      <c r="C40" s="269"/>
      <c r="D40" s="270"/>
      <c r="E40" s="271"/>
      <c r="F40" s="272"/>
      <c r="G40" s="273"/>
      <c r="H40" s="270"/>
      <c r="I40" s="271">
        <f>ROUND(SUM(I39:I39),0)</f>
        <v>645288</v>
      </c>
      <c r="J40" s="272"/>
      <c r="K40" s="271">
        <f>ROUND(SUM(K39:K39),0)</f>
        <v>645288</v>
      </c>
      <c r="L40" s="274">
        <f>K40/$K$6</f>
        <v>1.6231846779846458E-3</v>
      </c>
    </row>
    <row r="41" spans="1:12" ht="15">
      <c r="A41" s="421" t="s">
        <v>933</v>
      </c>
      <c r="B41" s="421"/>
      <c r="C41" s="421"/>
      <c r="D41" s="422"/>
      <c r="E41" s="423"/>
      <c r="F41" s="424"/>
      <c r="G41" s="425"/>
      <c r="H41" s="422"/>
      <c r="I41" s="423"/>
      <c r="J41" s="424"/>
      <c r="K41" s="423"/>
      <c r="L41" s="426"/>
    </row>
    <row r="42" spans="1:12">
      <c r="A42" s="13">
        <v>18</v>
      </c>
      <c r="B42" s="13" t="s">
        <v>934</v>
      </c>
      <c r="C42" s="13" t="s">
        <v>103</v>
      </c>
      <c r="D42" s="59">
        <v>0</v>
      </c>
      <c r="E42" s="26">
        <v>285000</v>
      </c>
      <c r="F42" s="15">
        <v>1</v>
      </c>
      <c r="G42" s="29">
        <v>1</v>
      </c>
      <c r="H42" s="59">
        <v>1</v>
      </c>
      <c r="I42" s="16">
        <f t="shared" ref="I42:I47" si="0">ROUND(D42*E42*F42*G42*H42,0)</f>
        <v>0</v>
      </c>
      <c r="J42" s="17">
        <f t="shared" ref="J42:J47" si="1">$J$56</f>
        <v>1</v>
      </c>
      <c r="K42" s="16">
        <f t="shared" ref="K42:K47" si="2">ROUND(I42*J42,0)</f>
        <v>0</v>
      </c>
      <c r="L42" s="18">
        <f t="shared" ref="L42:L47" si="3">IFERROR(K42/$K$6,0)</f>
        <v>0</v>
      </c>
    </row>
    <row r="43" spans="1:12">
      <c r="A43" s="13">
        <v>19</v>
      </c>
      <c r="B43" s="13" t="s">
        <v>935</v>
      </c>
      <c r="C43" s="13" t="s">
        <v>103</v>
      </c>
      <c r="D43" s="59">
        <v>0</v>
      </c>
      <c r="E43" s="26">
        <v>205000</v>
      </c>
      <c r="F43" s="15">
        <v>1</v>
      </c>
      <c r="G43" s="29">
        <v>1</v>
      </c>
      <c r="H43" s="59">
        <v>1</v>
      </c>
      <c r="I43" s="16">
        <f t="shared" si="0"/>
        <v>0</v>
      </c>
      <c r="J43" s="17">
        <f t="shared" si="1"/>
        <v>1</v>
      </c>
      <c r="K43" s="16">
        <f t="shared" si="2"/>
        <v>0</v>
      </c>
      <c r="L43" s="18">
        <f t="shared" si="3"/>
        <v>0</v>
      </c>
    </row>
    <row r="44" spans="1:12">
      <c r="A44" s="13">
        <v>20</v>
      </c>
      <c r="B44" s="13" t="s">
        <v>936</v>
      </c>
      <c r="C44" s="13" t="s">
        <v>103</v>
      </c>
      <c r="D44" s="59">
        <v>0</v>
      </c>
      <c r="E44" s="26">
        <v>95000</v>
      </c>
      <c r="F44" s="15">
        <v>1</v>
      </c>
      <c r="G44" s="29">
        <v>1</v>
      </c>
      <c r="H44" s="59">
        <v>1</v>
      </c>
      <c r="I44" s="16">
        <f t="shared" si="0"/>
        <v>0</v>
      </c>
      <c r="J44" s="17">
        <f t="shared" si="1"/>
        <v>1</v>
      </c>
      <c r="K44" s="16">
        <f t="shared" si="2"/>
        <v>0</v>
      </c>
      <c r="L44" s="18">
        <f t="shared" si="3"/>
        <v>0</v>
      </c>
    </row>
    <row r="45" spans="1:12">
      <c r="A45" s="13">
        <v>21</v>
      </c>
      <c r="B45" s="13" t="s">
        <v>937</v>
      </c>
      <c r="C45" s="13" t="s">
        <v>103</v>
      </c>
      <c r="D45" s="59">
        <v>5</v>
      </c>
      <c r="E45" s="26">
        <v>87400</v>
      </c>
      <c r="F45" s="15">
        <v>1</v>
      </c>
      <c r="G45" s="29">
        <v>1</v>
      </c>
      <c r="H45" s="59">
        <v>1</v>
      </c>
      <c r="I45" s="16">
        <f t="shared" si="0"/>
        <v>437000</v>
      </c>
      <c r="J45" s="17">
        <f t="shared" si="1"/>
        <v>1</v>
      </c>
      <c r="K45" s="16">
        <f t="shared" si="2"/>
        <v>437000</v>
      </c>
      <c r="L45" s="18">
        <f t="shared" si="3"/>
        <v>1.0992482492767418E-3</v>
      </c>
    </row>
    <row r="46" spans="1:12">
      <c r="A46" s="13">
        <v>22</v>
      </c>
      <c r="B46" s="13" t="s">
        <v>938</v>
      </c>
      <c r="C46" s="13" t="s">
        <v>103</v>
      </c>
      <c r="D46" s="59">
        <v>5</v>
      </c>
      <c r="E46" s="26">
        <v>149200</v>
      </c>
      <c r="F46" s="15">
        <v>1</v>
      </c>
      <c r="G46" s="29">
        <v>1</v>
      </c>
      <c r="H46" s="59">
        <v>1</v>
      </c>
      <c r="I46" s="16">
        <f t="shared" si="0"/>
        <v>746000</v>
      </c>
      <c r="J46" s="17">
        <f t="shared" si="1"/>
        <v>1</v>
      </c>
      <c r="K46" s="16">
        <f t="shared" si="2"/>
        <v>746000</v>
      </c>
      <c r="L46" s="18">
        <f t="shared" si="3"/>
        <v>1.8765198946463374E-3</v>
      </c>
    </row>
    <row r="47" spans="1:12">
      <c r="A47" s="13">
        <v>23</v>
      </c>
      <c r="B47" s="13" t="s">
        <v>939</v>
      </c>
      <c r="C47" s="13" t="s">
        <v>103</v>
      </c>
      <c r="D47" s="59">
        <v>1</v>
      </c>
      <c r="E47" s="26">
        <v>484000</v>
      </c>
      <c r="F47" s="15">
        <v>1</v>
      </c>
      <c r="G47" s="29">
        <v>1</v>
      </c>
      <c r="H47" s="59">
        <v>1</v>
      </c>
      <c r="I47" s="16">
        <f t="shared" si="0"/>
        <v>484000</v>
      </c>
      <c r="J47" s="17">
        <f t="shared" si="1"/>
        <v>1</v>
      </c>
      <c r="K47" s="16">
        <f t="shared" si="2"/>
        <v>484000</v>
      </c>
      <c r="L47" s="18">
        <f t="shared" si="3"/>
        <v>1.2174740335238971E-3</v>
      </c>
    </row>
    <row r="48" spans="1:12" ht="15">
      <c r="A48" s="269"/>
      <c r="B48" s="269" t="s">
        <v>940</v>
      </c>
      <c r="C48" s="269"/>
      <c r="D48" s="270"/>
      <c r="E48" s="271"/>
      <c r="F48" s="272"/>
      <c r="G48" s="273"/>
      <c r="H48" s="270"/>
      <c r="I48" s="271">
        <f>ROUND(SUM(I42:I47),0)</f>
        <v>1667000</v>
      </c>
      <c r="J48" s="272"/>
      <c r="K48" s="271">
        <f>ROUND(SUM(K42:K47),0)</f>
        <v>1667000</v>
      </c>
      <c r="L48" s="274">
        <f>K48/$K$6</f>
        <v>4.1932421774469762E-3</v>
      </c>
    </row>
    <row r="49" spans="1:14" ht="15">
      <c r="A49" s="421" t="s">
        <v>941</v>
      </c>
      <c r="B49" s="421"/>
      <c r="C49" s="421"/>
      <c r="D49" s="422"/>
      <c r="E49" s="423"/>
      <c r="F49" s="424"/>
      <c r="G49" s="425"/>
      <c r="H49" s="422"/>
      <c r="I49" s="423"/>
      <c r="J49" s="424"/>
      <c r="K49" s="423"/>
      <c r="L49" s="426"/>
    </row>
    <row r="50" spans="1:14">
      <c r="A50" s="13">
        <v>25</v>
      </c>
      <c r="B50" s="13" t="s">
        <v>942</v>
      </c>
      <c r="C50" s="13" t="s">
        <v>919</v>
      </c>
      <c r="D50" s="59">
        <v>1</v>
      </c>
      <c r="E50" s="27">
        <f ca="1">ROUND((CAPITULOS!D49-CAPITULOS!D40-K51),0)</f>
        <v>487626556</v>
      </c>
      <c r="F50" s="15"/>
      <c r="G50" s="29">
        <v>4.0000000000000001E-3</v>
      </c>
      <c r="H50" s="93">
        <v>0.5</v>
      </c>
      <c r="I50" s="16">
        <f ca="1">ROUND(D50*E50*G50*H50,0)</f>
        <v>975253</v>
      </c>
      <c r="J50" s="45">
        <f>1</f>
        <v>1</v>
      </c>
      <c r="K50" s="275">
        <f ca="1">ROUND(I50,0)</f>
        <v>975253</v>
      </c>
      <c r="L50" s="18">
        <f ca="1">IFERROR(K50/$K$6,0)</f>
        <v>2.4531925694551266E-3</v>
      </c>
      <c r="N50" s="92"/>
    </row>
    <row r="51" spans="1:14">
      <c r="A51" s="13">
        <v>25</v>
      </c>
      <c r="B51" s="13" t="s">
        <v>943</v>
      </c>
      <c r="C51" s="13" t="s">
        <v>919</v>
      </c>
      <c r="D51" s="59">
        <v>1</v>
      </c>
      <c r="E51" s="27">
        <f ca="1">ROUND(ESTAMPILLAS!F39,0)</f>
        <v>88314288</v>
      </c>
      <c r="F51" s="15">
        <v>1</v>
      </c>
      <c r="G51" s="29">
        <v>1</v>
      </c>
      <c r="H51" s="59">
        <v>1</v>
      </c>
      <c r="I51" s="16">
        <f ca="1">ROUND(D51*E51*F51*G51*H51,0)</f>
        <v>88314288</v>
      </c>
      <c r="J51" s="45">
        <f>1</f>
        <v>1</v>
      </c>
      <c r="K51" s="275">
        <f ca="1">ROUND(I51,0)</f>
        <v>88314288</v>
      </c>
      <c r="L51" s="18">
        <f ca="1">IFERROR(K51/$K$6,0)</f>
        <v>0.22214948848998162</v>
      </c>
      <c r="N51" s="92"/>
    </row>
    <row r="52" spans="1:14" ht="15">
      <c r="A52" s="269"/>
      <c r="B52" s="269" t="s">
        <v>944</v>
      </c>
      <c r="C52" s="269"/>
      <c r="D52" s="270"/>
      <c r="E52" s="271"/>
      <c r="F52" s="272"/>
      <c r="G52" s="273"/>
      <c r="H52" s="270"/>
      <c r="I52" s="271">
        <f ca="1">ROUND(SUM(I50:I51),0)</f>
        <v>89289541</v>
      </c>
      <c r="J52" s="272"/>
      <c r="K52" s="271">
        <f ca="1">ROUND(SUM(K50:K51),0)</f>
        <v>89289541</v>
      </c>
      <c r="L52" s="274">
        <f ca="1">K52/$K$6</f>
        <v>0.22460268105943676</v>
      </c>
    </row>
    <row r="53" spans="1:14" ht="15">
      <c r="A53" s="269"/>
      <c r="B53" s="269" t="s">
        <v>945</v>
      </c>
      <c r="C53" s="269"/>
      <c r="D53" s="270"/>
      <c r="E53" s="271"/>
      <c r="F53" s="272"/>
      <c r="G53" s="273"/>
      <c r="H53" s="270"/>
      <c r="I53" s="271">
        <f ca="1">ROUND(SUM(I15,I20,I24,I28,I33,I37,I40,I48,I52),0)</f>
        <v>142153792</v>
      </c>
      <c r="J53" s="272"/>
      <c r="K53" s="271"/>
      <c r="L53" s="274">
        <f ca="1">I53/$K$6</f>
        <v>0.35757964984908491</v>
      </c>
    </row>
    <row r="54" spans="1:14" ht="15">
      <c r="A54" s="269"/>
      <c r="B54" s="269" t="s">
        <v>946</v>
      </c>
      <c r="C54" s="269"/>
      <c r="D54" s="270"/>
      <c r="E54" s="271"/>
      <c r="F54" s="272"/>
      <c r="G54" s="273"/>
      <c r="H54" s="270"/>
      <c r="I54" s="271">
        <f ca="1">ROUND(I52,0)</f>
        <v>89289541</v>
      </c>
      <c r="J54" s="272"/>
      <c r="K54" s="271"/>
      <c r="L54" s="274">
        <f ca="1">I54/$K$6</f>
        <v>0.22460268105943676</v>
      </c>
    </row>
    <row r="55" spans="1:14" ht="15">
      <c r="A55" s="269"/>
      <c r="B55" s="269" t="s">
        <v>947</v>
      </c>
      <c r="C55" s="269"/>
      <c r="D55" s="270"/>
      <c r="E55" s="271"/>
      <c r="F55" s="272"/>
      <c r="G55" s="273"/>
      <c r="H55" s="270"/>
      <c r="I55" s="271">
        <f ca="1">ROUND(I53-I54,0)</f>
        <v>52864251</v>
      </c>
      <c r="J55" s="272"/>
      <c r="K55" s="271"/>
      <c r="L55" s="274">
        <f ca="1">I55/$K$6</f>
        <v>0.13297696878964815</v>
      </c>
    </row>
    <row r="56" spans="1:14" ht="15" hidden="1">
      <c r="A56" s="276"/>
      <c r="B56" s="276" t="s">
        <v>948</v>
      </c>
      <c r="C56" s="276"/>
      <c r="D56" s="277"/>
      <c r="E56" s="278"/>
      <c r="F56" s="279"/>
      <c r="G56" s="280"/>
      <c r="H56" s="277"/>
      <c r="I56" s="278"/>
      <c r="J56" s="279">
        <f>IF($K$6&gt;0,1,0)</f>
        <v>1</v>
      </c>
      <c r="K56" s="278"/>
      <c r="L56" s="281"/>
    </row>
    <row r="57" spans="1:14" ht="15">
      <c r="A57" s="282"/>
      <c r="B57" s="282" t="s">
        <v>949</v>
      </c>
      <c r="C57" s="282"/>
      <c r="D57" s="283"/>
      <c r="E57" s="284"/>
      <c r="F57" s="285"/>
      <c r="G57" s="286"/>
      <c r="H57" s="283"/>
      <c r="I57" s="284"/>
      <c r="J57" s="285"/>
      <c r="K57" s="284">
        <f ca="1">ROUND(SUM(K15,K20,K24,K28,K33,K37,K40,K48,K52),0)</f>
        <v>142153792</v>
      </c>
      <c r="L57" s="287">
        <f ca="1">K57/$K$6</f>
        <v>0.35757964984908491</v>
      </c>
    </row>
    <row r="58" spans="1:14">
      <c r="A58" s="13"/>
      <c r="B58" s="13"/>
      <c r="C58" s="13"/>
      <c r="D58" s="58"/>
      <c r="E58" s="16"/>
      <c r="F58" s="17"/>
      <c r="G58" s="28"/>
      <c r="H58" s="58"/>
      <c r="I58" s="16"/>
      <c r="J58" s="17"/>
      <c r="K58" s="16"/>
      <c r="L58" s="18"/>
    </row>
    <row r="59" spans="1:14" ht="15">
      <c r="A59" s="282"/>
      <c r="B59" s="282" t="s">
        <v>43</v>
      </c>
      <c r="C59" s="282"/>
      <c r="D59" s="283"/>
      <c r="E59" s="284"/>
      <c r="F59" s="285"/>
      <c r="G59" s="286"/>
      <c r="H59" s="283"/>
      <c r="I59" s="284"/>
      <c r="J59" s="285"/>
      <c r="K59" s="284">
        <f>ROUND(K8,0)</f>
        <v>19877221</v>
      </c>
      <c r="L59" s="287">
        <f>K59/$K$6</f>
        <v>5.000000088040478E-2</v>
      </c>
    </row>
    <row r="60" spans="1:14" ht="15">
      <c r="A60" s="282"/>
      <c r="B60" s="282" t="s">
        <v>950</v>
      </c>
      <c r="C60" s="282"/>
      <c r="D60" s="283"/>
      <c r="E60" s="284"/>
      <c r="F60" s="285"/>
      <c r="G60" s="286"/>
      <c r="H60" s="283"/>
      <c r="I60" s="284"/>
      <c r="J60" s="285"/>
      <c r="K60" s="284">
        <f ca="1">ROUND(K57+K59,0)</f>
        <v>162031013</v>
      </c>
      <c r="L60" s="287">
        <f ca="1">K60/$K$6</f>
        <v>0.40757965072948971</v>
      </c>
    </row>
    <row r="62" spans="1:14">
      <c r="B62" s="519" t="s">
        <v>951</v>
      </c>
      <c r="C62" s="519"/>
      <c r="D62" s="519"/>
      <c r="E62" s="519"/>
      <c r="F62" s="519"/>
      <c r="G62" s="519"/>
      <c r="H62" s="519"/>
      <c r="I62" s="519"/>
      <c r="J62" s="519"/>
      <c r="K62" s="519"/>
    </row>
    <row r="63" spans="1:14">
      <c r="B63" t="s">
        <v>952</v>
      </c>
      <c r="K63" s="73">
        <f>K15</f>
        <v>44751963</v>
      </c>
    </row>
    <row r="64" spans="1:14">
      <c r="B64" t="s">
        <v>953</v>
      </c>
      <c r="K64" s="73">
        <f>K20</f>
        <v>0</v>
      </c>
    </row>
    <row r="65" spans="2:11">
      <c r="B65" t="s">
        <v>954</v>
      </c>
      <c r="K65" s="73">
        <f>K24</f>
        <v>0</v>
      </c>
    </row>
    <row r="66" spans="2:11">
      <c r="B66" t="s">
        <v>955</v>
      </c>
      <c r="K66" s="73">
        <f>K28</f>
        <v>3300000</v>
      </c>
    </row>
    <row r="67" spans="2:11">
      <c r="B67" t="s">
        <v>956</v>
      </c>
      <c r="K67" s="73">
        <f>K33</f>
        <v>1750000</v>
      </c>
    </row>
    <row r="68" spans="2:11">
      <c r="B68" t="s">
        <v>957</v>
      </c>
      <c r="K68" s="73">
        <f>K37</f>
        <v>750000</v>
      </c>
    </row>
    <row r="69" spans="2:11">
      <c r="B69" t="s">
        <v>958</v>
      </c>
      <c r="K69" s="73">
        <f>K40</f>
        <v>645288</v>
      </c>
    </row>
    <row r="70" spans="2:11">
      <c r="B70" t="s">
        <v>959</v>
      </c>
      <c r="K70" s="73">
        <f>K48</f>
        <v>1667000</v>
      </c>
    </row>
    <row r="71" spans="2:11">
      <c r="B71" t="s">
        <v>960</v>
      </c>
      <c r="K71" s="73">
        <f>ROUND(SUM(K63:K70),0)</f>
        <v>52864251</v>
      </c>
    </row>
    <row r="72" spans="2:11">
      <c r="B72" t="s">
        <v>961</v>
      </c>
      <c r="K72" s="73">
        <f ca="1">ROUND(K71-I55,0)</f>
        <v>0</v>
      </c>
    </row>
    <row r="76" spans="2:11">
      <c r="B76" t="s">
        <v>962</v>
      </c>
    </row>
    <row r="77" spans="2:11">
      <c r="B77" t="s">
        <v>963</v>
      </c>
      <c r="D77" s="22">
        <f ca="1">+K50</f>
        <v>975253</v>
      </c>
    </row>
    <row r="78" spans="2:11">
      <c r="B78" t="s">
        <v>964</v>
      </c>
      <c r="C78" s="74">
        <f ca="1">100%-C81</f>
        <v>0.88396801496102539</v>
      </c>
      <c r="D78" s="92">
        <f ca="1">+$D$77*C78</f>
        <v>862092.45849478489</v>
      </c>
    </row>
    <row r="79" spans="2:11">
      <c r="C79" s="362">
        <v>0.7</v>
      </c>
      <c r="D79" s="92">
        <f ca="1">+$D$78*C79</f>
        <v>603464.72094634944</v>
      </c>
    </row>
    <row r="80" spans="2:11">
      <c r="C80" s="362">
        <v>0.3</v>
      </c>
      <c r="D80" s="92">
        <f ca="1">+$D$78*C80</f>
        <v>258627.73754843546</v>
      </c>
    </row>
    <row r="81" spans="2:4">
      <c r="B81" t="s">
        <v>965</v>
      </c>
      <c r="C81" s="362">
        <f ca="1">+CAPITULOS!H40</f>
        <v>0.11603198503897455</v>
      </c>
      <c r="D81" s="92">
        <f ca="1">+$D$77*C81</f>
        <v>113160.54150521505</v>
      </c>
    </row>
    <row r="82" spans="2:4">
      <c r="C82" s="362">
        <v>0.7</v>
      </c>
      <c r="D82" s="132">
        <f ca="1">+C82*$D$81</f>
        <v>79212.379053650526</v>
      </c>
    </row>
    <row r="83" spans="2:4">
      <c r="C83" s="362">
        <v>0.3</v>
      </c>
      <c r="D83" s="132">
        <f ca="1">+C83*$D$81</f>
        <v>33948.162451564516</v>
      </c>
    </row>
  </sheetData>
  <mergeCells count="13">
    <mergeCell ref="B62:K62"/>
    <mergeCell ref="A41:L41"/>
    <mergeCell ref="A49:L49"/>
    <mergeCell ref="A16:L16"/>
    <mergeCell ref="A21:L21"/>
    <mergeCell ref="A25:L25"/>
    <mergeCell ref="A29:L29"/>
    <mergeCell ref="A34:L34"/>
    <mergeCell ref="A1:L1"/>
    <mergeCell ref="A2:L2"/>
    <mergeCell ref="A3:L3"/>
    <mergeCell ref="A10:L10"/>
    <mergeCell ref="A38:L3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35"/>
  <sheetViews>
    <sheetView showGridLines="0" topLeftCell="A6" workbookViewId="0">
      <selection activeCell="I30" sqref="I30"/>
    </sheetView>
  </sheetViews>
  <sheetFormatPr defaultColWidth="8.75" defaultRowHeight="14.25"/>
  <cols>
    <col min="1" max="1" width="10" customWidth="1"/>
    <col min="2" max="2" width="72" customWidth="1"/>
    <col min="3" max="3" width="14" customWidth="1"/>
    <col min="4" max="4" width="15" customWidth="1"/>
    <col min="5" max="5" width="19" customWidth="1"/>
    <col min="6" max="6" width="20" customWidth="1"/>
    <col min="7" max="7" width="18" customWidth="1"/>
    <col min="9" max="9" width="14.125" bestFit="1" customWidth="1"/>
  </cols>
  <sheetData>
    <row r="1" spans="1:7" ht="24" customHeight="1">
      <c r="A1" s="389" t="s">
        <v>0</v>
      </c>
      <c r="B1" s="389" t="s">
        <v>0</v>
      </c>
      <c r="C1" s="389" t="s">
        <v>0</v>
      </c>
      <c r="D1" s="389" t="s">
        <v>0</v>
      </c>
      <c r="E1" s="389" t="s">
        <v>0</v>
      </c>
      <c r="F1" s="389" t="s">
        <v>0</v>
      </c>
      <c r="G1" s="389" t="s">
        <v>0</v>
      </c>
    </row>
    <row r="2" spans="1:7" ht="48" customHeight="1">
      <c r="A2" s="389" t="s">
        <v>1</v>
      </c>
      <c r="B2" s="389" t="s">
        <v>1</v>
      </c>
      <c r="C2" s="389" t="s">
        <v>1</v>
      </c>
      <c r="D2" s="389" t="s">
        <v>1</v>
      </c>
      <c r="E2" s="389" t="s">
        <v>1</v>
      </c>
      <c r="F2" s="389" t="s">
        <v>1</v>
      </c>
      <c r="G2" s="389" t="s">
        <v>1</v>
      </c>
    </row>
    <row r="3" spans="1:7" ht="24" customHeight="1">
      <c r="A3" s="389" t="s">
        <v>966</v>
      </c>
      <c r="B3" s="389" t="s">
        <v>966</v>
      </c>
      <c r="C3" s="389" t="s">
        <v>966</v>
      </c>
      <c r="D3" s="389" t="s">
        <v>966</v>
      </c>
      <c r="E3" s="389" t="s">
        <v>966</v>
      </c>
      <c r="F3" s="389" t="s">
        <v>966</v>
      </c>
      <c r="G3" s="389" t="s">
        <v>966</v>
      </c>
    </row>
    <row r="4" spans="1:7">
      <c r="A4" s="1"/>
      <c r="B4" s="1"/>
      <c r="C4" s="1"/>
      <c r="D4" s="1"/>
      <c r="E4" s="1"/>
      <c r="F4" s="1"/>
      <c r="G4" s="1"/>
    </row>
    <row r="5" spans="1:7">
      <c r="A5" s="2" t="s">
        <v>967</v>
      </c>
      <c r="B5" s="2" t="s">
        <v>4</v>
      </c>
      <c r="C5" s="2" t="s">
        <v>58</v>
      </c>
      <c r="D5" s="2" t="s">
        <v>59</v>
      </c>
      <c r="E5" s="2" t="s">
        <v>60</v>
      </c>
      <c r="F5" s="2" t="s">
        <v>61</v>
      </c>
      <c r="G5" s="2" t="s">
        <v>6</v>
      </c>
    </row>
    <row r="6" spans="1:7">
      <c r="A6" s="427" t="s">
        <v>968</v>
      </c>
      <c r="B6" s="427" t="s">
        <v>968</v>
      </c>
      <c r="C6" s="427" t="s">
        <v>968</v>
      </c>
      <c r="D6" s="428" t="s">
        <v>968</v>
      </c>
      <c r="E6" s="429" t="s">
        <v>968</v>
      </c>
      <c r="F6" s="429" t="s">
        <v>968</v>
      </c>
      <c r="G6" s="430" t="s">
        <v>968</v>
      </c>
    </row>
    <row r="7" spans="1:7">
      <c r="A7" s="3" t="s">
        <v>7</v>
      </c>
      <c r="B7" s="3" t="s">
        <v>969</v>
      </c>
      <c r="C7" s="3" t="s">
        <v>103</v>
      </c>
      <c r="D7" s="288">
        <v>20</v>
      </c>
      <c r="E7" s="262">
        <v>90000</v>
      </c>
      <c r="F7" s="35">
        <f>ROUND(D7*E7,0)</f>
        <v>1800000</v>
      </c>
      <c r="G7" s="9">
        <f>F7/ACTIVIDADES!$H$145</f>
        <v>4.5277959924442451E-3</v>
      </c>
    </row>
    <row r="8" spans="1:7">
      <c r="A8" s="3" t="s">
        <v>7</v>
      </c>
      <c r="B8" s="3" t="s">
        <v>970</v>
      </c>
      <c r="C8" s="3" t="s">
        <v>103</v>
      </c>
      <c r="D8" s="288">
        <v>1</v>
      </c>
      <c r="E8" s="262">
        <v>400000</v>
      </c>
      <c r="F8" s="35">
        <f>ROUND(D8*E8,0)</f>
        <v>400000</v>
      </c>
      <c r="G8" s="9">
        <f>F8/ACTIVIDADES!$H$145</f>
        <v>1.0061768872098324E-3</v>
      </c>
    </row>
    <row r="9" spans="1:7">
      <c r="A9" s="3" t="s">
        <v>7</v>
      </c>
      <c r="B9" s="3" t="s">
        <v>971</v>
      </c>
      <c r="C9" s="3" t="s">
        <v>103</v>
      </c>
      <c r="D9" s="288">
        <v>1</v>
      </c>
      <c r="E9" s="262">
        <v>400000</v>
      </c>
      <c r="F9" s="35">
        <f>ROUND(D9*E9,0)</f>
        <v>400000</v>
      </c>
      <c r="G9" s="9">
        <f>F9/ACTIVIDADES!$H$145</f>
        <v>1.0061768872098324E-3</v>
      </c>
    </row>
    <row r="10" spans="1:7">
      <c r="A10" s="3" t="s">
        <v>7</v>
      </c>
      <c r="B10" s="3" t="s">
        <v>972</v>
      </c>
      <c r="C10" s="3" t="s">
        <v>103</v>
      </c>
      <c r="D10" s="288">
        <v>20</v>
      </c>
      <c r="E10" s="262">
        <v>120000</v>
      </c>
      <c r="F10" s="35">
        <f>ROUND(D10*E10,0)</f>
        <v>2400000</v>
      </c>
      <c r="G10" s="9">
        <f>F10/ACTIVIDADES!$H$145</f>
        <v>6.037061323258994E-3</v>
      </c>
    </row>
    <row r="11" spans="1:7">
      <c r="A11" s="431" t="s">
        <v>973</v>
      </c>
      <c r="B11" s="431" t="s">
        <v>973</v>
      </c>
      <c r="C11" s="431" t="s">
        <v>973</v>
      </c>
      <c r="D11" s="432" t="s">
        <v>973</v>
      </c>
      <c r="E11" s="433" t="s">
        <v>973</v>
      </c>
      <c r="F11" s="37">
        <f>ROUND(SUM(F7:F10),0)</f>
        <v>5000000</v>
      </c>
      <c r="G11" s="11">
        <f>F11/ACTIVIDADES!$H$145</f>
        <v>1.2577211090122904E-2</v>
      </c>
    </row>
    <row r="12" spans="1:7">
      <c r="A12" s="427" t="s">
        <v>974</v>
      </c>
      <c r="B12" s="427" t="s">
        <v>974</v>
      </c>
      <c r="C12" s="427" t="s">
        <v>974</v>
      </c>
      <c r="D12" s="428" t="s">
        <v>974</v>
      </c>
      <c r="E12" s="429" t="s">
        <v>974</v>
      </c>
      <c r="F12" s="429" t="s">
        <v>974</v>
      </c>
      <c r="G12" s="430" t="s">
        <v>974</v>
      </c>
    </row>
    <row r="13" spans="1:7">
      <c r="A13" s="3" t="s">
        <v>10</v>
      </c>
      <c r="B13" s="3" t="s">
        <v>975</v>
      </c>
      <c r="C13" s="3" t="s">
        <v>103</v>
      </c>
      <c r="D13" s="288">
        <v>1</v>
      </c>
      <c r="E13" s="262">
        <v>416259</v>
      </c>
      <c r="F13" s="35">
        <f t="shared" ref="F13:F17" si="0">ROUND(D13*E13,0)</f>
        <v>416259</v>
      </c>
      <c r="G13" s="9">
        <f>F13/ACTIVIDADES!$H$145</f>
        <v>1.0470754622326939E-3</v>
      </c>
    </row>
    <row r="14" spans="1:7">
      <c r="A14" s="3" t="s">
        <v>10</v>
      </c>
      <c r="B14" s="3" t="s">
        <v>976</v>
      </c>
      <c r="C14" s="3" t="s">
        <v>103</v>
      </c>
      <c r="D14" s="288">
        <v>4</v>
      </c>
      <c r="E14" s="262">
        <v>163200</v>
      </c>
      <c r="F14" s="35">
        <f t="shared" si="0"/>
        <v>652800</v>
      </c>
      <c r="G14" s="9">
        <f>F14/ACTIVIDADES!$H$145</f>
        <v>1.6420806799264463E-3</v>
      </c>
    </row>
    <row r="15" spans="1:7">
      <c r="A15" s="3" t="s">
        <v>10</v>
      </c>
      <c r="B15" s="3" t="s">
        <v>977</v>
      </c>
      <c r="C15" s="3" t="s">
        <v>902</v>
      </c>
      <c r="D15" s="288">
        <v>4</v>
      </c>
      <c r="E15" s="262">
        <v>200000</v>
      </c>
      <c r="F15" s="35">
        <f t="shared" si="0"/>
        <v>800000</v>
      </c>
      <c r="G15" s="9">
        <f>F15/ACTIVIDADES!$H$145</f>
        <v>2.0123537744196648E-3</v>
      </c>
    </row>
    <row r="16" spans="1:7">
      <c r="A16" s="3" t="s">
        <v>10</v>
      </c>
      <c r="B16" s="3" t="s">
        <v>978</v>
      </c>
      <c r="C16" s="3" t="s">
        <v>902</v>
      </c>
      <c r="D16" s="288">
        <v>4</v>
      </c>
      <c r="E16" s="262">
        <v>160000</v>
      </c>
      <c r="F16" s="35">
        <f t="shared" si="0"/>
        <v>640000</v>
      </c>
      <c r="G16" s="9">
        <f>F16/ACTIVIDADES!$H$145</f>
        <v>1.6098830195357316E-3</v>
      </c>
    </row>
    <row r="17" spans="1:10">
      <c r="A17" s="3" t="s">
        <v>10</v>
      </c>
      <c r="B17" s="3" t="s">
        <v>979</v>
      </c>
      <c r="C17" s="3" t="s">
        <v>103</v>
      </c>
      <c r="D17" s="288">
        <v>4</v>
      </c>
      <c r="E17" s="262">
        <v>300000</v>
      </c>
      <c r="F17" s="35">
        <f t="shared" si="0"/>
        <v>1200000</v>
      </c>
      <c r="G17" s="9">
        <f>F17/ACTIVIDADES!$H$145</f>
        <v>3.018530661629497E-3</v>
      </c>
    </row>
    <row r="18" spans="1:10" ht="60">
      <c r="A18" s="3" t="s">
        <v>10</v>
      </c>
      <c r="B18" s="3" t="s">
        <v>980</v>
      </c>
      <c r="C18" s="3" t="s">
        <v>981</v>
      </c>
      <c r="D18" s="288">
        <v>13.403888009039296</v>
      </c>
      <c r="E18" s="262">
        <f>ROUND('MANO DE OBRA'!$E$11,0)</f>
        <v>107973</v>
      </c>
      <c r="F18" s="35">
        <f>ROUND(D18*E18,0)</f>
        <v>1447258</v>
      </c>
      <c r="G18" s="9">
        <f>F18/ACTIVIDADES!$H$145</f>
        <v>3.6404938735738186E-3</v>
      </c>
      <c r="H18" s="50"/>
      <c r="I18" s="132"/>
    </row>
    <row r="19" spans="1:10">
      <c r="A19" s="431" t="s">
        <v>982</v>
      </c>
      <c r="B19" s="431" t="s">
        <v>982</v>
      </c>
      <c r="C19" s="431" t="s">
        <v>982</v>
      </c>
      <c r="D19" s="432" t="s">
        <v>982</v>
      </c>
      <c r="E19" s="433" t="s">
        <v>982</v>
      </c>
      <c r="F19" s="37">
        <f>ROUND(SUM(F13:F18),0)</f>
        <v>5156317</v>
      </c>
      <c r="G19" s="11">
        <f>F19/ACTIVIDADES!$H$145</f>
        <v>1.2970417471317853E-2</v>
      </c>
    </row>
    <row r="20" spans="1:10">
      <c r="A20" s="427" t="s">
        <v>983</v>
      </c>
      <c r="B20" s="427" t="s">
        <v>983</v>
      </c>
      <c r="C20" s="427" t="s">
        <v>983</v>
      </c>
      <c r="D20" s="428" t="s">
        <v>983</v>
      </c>
      <c r="E20" s="429" t="s">
        <v>983</v>
      </c>
      <c r="F20" s="429" t="s">
        <v>983</v>
      </c>
      <c r="G20" s="430" t="s">
        <v>983</v>
      </c>
    </row>
    <row r="21" spans="1:10">
      <c r="A21" s="3" t="s">
        <v>12</v>
      </c>
      <c r="B21" s="3" t="s">
        <v>984</v>
      </c>
      <c r="C21" s="3" t="s">
        <v>985</v>
      </c>
      <c r="D21" s="288">
        <v>150</v>
      </c>
      <c r="E21" s="262">
        <v>2050</v>
      </c>
      <c r="F21" s="35">
        <f>ROUND(D21*E21,0)</f>
        <v>307500</v>
      </c>
      <c r="G21" s="9">
        <f>F21/ACTIVIDADES!$H$145</f>
        <v>7.7349848204255861E-4</v>
      </c>
    </row>
    <row r="22" spans="1:10">
      <c r="A22" s="431" t="s">
        <v>986</v>
      </c>
      <c r="B22" s="431" t="s">
        <v>986</v>
      </c>
      <c r="C22" s="431" t="s">
        <v>986</v>
      </c>
      <c r="D22" s="432" t="s">
        <v>986</v>
      </c>
      <c r="E22" s="433" t="s">
        <v>986</v>
      </c>
      <c r="F22" s="37">
        <f>ROUND(SUM(F21:F21),0)</f>
        <v>307500</v>
      </c>
      <c r="G22" s="11">
        <f>F22/ACTIVIDADES!$H$145</f>
        <v>7.7349848204255861E-4</v>
      </c>
    </row>
    <row r="23" spans="1:10">
      <c r="A23" s="427" t="s">
        <v>987</v>
      </c>
      <c r="B23" s="427" t="s">
        <v>987</v>
      </c>
      <c r="C23" s="427" t="s">
        <v>987</v>
      </c>
      <c r="D23" s="428" t="s">
        <v>987</v>
      </c>
      <c r="E23" s="429" t="s">
        <v>987</v>
      </c>
      <c r="F23" s="429" t="s">
        <v>987</v>
      </c>
      <c r="G23" s="430" t="s">
        <v>987</v>
      </c>
    </row>
    <row r="24" spans="1:10">
      <c r="A24" s="3" t="s">
        <v>14</v>
      </c>
      <c r="B24" s="3" t="s">
        <v>988</v>
      </c>
      <c r="C24" s="3" t="s">
        <v>989</v>
      </c>
      <c r="D24" s="365">
        <v>7.8016066666666664</v>
      </c>
      <c r="E24" s="262">
        <v>150000</v>
      </c>
      <c r="F24" s="35">
        <f t="shared" ref="F24:F29" si="1">ROUND(D24*E24,0)</f>
        <v>1170241</v>
      </c>
      <c r="G24" s="9">
        <f>IFERROR(F24/ACTIVIDADES!$H$145,0)</f>
        <v>2.9436736166633033E-3</v>
      </c>
      <c r="H24" s="364"/>
      <c r="I24" s="132"/>
      <c r="J24" s="364"/>
    </row>
    <row r="25" spans="1:10">
      <c r="A25" s="3" t="s">
        <v>14</v>
      </c>
      <c r="B25" s="3" t="s">
        <v>990</v>
      </c>
      <c r="C25" s="3" t="s">
        <v>989</v>
      </c>
      <c r="D25" s="288">
        <v>0</v>
      </c>
      <c r="E25" s="262">
        <v>150000</v>
      </c>
      <c r="F25" s="35">
        <f t="shared" si="1"/>
        <v>0</v>
      </c>
      <c r="G25" s="9">
        <f>IFERROR(F25/ACTIVIDADES!$H$145,0)</f>
        <v>0</v>
      </c>
    </row>
    <row r="26" spans="1:10">
      <c r="A26" s="3" t="s">
        <v>14</v>
      </c>
      <c r="B26" s="3" t="s">
        <v>991</v>
      </c>
      <c r="C26" s="3" t="s">
        <v>989</v>
      </c>
      <c r="D26" s="288">
        <v>0</v>
      </c>
      <c r="E26" s="262">
        <v>150000</v>
      </c>
      <c r="F26" s="35">
        <f t="shared" si="1"/>
        <v>0</v>
      </c>
      <c r="G26" s="9">
        <f>IFERROR(F26/ACTIVIDADES!$H$145,0)</f>
        <v>0</v>
      </c>
    </row>
    <row r="27" spans="1:10">
      <c r="A27" s="3" t="s">
        <v>14</v>
      </c>
      <c r="B27" s="3" t="s">
        <v>992</v>
      </c>
      <c r="C27" s="3" t="s">
        <v>989</v>
      </c>
      <c r="D27" s="288">
        <v>0</v>
      </c>
      <c r="E27" s="262">
        <v>156000</v>
      </c>
      <c r="F27" s="35">
        <f t="shared" si="1"/>
        <v>0</v>
      </c>
      <c r="G27" s="9">
        <f>IFERROR(F27/ACTIVIDADES!$H$145,0)</f>
        <v>0</v>
      </c>
    </row>
    <row r="28" spans="1:10">
      <c r="A28" s="3" t="s">
        <v>14</v>
      </c>
      <c r="B28" s="3" t="s">
        <v>993</v>
      </c>
      <c r="C28" s="3" t="s">
        <v>103</v>
      </c>
      <c r="D28" s="288">
        <v>0</v>
      </c>
      <c r="E28" s="262">
        <v>127000</v>
      </c>
      <c r="F28" s="35">
        <f t="shared" si="1"/>
        <v>0</v>
      </c>
      <c r="G28" s="9">
        <f>IFERROR(F28/ACTIVIDADES!$H$145,0)</f>
        <v>0</v>
      </c>
    </row>
    <row r="29" spans="1:10">
      <c r="A29" s="3" t="s">
        <v>14</v>
      </c>
      <c r="B29" s="3" t="s">
        <v>994</v>
      </c>
      <c r="C29" s="3" t="s">
        <v>103</v>
      </c>
      <c r="D29" s="288">
        <v>0</v>
      </c>
      <c r="E29" s="262">
        <v>186000</v>
      </c>
      <c r="F29" s="35">
        <f t="shared" si="1"/>
        <v>0</v>
      </c>
      <c r="G29" s="9">
        <f>IFERROR(F29/ACTIVIDADES!$H$145,0)</f>
        <v>0</v>
      </c>
    </row>
    <row r="30" spans="1:10">
      <c r="A30" s="431" t="s">
        <v>995</v>
      </c>
      <c r="B30" s="431" t="s">
        <v>995</v>
      </c>
      <c r="C30" s="431" t="s">
        <v>995</v>
      </c>
      <c r="D30" s="432" t="s">
        <v>995</v>
      </c>
      <c r="E30" s="433" t="s">
        <v>995</v>
      </c>
      <c r="F30" s="37">
        <f>ROUND(SUM(F24:F29),0)</f>
        <v>1170241</v>
      </c>
      <c r="G30" s="11">
        <f>IFERROR(F30/ACTIVIDADES!$H$145,0)</f>
        <v>2.9436736166633033E-3</v>
      </c>
    </row>
    <row r="31" spans="1:10">
      <c r="A31" s="427" t="s">
        <v>996</v>
      </c>
      <c r="B31" s="427" t="s">
        <v>996</v>
      </c>
      <c r="C31" s="427" t="s">
        <v>996</v>
      </c>
      <c r="D31" s="428" t="s">
        <v>996</v>
      </c>
      <c r="E31" s="429" t="s">
        <v>996</v>
      </c>
      <c r="F31" s="429" t="s">
        <v>996</v>
      </c>
      <c r="G31" s="430" t="s">
        <v>996</v>
      </c>
    </row>
    <row r="32" spans="1:10">
      <c r="A32" s="3" t="s">
        <v>16</v>
      </c>
      <c r="B32" s="3" t="s">
        <v>997</v>
      </c>
      <c r="C32" s="3" t="s">
        <v>902</v>
      </c>
      <c r="D32" s="288">
        <v>0</v>
      </c>
      <c r="E32" s="262">
        <v>1103782</v>
      </c>
      <c r="F32" s="35">
        <f>ROUND(D32*E32,0)</f>
        <v>0</v>
      </c>
      <c r="G32" s="9">
        <f>F32/ACTIVIDADES!$H$145</f>
        <v>0</v>
      </c>
    </row>
    <row r="33" spans="1:7">
      <c r="A33" s="3" t="s">
        <v>16</v>
      </c>
      <c r="B33" s="3" t="s">
        <v>998</v>
      </c>
      <c r="C33" s="3" t="s">
        <v>902</v>
      </c>
      <c r="D33" s="288">
        <v>0</v>
      </c>
      <c r="E33" s="262">
        <v>1103782</v>
      </c>
      <c r="F33" s="35">
        <f>ROUND(D33*E33,0)</f>
        <v>0</v>
      </c>
      <c r="G33" s="9">
        <f>F33/ACTIVIDADES!$H$145</f>
        <v>0</v>
      </c>
    </row>
    <row r="34" spans="1:7">
      <c r="A34" s="431" t="s">
        <v>999</v>
      </c>
      <c r="B34" s="431" t="s">
        <v>999</v>
      </c>
      <c r="C34" s="431" t="s">
        <v>999</v>
      </c>
      <c r="D34" s="432" t="s">
        <v>999</v>
      </c>
      <c r="E34" s="433" t="s">
        <v>999</v>
      </c>
      <c r="F34" s="37">
        <f>ROUND(SUM(F32:F33),0)</f>
        <v>0</v>
      </c>
      <c r="G34" s="11">
        <f>F34/ACTIVIDADES!$H$145</f>
        <v>0</v>
      </c>
    </row>
    <row r="35" spans="1:7">
      <c r="A35" s="434" t="s">
        <v>1000</v>
      </c>
      <c r="B35" s="434" t="s">
        <v>1000</v>
      </c>
      <c r="C35" s="434" t="s">
        <v>1000</v>
      </c>
      <c r="D35" s="435" t="s">
        <v>1000</v>
      </c>
      <c r="E35" s="436" t="s">
        <v>1000</v>
      </c>
      <c r="F35" s="36">
        <f>ROUND(SUM(F11,F19,F22,F30,F34),0)</f>
        <v>11634058</v>
      </c>
      <c r="G35" s="10">
        <f>IFERROR(F35/ACTIVIDADES!$H$145,0)</f>
        <v>2.9264800660146618E-2</v>
      </c>
    </row>
  </sheetData>
  <mergeCells count="14">
    <mergeCell ref="A30:E30"/>
    <mergeCell ref="A31:G31"/>
    <mergeCell ref="A34:E34"/>
    <mergeCell ref="A35:E35"/>
    <mergeCell ref="A12:G12"/>
    <mergeCell ref="A19:E19"/>
    <mergeCell ref="A20:G20"/>
    <mergeCell ref="A22:E22"/>
    <mergeCell ref="A23:G23"/>
    <mergeCell ref="A1:G1"/>
    <mergeCell ref="A2:G2"/>
    <mergeCell ref="A3:G3"/>
    <mergeCell ref="A6:G6"/>
    <mergeCell ref="A11:E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44"/>
  <sheetViews>
    <sheetView showGridLines="0" workbookViewId="0">
      <selection activeCell="F27" sqref="F27"/>
    </sheetView>
  </sheetViews>
  <sheetFormatPr defaultColWidth="8.75" defaultRowHeight="14.25"/>
  <cols>
    <col min="1" max="1" width="25" customWidth="1"/>
    <col min="2" max="2" width="44" customWidth="1"/>
    <col min="3" max="3" width="20" customWidth="1"/>
    <col min="4" max="4" width="16" customWidth="1"/>
    <col min="5" max="5" width="15" customWidth="1"/>
    <col min="6" max="6" width="16" customWidth="1"/>
    <col min="7" max="7" width="20" customWidth="1"/>
  </cols>
  <sheetData>
    <row r="1" spans="1:7" ht="22.15" customHeight="1">
      <c r="A1" s="420" t="s">
        <v>0</v>
      </c>
      <c r="B1" s="420"/>
      <c r="C1" s="420"/>
      <c r="D1" s="420"/>
      <c r="E1" s="420"/>
      <c r="F1" s="420"/>
      <c r="G1" s="420"/>
    </row>
    <row r="2" spans="1:7" ht="37.9" customHeight="1">
      <c r="A2" s="420" t="s">
        <v>1</v>
      </c>
      <c r="B2" s="420"/>
      <c r="C2" s="420"/>
      <c r="D2" s="420"/>
      <c r="E2" s="420"/>
      <c r="F2" s="420"/>
      <c r="G2" s="420"/>
    </row>
    <row r="3" spans="1:7" ht="24" customHeight="1">
      <c r="A3" s="420" t="s">
        <v>1001</v>
      </c>
      <c r="B3" s="420"/>
      <c r="C3" s="420"/>
      <c r="D3" s="420"/>
      <c r="E3" s="420"/>
      <c r="F3" s="420"/>
      <c r="G3" s="420"/>
    </row>
    <row r="5" spans="1:7" hidden="1">
      <c r="A5" s="268" t="s">
        <v>1002</v>
      </c>
      <c r="B5" s="268" t="s">
        <v>5</v>
      </c>
      <c r="C5" s="268"/>
      <c r="D5" s="268"/>
      <c r="E5" s="268"/>
      <c r="F5" s="268"/>
      <c r="G5" s="268"/>
    </row>
    <row r="6" spans="1:7" ht="25.15" hidden="1" customHeight="1">
      <c r="A6" s="23"/>
      <c r="B6" s="16"/>
    </row>
    <row r="7" spans="1:7" ht="25.15" hidden="1" customHeight="1">
      <c r="A7" s="23"/>
      <c r="B7" s="16"/>
    </row>
    <row r="8" spans="1:7" ht="25.15" hidden="1" customHeight="1">
      <c r="A8" s="23"/>
      <c r="B8" s="16"/>
    </row>
    <row r="9" spans="1:7" ht="25.15" hidden="1" customHeight="1">
      <c r="A9" s="23"/>
      <c r="B9" s="16"/>
    </row>
    <row r="10" spans="1:7" ht="25.15" hidden="1" customHeight="1">
      <c r="A10" s="23" t="s">
        <v>1003</v>
      </c>
      <c r="B10" s="19">
        <v>0.19</v>
      </c>
    </row>
    <row r="11" spans="1:7" ht="25.15" hidden="1" customHeight="1">
      <c r="A11" s="23" t="s">
        <v>1004</v>
      </c>
      <c r="B11" s="26">
        <v>0</v>
      </c>
    </row>
    <row r="12" spans="1:7" ht="72.599999999999994" hidden="1" customHeight="1">
      <c r="A12" s="23" t="s">
        <v>1005</v>
      </c>
      <c r="B12" s="130"/>
    </row>
    <row r="13" spans="1:7" hidden="1">
      <c r="A13" s="268" t="s">
        <v>57</v>
      </c>
      <c r="B13" s="268" t="s">
        <v>1006</v>
      </c>
      <c r="C13" s="268" t="s">
        <v>1007</v>
      </c>
      <c r="D13" s="268" t="s">
        <v>1008</v>
      </c>
      <c r="E13" s="268" t="s">
        <v>1009</v>
      </c>
      <c r="F13" s="268" t="s">
        <v>1010</v>
      </c>
      <c r="G13" s="268" t="s">
        <v>836</v>
      </c>
    </row>
    <row r="14" spans="1:7" hidden="1">
      <c r="A14" s="13">
        <v>1</v>
      </c>
      <c r="B14" s="13" t="s">
        <v>1011</v>
      </c>
      <c r="C14" s="16"/>
      <c r="D14" s="20">
        <v>0.3</v>
      </c>
      <c r="E14" s="20">
        <v>4.0000000000000001E-3</v>
      </c>
      <c r="F14" s="21">
        <v>1</v>
      </c>
      <c r="G14" s="16">
        <f>ROUND(C14*D14*E14*F14,0)</f>
        <v>0</v>
      </c>
    </row>
    <row r="15" spans="1:7" hidden="1">
      <c r="A15" s="13">
        <v>2</v>
      </c>
      <c r="B15" s="13" t="s">
        <v>1012</v>
      </c>
      <c r="C15" s="16"/>
      <c r="D15" s="20">
        <v>0</v>
      </c>
      <c r="E15" s="20">
        <v>4.0000000000000001E-3</v>
      </c>
      <c r="F15" s="21">
        <v>1</v>
      </c>
      <c r="G15" s="16">
        <f>ROUND(C15*D15*E15*F15,0)</f>
        <v>0</v>
      </c>
    </row>
    <row r="16" spans="1:7" hidden="1">
      <c r="A16" s="13">
        <v>3</v>
      </c>
      <c r="B16" s="13" t="s">
        <v>1013</v>
      </c>
      <c r="C16" s="16"/>
      <c r="D16" s="20">
        <v>0.15</v>
      </c>
      <c r="E16" s="20">
        <v>4.0000000000000001E-3</v>
      </c>
      <c r="F16" s="21">
        <v>3.5</v>
      </c>
      <c r="G16" s="16">
        <f>ROUND(C16*D16*E16*F16,0)</f>
        <v>0</v>
      </c>
    </row>
    <row r="17" spans="1:10" hidden="1">
      <c r="A17" s="13">
        <v>4</v>
      </c>
      <c r="B17" s="13" t="s">
        <v>1014</v>
      </c>
      <c r="C17" s="16"/>
      <c r="D17" s="20">
        <v>0.3</v>
      </c>
      <c r="E17" s="20">
        <v>4.0000000000000001E-3</v>
      </c>
      <c r="F17" s="21">
        <v>2</v>
      </c>
      <c r="G17" s="16">
        <f>ROUND(C17*D17*E17*F17,0)</f>
        <v>0</v>
      </c>
    </row>
    <row r="18" spans="1:10" hidden="1">
      <c r="A18" s="13">
        <v>5</v>
      </c>
      <c r="B18" s="13" t="s">
        <v>1015</v>
      </c>
      <c r="C18" s="16"/>
      <c r="D18" s="20">
        <v>0.40500000000000003</v>
      </c>
      <c r="E18" s="20">
        <v>3.5000000000000001E-3</v>
      </c>
      <c r="F18" s="21">
        <v>0.5</v>
      </c>
      <c r="G18" s="16">
        <f>ROUND(C18*D18*E18*F18,0)</f>
        <v>0</v>
      </c>
    </row>
    <row r="19" spans="1:10" hidden="1">
      <c r="A19" s="13"/>
      <c r="B19" s="13"/>
      <c r="C19" s="13"/>
      <c r="D19" s="13"/>
      <c r="E19" s="13"/>
      <c r="F19" s="13"/>
      <c r="G19" s="16"/>
    </row>
    <row r="20" spans="1:10" ht="15" hidden="1">
      <c r="A20" s="269"/>
      <c r="B20" s="269" t="s">
        <v>1016</v>
      </c>
      <c r="C20" s="269"/>
      <c r="D20" s="269"/>
      <c r="E20" s="269"/>
      <c r="F20" s="269"/>
      <c r="G20" s="271">
        <f>ROUND(SUM(G14:G18),0)</f>
        <v>0</v>
      </c>
    </row>
    <row r="21" spans="1:10" ht="15" hidden="1">
      <c r="A21" s="269"/>
      <c r="B21" s="269" t="s">
        <v>1004</v>
      </c>
      <c r="C21" s="269"/>
      <c r="D21" s="269"/>
      <c r="E21" s="269"/>
      <c r="F21" s="269"/>
      <c r="G21" s="271">
        <f>ROUND(G20*$B$11,0)</f>
        <v>0</v>
      </c>
    </row>
    <row r="22" spans="1:10" ht="15" hidden="1">
      <c r="A22" s="269"/>
      <c r="B22" s="269" t="s">
        <v>1003</v>
      </c>
      <c r="C22" s="269"/>
      <c r="D22" s="269"/>
      <c r="E22" s="269"/>
      <c r="F22" s="269"/>
      <c r="G22" s="271">
        <f>ROUND((G20+G21)*$B$10,0)</f>
        <v>0</v>
      </c>
    </row>
    <row r="23" spans="1:10" ht="15" hidden="1">
      <c r="A23" s="282" t="s">
        <v>963</v>
      </c>
      <c r="B23" s="282" t="s">
        <v>1017</v>
      </c>
      <c r="C23" s="282"/>
      <c r="D23" s="282"/>
      <c r="E23" s="282"/>
      <c r="F23" s="282"/>
      <c r="G23" s="284">
        <f>ROUND(SUM(G20:G22),0)</f>
        <v>0</v>
      </c>
      <c r="J23">
        <v>4673135</v>
      </c>
    </row>
    <row r="24" spans="1:10">
      <c r="G24" s="22"/>
    </row>
    <row r="25" spans="1:10" ht="15">
      <c r="A25" s="133" t="s">
        <v>1018</v>
      </c>
      <c r="B25" s="134">
        <f ca="1">+CAPITULOS!D49-CAPITULOS!D40</f>
        <v>575940844</v>
      </c>
      <c r="C25" s="135">
        <f ca="1">IFERROR(B25/B39,"")</f>
        <v>328.93894528829378</v>
      </c>
      <c r="D25" s="136" t="s">
        <v>1019</v>
      </c>
      <c r="E25" s="137"/>
      <c r="F25" s="138"/>
      <c r="G25" s="139"/>
    </row>
    <row r="26" spans="1:10" ht="15">
      <c r="A26" s="140" t="s">
        <v>1020</v>
      </c>
      <c r="B26" s="141">
        <v>5</v>
      </c>
      <c r="C26" s="142">
        <f>IFERROR(B26*30,"")</f>
        <v>150</v>
      </c>
      <c r="D26" s="143"/>
      <c r="E26" s="144"/>
      <c r="F26" s="145"/>
      <c r="G26" s="139"/>
    </row>
    <row r="27" spans="1:10" ht="15">
      <c r="A27" s="140" t="s">
        <v>1021</v>
      </c>
      <c r="B27" s="146"/>
      <c r="C27" s="147">
        <f ca="1">IFERROR(B27*B25,"")</f>
        <v>0</v>
      </c>
      <c r="D27" s="143"/>
      <c r="E27" s="144"/>
      <c r="F27" s="145"/>
      <c r="G27" s="139"/>
    </row>
    <row r="28" spans="1:10" ht="15">
      <c r="A28" s="139"/>
      <c r="B28" s="148"/>
      <c r="C28" s="143"/>
      <c r="D28" s="143"/>
      <c r="E28" s="143"/>
      <c r="F28" s="139"/>
      <c r="G28" s="139"/>
    </row>
    <row r="29" spans="1:10" ht="15">
      <c r="A29" s="439" t="s">
        <v>1022</v>
      </c>
      <c r="B29" s="440" t="s">
        <v>1023</v>
      </c>
      <c r="C29" s="520"/>
      <c r="D29" s="521"/>
      <c r="E29" s="439" t="s">
        <v>1024</v>
      </c>
      <c r="F29" s="439" t="s">
        <v>1025</v>
      </c>
      <c r="G29" s="441" t="s">
        <v>836</v>
      </c>
    </row>
    <row r="30" spans="1:10" ht="15">
      <c r="A30" s="522"/>
      <c r="B30" s="149" t="s">
        <v>481</v>
      </c>
      <c r="C30" s="149" t="s">
        <v>1007</v>
      </c>
      <c r="D30" s="149" t="s">
        <v>5</v>
      </c>
      <c r="E30" s="522"/>
      <c r="F30" s="522"/>
      <c r="G30" s="522"/>
    </row>
    <row r="31" spans="1:10" ht="15">
      <c r="A31" s="150" t="s">
        <v>1026</v>
      </c>
      <c r="B31" s="151"/>
      <c r="C31" s="152"/>
      <c r="D31" s="152"/>
      <c r="E31" s="142"/>
      <c r="F31" s="151"/>
      <c r="G31" s="151"/>
    </row>
    <row r="32" spans="1:10" ht="15">
      <c r="A32" s="153" t="s">
        <v>1027</v>
      </c>
      <c r="B32" s="154">
        <v>0.3</v>
      </c>
      <c r="C32" s="155">
        <f ca="1">+$B$25</f>
        <v>575940844</v>
      </c>
      <c r="D32" s="156">
        <f ca="1">IFERROR(B32*C32,"")</f>
        <v>172782253.19999999</v>
      </c>
      <c r="E32" s="142">
        <f>IFERROR($D$7+180,"")</f>
        <v>180</v>
      </c>
      <c r="F32" s="157">
        <v>3.0000000000000001E-3</v>
      </c>
      <c r="G32" s="158">
        <f ca="1">IFERROR(D32*E32*F32/360,0)</f>
        <v>259173.37979999997</v>
      </c>
    </row>
    <row r="33" spans="1:7" ht="25.5">
      <c r="A33" s="153" t="s">
        <v>1028</v>
      </c>
      <c r="B33" s="159"/>
      <c r="C33" s="160">
        <f ca="1">+C27</f>
        <v>0</v>
      </c>
      <c r="D33" s="156">
        <f t="shared" ref="D33:D36" ca="1" si="0">IFERROR(B33*C33,"")</f>
        <v>0</v>
      </c>
      <c r="E33" s="142">
        <f>IFERROR($D$7+180,"")</f>
        <v>180</v>
      </c>
      <c r="F33" s="157">
        <v>3.0000000000000001E-3</v>
      </c>
      <c r="G33" s="158">
        <f t="shared" ref="G33:G37" ca="1" si="1">IFERROR(D33*E33*F33/360,0)</f>
        <v>0</v>
      </c>
    </row>
    <row r="34" spans="1:7" ht="25.5">
      <c r="A34" s="153" t="s">
        <v>1029</v>
      </c>
      <c r="B34" s="154">
        <v>0.15</v>
      </c>
      <c r="C34" s="155">
        <f ca="1">+C32</f>
        <v>575940844</v>
      </c>
      <c r="D34" s="156">
        <f t="shared" ca="1" si="0"/>
        <v>86391126.599999994</v>
      </c>
      <c r="E34" s="142">
        <f>IFERROR($D$7+1080,"")</f>
        <v>1080</v>
      </c>
      <c r="F34" s="157">
        <v>2.5000000000000001E-3</v>
      </c>
      <c r="G34" s="158">
        <f t="shared" ca="1" si="1"/>
        <v>647933.44949999999</v>
      </c>
    </row>
    <row r="35" spans="1:7" ht="25.5">
      <c r="A35" s="153" t="s">
        <v>1030</v>
      </c>
      <c r="B35" s="154">
        <v>0.3</v>
      </c>
      <c r="C35" s="155">
        <f ca="1">+C34</f>
        <v>575940844</v>
      </c>
      <c r="D35" s="156">
        <f t="shared" ca="1" si="0"/>
        <v>172782253.19999999</v>
      </c>
      <c r="E35" s="142">
        <f>IFERROR($D$7+1800,"")</f>
        <v>1800</v>
      </c>
      <c r="F35" s="157">
        <v>3.0000000000000001E-3</v>
      </c>
      <c r="G35" s="158">
        <f t="shared" ca="1" si="1"/>
        <v>2591733.798</v>
      </c>
    </row>
    <row r="36" spans="1:7" ht="15">
      <c r="A36" s="153" t="s">
        <v>1031</v>
      </c>
      <c r="B36" s="154"/>
      <c r="C36" s="155">
        <f t="shared" ref="C36" ca="1" si="2">+C35</f>
        <v>575940844</v>
      </c>
      <c r="D36" s="156">
        <f t="shared" ca="1" si="0"/>
        <v>0</v>
      </c>
      <c r="E36" s="142">
        <f>IFERROR($D$7+1800,"")</f>
        <v>1800</v>
      </c>
      <c r="F36" s="157">
        <v>3.0000000000000001E-3</v>
      </c>
      <c r="G36" s="158">
        <f t="shared" ca="1" si="1"/>
        <v>0</v>
      </c>
    </row>
    <row r="37" spans="1:7" ht="15">
      <c r="A37" s="151" t="str">
        <f>IF('[2]DATOS INICIALES'!B43="SI","RCE","")</f>
        <v/>
      </c>
      <c r="B37" s="154"/>
      <c r="C37" s="155"/>
      <c r="D37" s="156"/>
      <c r="E37" s="142" t="str">
        <f>IF(A37="","",$D$7+180)</f>
        <v/>
      </c>
      <c r="F37" s="161" t="str">
        <f>IF(A37="","",F36)</f>
        <v/>
      </c>
      <c r="G37" s="158">
        <f t="shared" si="1"/>
        <v>0</v>
      </c>
    </row>
    <row r="38" spans="1:7" ht="25.5">
      <c r="A38" s="162" t="s">
        <v>1032</v>
      </c>
      <c r="B38" s="163" t="s">
        <v>1019</v>
      </c>
      <c r="C38" s="437" t="s">
        <v>1033</v>
      </c>
      <c r="D38" s="438"/>
      <c r="E38" s="164" t="s">
        <v>1034</v>
      </c>
      <c r="F38" s="163" t="s">
        <v>1009</v>
      </c>
      <c r="G38" s="165" t="s">
        <v>836</v>
      </c>
    </row>
    <row r="39" spans="1:7" ht="15">
      <c r="A39" s="166">
        <f ca="1">IF(B25=0,"",IF(C25&lt;=1500,200,IF(C25&lt;=2500,300,IF(C25&lt;=5000,400,IF(C25&lt;=10000,500,"5%")))))</f>
        <v>200</v>
      </c>
      <c r="B39" s="167">
        <f>+'MANO DE OBRA'!M3</f>
        <v>1750905</v>
      </c>
      <c r="C39" s="168">
        <f ca="1">+IFERROR(IF(C25&gt;10000,B25+5%,A39*B39),"")</f>
        <v>350181000</v>
      </c>
      <c r="D39" s="169"/>
      <c r="E39" s="141">
        <f>IF($B$26="","",$B$26)</f>
        <v>5</v>
      </c>
      <c r="F39" s="157">
        <v>3.0000000000000001E-3</v>
      </c>
      <c r="G39" s="158">
        <f ca="1">+IFERROR(F39*E39*C39/12,"")</f>
        <v>437726.25</v>
      </c>
    </row>
    <row r="40" spans="1:7" ht="15">
      <c r="A40" s="138"/>
      <c r="B40" s="138"/>
      <c r="C40" s="138"/>
      <c r="D40" s="170"/>
      <c r="E40" s="171"/>
      <c r="F40" s="171"/>
      <c r="G40" s="170"/>
    </row>
    <row r="41" spans="1:7" ht="15">
      <c r="A41" s="172"/>
      <c r="B41" s="173"/>
      <c r="C41" s="174"/>
      <c r="D41" s="174"/>
      <c r="E41" s="175" t="s">
        <v>1035</v>
      </c>
      <c r="F41" s="176"/>
      <c r="G41" s="158">
        <f ca="1">IFERROR(ROUND(IF(SUM(G31:G37,G39)=0,"",SUM(G31:G37,G39)),0),"")</f>
        <v>3936567</v>
      </c>
    </row>
    <row r="42" spans="1:7" ht="15">
      <c r="A42" s="138"/>
      <c r="B42" s="174"/>
      <c r="C42" s="174"/>
      <c r="D42" s="174"/>
      <c r="E42" s="175" t="s">
        <v>1036</v>
      </c>
      <c r="F42" s="176"/>
      <c r="G42" s="158">
        <f ca="1">IF(G41="","",G41*1%)</f>
        <v>39365.67</v>
      </c>
    </row>
    <row r="43" spans="1:7" ht="15">
      <c r="A43" s="138"/>
      <c r="B43" s="174"/>
      <c r="C43" s="174"/>
      <c r="D43" s="174"/>
      <c r="E43" s="177" t="s">
        <v>1003</v>
      </c>
      <c r="F43" s="178">
        <v>0.19</v>
      </c>
      <c r="G43" s="179">
        <f ca="1">IFERROR(SUM(G41:G42)*F43,"")</f>
        <v>755427.20730000001</v>
      </c>
    </row>
    <row r="44" spans="1:7" ht="15">
      <c r="A44" s="138"/>
      <c r="B44" s="139"/>
      <c r="C44" s="180"/>
      <c r="D44" s="180"/>
      <c r="E44" s="175" t="s">
        <v>1037</v>
      </c>
      <c r="F44" s="176"/>
      <c r="G44" s="181">
        <f ca="1">ROUND(SUM(G41:G43),0)</f>
        <v>4731360</v>
      </c>
    </row>
  </sheetData>
  <mergeCells count="9">
    <mergeCell ref="C38:D38"/>
    <mergeCell ref="A1:G1"/>
    <mergeCell ref="A2:G2"/>
    <mergeCell ref="A3:G3"/>
    <mergeCell ref="A29:A30"/>
    <mergeCell ref="B29:D29"/>
    <mergeCell ref="E29:E30"/>
    <mergeCell ref="F29:F30"/>
    <mergeCell ref="G29:G30"/>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50"/>
  <sheetViews>
    <sheetView showGridLines="0" topLeftCell="A18" workbookViewId="0">
      <selection activeCell="E33" sqref="E33"/>
    </sheetView>
  </sheetViews>
  <sheetFormatPr defaultColWidth="8.75" defaultRowHeight="14.25"/>
  <cols>
    <col min="1" max="1" width="9" customWidth="1"/>
    <col min="2" max="2" width="55.75" customWidth="1"/>
    <col min="3" max="3" width="4.375" customWidth="1"/>
    <col min="4" max="4" width="37.875" bestFit="1" customWidth="1"/>
    <col min="5" max="5" width="12" customWidth="1"/>
    <col min="6" max="6" width="20" customWidth="1"/>
    <col min="7" max="7" width="12.625" bestFit="1" customWidth="1"/>
  </cols>
  <sheetData>
    <row r="1" spans="1:6" ht="22.15" customHeight="1">
      <c r="A1" s="420" t="s">
        <v>0</v>
      </c>
      <c r="B1" s="420"/>
      <c r="C1" s="420"/>
      <c r="D1" s="420"/>
      <c r="E1" s="420"/>
      <c r="F1" s="420"/>
    </row>
    <row r="2" spans="1:6" ht="37.9" customHeight="1">
      <c r="A2" s="420" t="s">
        <v>1</v>
      </c>
      <c r="B2" s="420"/>
      <c r="C2" s="420"/>
      <c r="D2" s="420"/>
      <c r="E2" s="420"/>
      <c r="F2" s="420"/>
    </row>
    <row r="3" spans="1:6" ht="24" customHeight="1">
      <c r="A3" s="420" t="s">
        <v>1038</v>
      </c>
      <c r="B3" s="420" t="s">
        <v>1038</v>
      </c>
      <c r="C3" s="420"/>
      <c r="D3" s="420"/>
      <c r="E3" s="420"/>
      <c r="F3" s="420"/>
    </row>
    <row r="4" spans="1:6" ht="31.15" hidden="1" customHeight="1">
      <c r="A4" s="451" t="s">
        <v>1039</v>
      </c>
      <c r="B4" s="451"/>
      <c r="C4" s="451"/>
      <c r="D4" s="451"/>
      <c r="E4" s="451"/>
      <c r="F4" s="129">
        <f ca="1">ROUND(CAPITULOS!$D$44-CAPITULOS!$D$40-'FORM-AU'!$K$50,0)</f>
        <v>574965591</v>
      </c>
    </row>
    <row r="5" spans="1:6" ht="24" hidden="1">
      <c r="A5" s="268" t="s">
        <v>57</v>
      </c>
      <c r="B5" s="268" t="s">
        <v>1040</v>
      </c>
      <c r="C5" s="268" t="s">
        <v>1007</v>
      </c>
      <c r="D5" s="268" t="s">
        <v>1041</v>
      </c>
      <c r="E5" s="268" t="s">
        <v>1042</v>
      </c>
      <c r="F5" s="268" t="s">
        <v>5</v>
      </c>
    </row>
    <row r="6" spans="1:6" hidden="1">
      <c r="A6" s="13">
        <v>1</v>
      </c>
      <c r="B6" s="13" t="s">
        <v>1043</v>
      </c>
      <c r="C6" s="16"/>
      <c r="D6" s="19">
        <v>0.04</v>
      </c>
      <c r="E6" s="19">
        <v>1</v>
      </c>
      <c r="F6" s="16">
        <f t="shared" ref="F6:F12" si="0">ROUND(C6*D6*E6,0)</f>
        <v>0</v>
      </c>
    </row>
    <row r="7" spans="1:6" hidden="1">
      <c r="A7" s="13">
        <v>2</v>
      </c>
      <c r="B7" s="13" t="s">
        <v>1044</v>
      </c>
      <c r="C7" s="16"/>
      <c r="D7" s="19">
        <v>0.01</v>
      </c>
      <c r="E7" s="19">
        <v>1</v>
      </c>
      <c r="F7" s="16">
        <f t="shared" si="0"/>
        <v>0</v>
      </c>
    </row>
    <row r="8" spans="1:6" hidden="1">
      <c r="A8" s="13">
        <v>3</v>
      </c>
      <c r="B8" s="13" t="s">
        <v>1045</v>
      </c>
      <c r="C8" s="16"/>
      <c r="D8" s="19">
        <v>0.01</v>
      </c>
      <c r="E8" s="19">
        <v>1</v>
      </c>
      <c r="F8" s="16">
        <f t="shared" si="0"/>
        <v>0</v>
      </c>
    </row>
    <row r="9" spans="1:6" hidden="1">
      <c r="A9" s="13">
        <v>4</v>
      </c>
      <c r="B9" s="13" t="s">
        <v>1046</v>
      </c>
      <c r="C9" s="16"/>
      <c r="D9" s="19">
        <v>0.02</v>
      </c>
      <c r="E9" s="19">
        <v>1</v>
      </c>
      <c r="F9" s="16">
        <f t="shared" si="0"/>
        <v>0</v>
      </c>
    </row>
    <row r="10" spans="1:6" hidden="1">
      <c r="A10" s="13">
        <v>5</v>
      </c>
      <c r="B10" s="13" t="s">
        <v>1047</v>
      </c>
      <c r="C10" s="16"/>
      <c r="D10" s="19">
        <v>0.02</v>
      </c>
      <c r="E10" s="19">
        <v>1</v>
      </c>
      <c r="F10" s="16">
        <f t="shared" si="0"/>
        <v>0</v>
      </c>
    </row>
    <row r="11" spans="1:6" hidden="1">
      <c r="A11" s="13">
        <v>6</v>
      </c>
      <c r="B11" s="13" t="s">
        <v>1048</v>
      </c>
      <c r="C11" s="16"/>
      <c r="D11" s="19">
        <v>0.05</v>
      </c>
      <c r="E11" s="19">
        <v>1</v>
      </c>
      <c r="F11" s="16">
        <f t="shared" si="0"/>
        <v>0</v>
      </c>
    </row>
    <row r="12" spans="1:6" hidden="1">
      <c r="A12" s="13">
        <v>7</v>
      </c>
      <c r="B12" s="13" t="s">
        <v>1049</v>
      </c>
      <c r="C12" s="16"/>
      <c r="D12" s="19">
        <v>0.02</v>
      </c>
      <c r="E12" s="19">
        <v>0</v>
      </c>
      <c r="F12" s="16">
        <f t="shared" si="0"/>
        <v>0</v>
      </c>
    </row>
    <row r="13" spans="1:6" ht="44.25" hidden="1" customHeight="1">
      <c r="A13" s="13">
        <v>8</v>
      </c>
      <c r="B13" s="23" t="s">
        <v>1050</v>
      </c>
      <c r="C13" s="130"/>
      <c r="D13" s="131">
        <v>2.5000000000000001E-2</v>
      </c>
      <c r="E13" s="131">
        <v>1</v>
      </c>
      <c r="F13" s="130">
        <f t="shared" ref="F13" si="1">ROUND(C13*D13*E13,0)</f>
        <v>0</v>
      </c>
    </row>
    <row r="14" spans="1:6" hidden="1">
      <c r="A14" s="13"/>
      <c r="B14" s="23"/>
      <c r="C14" s="75"/>
      <c r="D14" s="18"/>
      <c r="E14" s="18"/>
      <c r="F14" s="16"/>
    </row>
    <row r="15" spans="1:6" ht="15" hidden="1">
      <c r="A15" s="282" t="s">
        <v>963</v>
      </c>
      <c r="B15" s="282" t="s">
        <v>1051</v>
      </c>
      <c r="C15" s="282"/>
      <c r="D15" s="287">
        <f>SUMPRODUCT(D6:D14,E6:E14)</f>
        <v>0.17500000000000002</v>
      </c>
      <c r="E15" s="287"/>
      <c r="F15" s="284">
        <f>ROUND(SUM(F6:F14),0)</f>
        <v>0</v>
      </c>
    </row>
    <row r="16" spans="1:6" ht="15" hidden="1" thickBot="1"/>
    <row r="17" spans="2:6" ht="17.25" hidden="1" thickBot="1">
      <c r="B17" s="182"/>
      <c r="C17" s="183"/>
      <c r="D17" s="183"/>
      <c r="E17" s="183"/>
      <c r="F17" s="184"/>
    </row>
    <row r="18" spans="2:6" ht="16.5">
      <c r="B18" s="185"/>
      <c r="C18" s="185"/>
      <c r="D18" s="186"/>
      <c r="E18" s="187"/>
      <c r="F18" s="187"/>
    </row>
    <row r="19" spans="2:6" ht="16.5">
      <c r="B19" s="188" t="s">
        <v>1052</v>
      </c>
      <c r="C19" s="189"/>
      <c r="D19" s="190">
        <f ca="1">+CAPITULOS!D49-CAPITULOS!D40</f>
        <v>575940844</v>
      </c>
      <c r="E19" s="191"/>
      <c r="F19" s="191"/>
    </row>
    <row r="20" spans="2:6" ht="22.5">
      <c r="B20" s="192" t="s">
        <v>1053</v>
      </c>
      <c r="C20" s="189"/>
      <c r="D20" s="190">
        <f ca="1">+D19-G46</f>
        <v>575337379.27905369</v>
      </c>
      <c r="E20" s="191"/>
      <c r="F20" s="191"/>
    </row>
    <row r="21" spans="2:6" ht="22.5">
      <c r="B21" s="192" t="s">
        <v>1054</v>
      </c>
      <c r="C21" s="189"/>
      <c r="D21" s="190">
        <f ca="1">IFERROR(D19-'FORM-AU'!$J$50-$F$39,0)</f>
        <v>487626555.28066528</v>
      </c>
      <c r="E21" s="191"/>
      <c r="F21" s="191"/>
    </row>
    <row r="22" spans="2:6" ht="22.5">
      <c r="B22" s="192" t="s">
        <v>1055</v>
      </c>
      <c r="C22" s="189"/>
      <c r="D22" s="190">
        <f ca="1">IFERROR(F39,0)</f>
        <v>88314287.719334736</v>
      </c>
      <c r="E22" s="191"/>
      <c r="F22" s="191"/>
    </row>
    <row r="23" spans="2:6" ht="33.75">
      <c r="B23" s="193" t="s">
        <v>1056</v>
      </c>
      <c r="C23" s="189"/>
      <c r="D23" s="190">
        <f ca="1">+F46-G46</f>
        <v>455474791.27905363</v>
      </c>
      <c r="E23" s="191"/>
      <c r="F23" s="191"/>
    </row>
    <row r="24" spans="2:6" ht="17.25" thickBot="1">
      <c r="B24" s="185"/>
      <c r="C24" s="185"/>
      <c r="D24" s="186"/>
      <c r="E24" s="187"/>
      <c r="F24" s="187"/>
    </row>
    <row r="25" spans="2:6" ht="16.5">
      <c r="B25" s="194" t="s">
        <v>1057</v>
      </c>
      <c r="C25" s="195" t="s">
        <v>481</v>
      </c>
      <c r="D25" s="196">
        <v>0.04</v>
      </c>
      <c r="E25" s="197">
        <f ca="1">+$D$20</f>
        <v>575337379.27905369</v>
      </c>
      <c r="F25" s="198">
        <f ca="1">D25*E25</f>
        <v>23013495.171162147</v>
      </c>
    </row>
    <row r="26" spans="2:6" ht="16.5">
      <c r="B26" s="199" t="s">
        <v>1058</v>
      </c>
      <c r="C26" s="200" t="s">
        <v>481</v>
      </c>
      <c r="D26" s="201"/>
      <c r="E26" s="202">
        <f ca="1">$D$20</f>
        <v>575337379.27905369</v>
      </c>
      <c r="F26" s="203">
        <f ca="1">D26*E26</f>
        <v>0</v>
      </c>
    </row>
    <row r="27" spans="2:6" ht="16.5">
      <c r="B27" s="199" t="s">
        <v>1059</v>
      </c>
      <c r="C27" s="200" t="s">
        <v>481</v>
      </c>
      <c r="D27" s="201">
        <v>0.01</v>
      </c>
      <c r="E27" s="202">
        <f t="shared" ref="E27:E29" ca="1" si="2">$D$20</f>
        <v>575337379.27905369</v>
      </c>
      <c r="F27" s="203">
        <f t="shared" ref="F27:F37" ca="1" si="3">D27*E27</f>
        <v>5753373.7927905368</v>
      </c>
    </row>
    <row r="28" spans="2:6" ht="16.5">
      <c r="B28" s="199" t="s">
        <v>1060</v>
      </c>
      <c r="C28" s="200" t="s">
        <v>481</v>
      </c>
      <c r="D28" s="201">
        <v>0.02</v>
      </c>
      <c r="E28" s="202">
        <f t="shared" ca="1" si="2"/>
        <v>575337379.27905369</v>
      </c>
      <c r="F28" s="203">
        <f t="shared" ca="1" si="3"/>
        <v>11506747.585581074</v>
      </c>
    </row>
    <row r="29" spans="2:6" ht="16.5">
      <c r="B29" s="199" t="s">
        <v>1061</v>
      </c>
      <c r="C29" s="200" t="s">
        <v>481</v>
      </c>
      <c r="D29" s="201">
        <v>0.01</v>
      </c>
      <c r="E29" s="202">
        <f t="shared" ca="1" si="2"/>
        <v>575337379.27905369</v>
      </c>
      <c r="F29" s="203">
        <f t="shared" ca="1" si="3"/>
        <v>5753373.7927905368</v>
      </c>
    </row>
    <row r="30" spans="2:6" ht="16.5">
      <c r="B30" s="199" t="s">
        <v>1062</v>
      </c>
      <c r="C30" s="200" t="s">
        <v>481</v>
      </c>
      <c r="D30" s="201">
        <v>0.02</v>
      </c>
      <c r="E30" s="202">
        <f ca="1">+D20*0.3</f>
        <v>172601213.78371611</v>
      </c>
      <c r="F30" s="203">
        <f t="shared" ca="1" si="3"/>
        <v>3452024.2756743222</v>
      </c>
    </row>
    <row r="31" spans="2:6" ht="16.5">
      <c r="B31" s="199" t="s">
        <v>1063</v>
      </c>
      <c r="C31" s="200" t="s">
        <v>481</v>
      </c>
      <c r="D31" s="204">
        <v>2.5000000000000001E-2</v>
      </c>
      <c r="E31" s="202">
        <f ca="1">+D20*0.7</f>
        <v>402736165.49533755</v>
      </c>
      <c r="F31" s="203">
        <f t="shared" ca="1" si="3"/>
        <v>10068404.137383439</v>
      </c>
    </row>
    <row r="32" spans="2:6" ht="16.5">
      <c r="B32" s="199" t="s">
        <v>1064</v>
      </c>
      <c r="C32" s="200" t="s">
        <v>481</v>
      </c>
      <c r="D32" s="204">
        <v>0.05</v>
      </c>
      <c r="E32" s="205">
        <f ca="1">+D20</f>
        <v>575337379.27905369</v>
      </c>
      <c r="F32" s="203">
        <f t="shared" ca="1" si="3"/>
        <v>28766868.963952687</v>
      </c>
    </row>
    <row r="33" spans="2:8" ht="16.5">
      <c r="B33" s="206"/>
      <c r="C33" s="200" t="s">
        <v>481</v>
      </c>
      <c r="D33" s="201"/>
      <c r="E33" s="202">
        <f>$D$9</f>
        <v>0.02</v>
      </c>
      <c r="F33" s="203">
        <f t="shared" si="3"/>
        <v>0</v>
      </c>
    </row>
    <row r="34" spans="2:8" ht="16.5">
      <c r="B34" s="206"/>
      <c r="C34" s="200" t="s">
        <v>481</v>
      </c>
      <c r="D34" s="201"/>
      <c r="E34" s="202">
        <f>$D$9</f>
        <v>0.02</v>
      </c>
      <c r="F34" s="203">
        <f t="shared" si="3"/>
        <v>0</v>
      </c>
    </row>
    <row r="35" spans="2:8" ht="16.5">
      <c r="B35" s="206"/>
      <c r="C35" s="200" t="s">
        <v>481</v>
      </c>
      <c r="D35" s="201"/>
      <c r="E35" s="202">
        <f>$D$9</f>
        <v>0.02</v>
      </c>
      <c r="F35" s="203">
        <f t="shared" si="3"/>
        <v>0</v>
      </c>
    </row>
    <row r="36" spans="2:8" ht="16.5">
      <c r="B36" s="206"/>
      <c r="C36" s="200" t="s">
        <v>481</v>
      </c>
      <c r="D36" s="201"/>
      <c r="E36" s="202">
        <f>$D$9</f>
        <v>0.02</v>
      </c>
      <c r="F36" s="203">
        <f t="shared" si="3"/>
        <v>0</v>
      </c>
    </row>
    <row r="37" spans="2:8" ht="17.25" thickBot="1">
      <c r="B37" s="207"/>
      <c r="C37" s="208" t="s">
        <v>481</v>
      </c>
      <c r="D37" s="209"/>
      <c r="E37" s="210">
        <f>$D$9</f>
        <v>0.02</v>
      </c>
      <c r="F37" s="211">
        <f t="shared" si="3"/>
        <v>0</v>
      </c>
    </row>
    <row r="38" spans="2:8" ht="17.25" thickBot="1">
      <c r="B38" s="185"/>
      <c r="C38" s="185"/>
      <c r="D38" s="186"/>
      <c r="E38" s="187"/>
      <c r="F38" s="187"/>
    </row>
    <row r="39" spans="2:8" ht="17.25" thickBot="1">
      <c r="B39" s="212" t="s">
        <v>1065</v>
      </c>
      <c r="C39" s="212"/>
      <c r="D39" s="213">
        <f>SUM(D25:D38)</f>
        <v>0.17499999999999999</v>
      </c>
      <c r="E39" s="214"/>
      <c r="F39" s="215">
        <f ca="1">_xlfn.IFNA(SUM(F25:F37),0)</f>
        <v>88314287.719334736</v>
      </c>
    </row>
    <row r="40" spans="2:8" ht="17.25" thickBot="1">
      <c r="B40" s="185"/>
      <c r="C40" s="185"/>
      <c r="D40" s="186"/>
      <c r="E40" s="187"/>
      <c r="F40" s="187"/>
    </row>
    <row r="41" spans="2:8" ht="17.25" thickBot="1">
      <c r="B41" s="452" t="s">
        <v>1066</v>
      </c>
      <c r="C41" s="453"/>
      <c r="D41" s="453"/>
      <c r="E41" s="453"/>
      <c r="F41" s="454"/>
    </row>
    <row r="42" spans="2:8">
      <c r="B42" s="442" t="s">
        <v>1067</v>
      </c>
      <c r="C42" s="443"/>
      <c r="D42" s="443"/>
      <c r="E42" s="443"/>
      <c r="F42" s="444"/>
    </row>
    <row r="43" spans="2:8">
      <c r="B43" s="445"/>
      <c r="C43" s="446"/>
      <c r="D43" s="446"/>
      <c r="E43" s="446"/>
      <c r="F43" s="447"/>
    </row>
    <row r="44" spans="2:8" ht="35.25" customHeight="1" thickBot="1">
      <c r="B44" s="448"/>
      <c r="C44" s="449"/>
      <c r="D44" s="449"/>
      <c r="E44" s="449"/>
      <c r="F44" s="450"/>
    </row>
    <row r="45" spans="2:8" ht="16.5">
      <c r="B45" s="185"/>
      <c r="C45" s="185"/>
      <c r="D45" s="186"/>
      <c r="E45" s="187"/>
      <c r="F45" s="187"/>
    </row>
    <row r="46" spans="2:8" ht="16.5">
      <c r="B46" s="185"/>
      <c r="C46" s="185"/>
      <c r="D46" s="186" t="s">
        <v>1068</v>
      </c>
      <c r="E46" s="187"/>
      <c r="F46" s="203">
        <f ca="1">+CAPITULOS!D47</f>
        <v>456078256</v>
      </c>
      <c r="G46" s="92">
        <f ca="1">+'FORM-AU'!D79</f>
        <v>603464.72094634944</v>
      </c>
      <c r="H46" t="s">
        <v>1069</v>
      </c>
    </row>
    <row r="47" spans="2:8" ht="16.5">
      <c r="B47" s="185"/>
      <c r="C47" s="185"/>
      <c r="D47" s="186" t="s">
        <v>1070</v>
      </c>
      <c r="E47" s="187"/>
      <c r="F47" s="187"/>
    </row>
    <row r="48" spans="2:8" ht="16.5">
      <c r="B48" s="185"/>
      <c r="C48" s="185"/>
      <c r="D48" s="186"/>
      <c r="E48" s="187"/>
      <c r="F48" s="187"/>
    </row>
    <row r="49" spans="2:8" ht="16.5">
      <c r="B49" s="185"/>
      <c r="C49" s="185"/>
      <c r="D49" s="186" t="s">
        <v>1071</v>
      </c>
      <c r="E49" s="187"/>
      <c r="F49" s="203">
        <f ca="1">+CAPITULOS!D48</f>
        <v>195462110</v>
      </c>
      <c r="G49" s="92">
        <f ca="1">+'FORM-AU'!D80</f>
        <v>258627.73754843546</v>
      </c>
      <c r="H49" t="s">
        <v>1072</v>
      </c>
    </row>
    <row r="50" spans="2:8" ht="16.5">
      <c r="B50" s="185"/>
      <c r="C50" s="185"/>
      <c r="D50" s="186" t="s">
        <v>1073</v>
      </c>
      <c r="E50" s="187"/>
      <c r="F50" s="187"/>
    </row>
  </sheetData>
  <mergeCells count="6">
    <mergeCell ref="B42:F44"/>
    <mergeCell ref="A1:F1"/>
    <mergeCell ref="A2:F2"/>
    <mergeCell ref="A3:F3"/>
    <mergeCell ref="A4:E4"/>
    <mergeCell ref="B41:F41"/>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40"/>
  <sheetViews>
    <sheetView showGridLines="0" topLeftCell="A14" workbookViewId="0">
      <selection activeCell="H23" sqref="H23"/>
    </sheetView>
  </sheetViews>
  <sheetFormatPr defaultColWidth="8.75" defaultRowHeight="14.25"/>
  <cols>
    <col min="1" max="1" width="10" customWidth="1"/>
    <col min="2" max="2" width="48" customWidth="1"/>
    <col min="3" max="3" width="20" customWidth="1"/>
    <col min="4" max="4" width="18" customWidth="1"/>
    <col min="5" max="5" width="14" customWidth="1"/>
    <col min="6" max="6" width="20" customWidth="1"/>
    <col min="7" max="7" width="14" customWidth="1"/>
    <col min="8" max="8" width="20" customWidth="1"/>
    <col min="9" max="9" width="14" customWidth="1"/>
  </cols>
  <sheetData>
    <row r="1" spans="1:9" ht="22.15" customHeight="1">
      <c r="A1" s="420" t="s">
        <v>0</v>
      </c>
      <c r="B1" s="420"/>
      <c r="C1" s="420"/>
      <c r="D1" s="420"/>
      <c r="E1" s="420"/>
      <c r="F1" s="420"/>
      <c r="G1" s="420"/>
      <c r="H1" s="420"/>
      <c r="I1" s="420"/>
    </row>
    <row r="2" spans="1:9" ht="37.9" customHeight="1">
      <c r="A2" s="420" t="s">
        <v>1</v>
      </c>
      <c r="B2" s="420"/>
      <c r="C2" s="420"/>
      <c r="D2" s="420"/>
      <c r="E2" s="420"/>
      <c r="F2" s="420"/>
      <c r="G2" s="420"/>
      <c r="H2" s="420"/>
      <c r="I2" s="420"/>
    </row>
    <row r="3" spans="1:9" ht="24" customHeight="1">
      <c r="A3" s="420" t="s">
        <v>1074</v>
      </c>
      <c r="B3" s="420"/>
      <c r="C3" s="420"/>
      <c r="D3" s="420"/>
      <c r="E3" s="420"/>
      <c r="F3" s="420"/>
      <c r="G3" s="420"/>
      <c r="H3" s="420"/>
      <c r="I3" s="420"/>
    </row>
    <row r="4" spans="1:9" ht="30" customHeight="1">
      <c r="A4" s="455" t="s">
        <v>1075</v>
      </c>
      <c r="B4" s="455"/>
      <c r="C4" s="455"/>
      <c r="D4" s="289" t="s">
        <v>1076</v>
      </c>
      <c r="E4" s="32">
        <v>5</v>
      </c>
      <c r="F4" s="289"/>
      <c r="G4" s="289" t="s">
        <v>1077</v>
      </c>
      <c r="H4" s="33">
        <v>0.1</v>
      </c>
      <c r="I4" s="289"/>
    </row>
    <row r="5" spans="1:9" ht="15">
      <c r="D5" t="s">
        <v>1078</v>
      </c>
      <c r="E5" s="363">
        <f ca="1">+'FACTOR XDOR'!E61</f>
        <v>1.8338000000000001</v>
      </c>
      <c r="G5" t="s">
        <v>1003</v>
      </c>
      <c r="H5" s="34">
        <v>0.19</v>
      </c>
    </row>
    <row r="6" spans="1:9" ht="24">
      <c r="A6" s="268" t="s">
        <v>890</v>
      </c>
      <c r="B6" s="268" t="s">
        <v>1079</v>
      </c>
      <c r="C6" s="268" t="s">
        <v>1080</v>
      </c>
      <c r="D6" s="268" t="s">
        <v>1081</v>
      </c>
      <c r="E6" s="268" t="s">
        <v>1082</v>
      </c>
      <c r="F6" s="268" t="s">
        <v>895</v>
      </c>
      <c r="G6" s="268" t="s">
        <v>896</v>
      </c>
      <c r="H6" s="268" t="s">
        <v>897</v>
      </c>
      <c r="I6" s="268" t="s">
        <v>6</v>
      </c>
    </row>
    <row r="8" spans="1:9" ht="15">
      <c r="A8" s="422" t="s">
        <v>1083</v>
      </c>
      <c r="B8" s="421" t="s">
        <v>1083</v>
      </c>
      <c r="C8" s="423"/>
      <c r="D8" s="422"/>
      <c r="E8" s="422"/>
      <c r="F8" s="423"/>
      <c r="G8" s="421"/>
      <c r="H8" s="423"/>
      <c r="I8" s="421"/>
    </row>
    <row r="9" spans="1:9">
      <c r="A9" s="59">
        <v>0</v>
      </c>
      <c r="B9" s="13" t="s">
        <v>1084</v>
      </c>
      <c r="C9" s="16">
        <f>ROUND('MANO DE OBRA'!$E$37,0)</f>
        <v>9224190</v>
      </c>
      <c r="D9" s="93">
        <v>0</v>
      </c>
      <c r="E9" s="58">
        <f t="shared" ref="E9:E14" si="0">ROUND($E$4,2)</f>
        <v>5</v>
      </c>
      <c r="F9" s="16">
        <f ca="1">ROUND(A9*C9*D9*E9*$E$5,0)</f>
        <v>0</v>
      </c>
      <c r="G9" s="17">
        <f t="shared" ref="G9:G14" ca="1" si="1">$G$31</f>
        <v>1</v>
      </c>
      <c r="H9" s="16">
        <f t="shared" ref="H9:H14" ca="1" si="2">ROUND(F9*G9,0)</f>
        <v>0</v>
      </c>
      <c r="I9" s="18">
        <f ca="1">IFERROR(H9/ACTIVIDADES!$H$145,0)</f>
        <v>0</v>
      </c>
    </row>
    <row r="10" spans="1:9">
      <c r="A10" s="59">
        <v>1</v>
      </c>
      <c r="B10" s="13" t="s">
        <v>1085</v>
      </c>
      <c r="C10" s="16">
        <f>ROUND('MANO DE OBRA'!$E$38,0)</f>
        <v>4079609</v>
      </c>
      <c r="D10" s="93">
        <v>1</v>
      </c>
      <c r="E10" s="58">
        <v>6</v>
      </c>
      <c r="F10" s="16">
        <f t="shared" ref="F10:F14" ca="1" si="3">ROUND(A10*C10*D10*E10*$E$5,0)</f>
        <v>44887122</v>
      </c>
      <c r="G10" s="17">
        <f t="shared" ca="1" si="1"/>
        <v>1</v>
      </c>
      <c r="H10" s="16">
        <f t="shared" ca="1" si="2"/>
        <v>44887122</v>
      </c>
      <c r="I10" s="18">
        <f ca="1">IFERROR(H10/ACTIVIDADES!$H$145,0)</f>
        <v>0.11291096172441996</v>
      </c>
    </row>
    <row r="11" spans="1:9">
      <c r="A11" s="59">
        <v>0</v>
      </c>
      <c r="B11" s="13" t="s">
        <v>1086</v>
      </c>
      <c r="C11" s="16">
        <f>ROUND('MANO DE OBRA'!$E$39,0)</f>
        <v>3182446</v>
      </c>
      <c r="D11" s="93">
        <v>0</v>
      </c>
      <c r="E11" s="58">
        <f t="shared" si="0"/>
        <v>5</v>
      </c>
      <c r="F11" s="16">
        <f t="shared" ca="1" si="3"/>
        <v>0</v>
      </c>
      <c r="G11" s="17">
        <f t="shared" ca="1" si="1"/>
        <v>1</v>
      </c>
      <c r="H11" s="16">
        <f t="shared" ca="1" si="2"/>
        <v>0</v>
      </c>
      <c r="I11" s="18">
        <f ca="1">IFERROR(H11/ACTIVIDADES!$H$145,0)</f>
        <v>0</v>
      </c>
    </row>
    <row r="12" spans="1:9">
      <c r="A12" s="59">
        <v>0</v>
      </c>
      <c r="B12" s="13" t="s">
        <v>1087</v>
      </c>
      <c r="C12" s="16">
        <f>ROUND('MANO DE OBRA'!$E$40,0)</f>
        <v>3182446</v>
      </c>
      <c r="D12" s="93">
        <v>0</v>
      </c>
      <c r="E12" s="58">
        <f t="shared" si="0"/>
        <v>5</v>
      </c>
      <c r="F12" s="16">
        <f t="shared" ca="1" si="3"/>
        <v>0</v>
      </c>
      <c r="G12" s="17">
        <f t="shared" ca="1" si="1"/>
        <v>1</v>
      </c>
      <c r="H12" s="16">
        <f t="shared" ca="1" si="2"/>
        <v>0</v>
      </c>
      <c r="I12" s="18">
        <f ca="1">IFERROR(H12/ACTIVIDADES!$H$145,0)</f>
        <v>0</v>
      </c>
    </row>
    <row r="13" spans="1:9">
      <c r="A13" s="59">
        <v>0</v>
      </c>
      <c r="B13" s="13" t="s">
        <v>1088</v>
      </c>
      <c r="C13" s="16">
        <f>ROUND('MANO DE OBRA'!$E$41,0)</f>
        <v>4079609</v>
      </c>
      <c r="D13" s="93">
        <v>0</v>
      </c>
      <c r="E13" s="58">
        <f t="shared" si="0"/>
        <v>5</v>
      </c>
      <c r="F13" s="16">
        <f t="shared" ca="1" si="3"/>
        <v>0</v>
      </c>
      <c r="G13" s="17">
        <f t="shared" ca="1" si="1"/>
        <v>1</v>
      </c>
      <c r="H13" s="16">
        <f t="shared" ca="1" si="2"/>
        <v>0</v>
      </c>
      <c r="I13" s="18">
        <f ca="1">IFERROR(H13/ACTIVIDADES!$H$145,0)</f>
        <v>0</v>
      </c>
    </row>
    <row r="14" spans="1:9">
      <c r="A14" s="59">
        <v>1</v>
      </c>
      <c r="B14" s="13" t="s">
        <v>905</v>
      </c>
      <c r="C14" s="16">
        <f>ROUND('MANO DE OBRA'!$E$42,0)</f>
        <v>2713903</v>
      </c>
      <c r="D14" s="93">
        <v>0.5</v>
      </c>
      <c r="E14" s="58">
        <f t="shared" si="0"/>
        <v>5</v>
      </c>
      <c r="F14" s="16">
        <f t="shared" ca="1" si="3"/>
        <v>12441888</v>
      </c>
      <c r="G14" s="17">
        <f t="shared" ca="1" si="1"/>
        <v>1</v>
      </c>
      <c r="H14" s="16">
        <f t="shared" ca="1" si="2"/>
        <v>12441888</v>
      </c>
      <c r="I14" s="18">
        <f ca="1">IFERROR(H14/ACTIVIDADES!$H$145,0)</f>
        <v>3.1296850347133413E-2</v>
      </c>
    </row>
    <row r="15" spans="1:9" ht="15">
      <c r="A15" s="270"/>
      <c r="B15" s="269" t="s">
        <v>1089</v>
      </c>
      <c r="C15" s="271"/>
      <c r="D15" s="270"/>
      <c r="E15" s="270"/>
      <c r="F15" s="271">
        <f ca="1">ROUND(SUM(F9:F14),0)</f>
        <v>57329010</v>
      </c>
      <c r="G15" s="272"/>
      <c r="H15" s="271">
        <f ca="1">ROUND(SUM(H9:H14),0)</f>
        <v>57329010</v>
      </c>
      <c r="I15" s="274">
        <f ca="1">IFERROR(H15/ACTIVIDADES!$H$145,0)</f>
        <v>0.14420781207155337</v>
      </c>
    </row>
    <row r="16" spans="1:9">
      <c r="A16" s="58"/>
      <c r="B16" s="13"/>
      <c r="C16" s="16"/>
      <c r="D16" s="58"/>
      <c r="E16" s="58"/>
      <c r="F16" s="16"/>
      <c r="G16" s="17"/>
      <c r="H16" s="16"/>
      <c r="I16" s="18"/>
    </row>
    <row r="17" spans="1:9" ht="15">
      <c r="A17" s="422" t="s">
        <v>1090</v>
      </c>
      <c r="B17" s="421" t="s">
        <v>1090</v>
      </c>
      <c r="C17" s="423"/>
      <c r="D17" s="422"/>
      <c r="E17" s="422"/>
      <c r="F17" s="423"/>
      <c r="G17" s="424"/>
      <c r="H17" s="423"/>
      <c r="I17" s="426"/>
    </row>
    <row r="18" spans="1:9">
      <c r="A18" s="59">
        <v>1</v>
      </c>
      <c r="B18" s="14" t="s">
        <v>1091</v>
      </c>
      <c r="C18" s="26">
        <v>500000</v>
      </c>
      <c r="D18" s="93">
        <v>1</v>
      </c>
      <c r="E18" s="59">
        <v>5</v>
      </c>
      <c r="F18" s="16">
        <f>ROUND(A18*C18*D18*E18,0)</f>
        <v>2500000</v>
      </c>
      <c r="G18" s="17">
        <f ca="1">$G$31</f>
        <v>1</v>
      </c>
      <c r="H18" s="16">
        <f ca="1">ROUND(F18*G18,0)</f>
        <v>2500000</v>
      </c>
      <c r="I18" s="18">
        <f ca="1">H18/ACTIVIDADES!$H$145</f>
        <v>6.2886055450614518E-3</v>
      </c>
    </row>
    <row r="19" spans="1:9">
      <c r="A19" s="59">
        <v>1</v>
      </c>
      <c r="B19" s="14" t="s">
        <v>1092</v>
      </c>
      <c r="C19" s="26">
        <v>400000</v>
      </c>
      <c r="D19" s="93">
        <v>1</v>
      </c>
      <c r="E19" s="59">
        <v>3</v>
      </c>
      <c r="F19" s="16">
        <f>ROUND(A19*C19*D19*E19,0)</f>
        <v>1200000</v>
      </c>
      <c r="G19" s="17">
        <f ca="1">$G$31</f>
        <v>1</v>
      </c>
      <c r="H19" s="16">
        <f ca="1">ROUND(F19*G19,0)</f>
        <v>1200000</v>
      </c>
      <c r="I19" s="18">
        <f ca="1">H19/ACTIVIDADES!$H$145</f>
        <v>3.018530661629497E-3</v>
      </c>
    </row>
    <row r="20" spans="1:9">
      <c r="A20" s="59">
        <v>1</v>
      </c>
      <c r="B20" s="14" t="s">
        <v>1093</v>
      </c>
      <c r="C20" s="26">
        <v>500000</v>
      </c>
      <c r="D20" s="93">
        <v>1</v>
      </c>
      <c r="E20" s="59">
        <v>5</v>
      </c>
      <c r="F20" s="16">
        <f>ROUND(A20*C20*D20*E20,0)</f>
        <v>2500000</v>
      </c>
      <c r="G20" s="17">
        <f ca="1">$G$31</f>
        <v>1</v>
      </c>
      <c r="H20" s="16">
        <f ca="1">ROUND(F20*G20,0)</f>
        <v>2500000</v>
      </c>
      <c r="I20" s="18">
        <f ca="1">H20/ACTIVIDADES!$H$145</f>
        <v>6.2886055450614518E-3</v>
      </c>
    </row>
    <row r="21" spans="1:9" ht="15">
      <c r="A21" s="269"/>
      <c r="B21" s="269" t="s">
        <v>1094</v>
      </c>
      <c r="C21" s="271"/>
      <c r="D21" s="269"/>
      <c r="E21" s="269"/>
      <c r="F21" s="271">
        <f>ROUND(SUM(F18:F20),0)</f>
        <v>6200000</v>
      </c>
      <c r="G21" s="272"/>
      <c r="H21" s="271">
        <f ca="1">ROUND(SUM(H18:H20),0)</f>
        <v>6200000</v>
      </c>
      <c r="I21" s="274">
        <f ca="1">H21/ACTIVIDADES!$H$145</f>
        <v>1.5595741751752401E-2</v>
      </c>
    </row>
    <row r="22" spans="1:9">
      <c r="A22" s="13"/>
      <c r="B22" s="13"/>
      <c r="C22" s="16"/>
      <c r="D22" s="13"/>
      <c r="E22" s="13"/>
      <c r="F22" s="16"/>
      <c r="G22" s="17"/>
      <c r="H22" s="16"/>
      <c r="I22" s="18"/>
    </row>
    <row r="23" spans="1:9" ht="15">
      <c r="A23" s="269"/>
      <c r="B23" s="269" t="s">
        <v>1095</v>
      </c>
      <c r="C23" s="271"/>
      <c r="D23" s="269"/>
      <c r="E23" s="269"/>
      <c r="F23" s="271">
        <f ca="1">ROUND(F15+F21,0)</f>
        <v>63529010</v>
      </c>
      <c r="G23" s="272">
        <f ca="1">$G$31</f>
        <v>1</v>
      </c>
      <c r="H23" s="271">
        <f ca="1">ROUND(F23*G23,0)</f>
        <v>63529010</v>
      </c>
      <c r="I23" s="274">
        <f ca="1">H23/ACTIVIDADES!$H$145</f>
        <v>0.15980355382330577</v>
      </c>
    </row>
    <row r="24" spans="1:9" ht="15">
      <c r="A24" s="269"/>
      <c r="B24" s="269" t="s">
        <v>1003</v>
      </c>
      <c r="C24" s="271"/>
      <c r="D24" s="269"/>
      <c r="E24" s="269"/>
      <c r="F24" s="271">
        <f ca="1">ROUND(F23*$H$5,0)</f>
        <v>12070512</v>
      </c>
      <c r="G24" s="272">
        <f ca="1">$G$31</f>
        <v>1</v>
      </c>
      <c r="H24" s="271">
        <f ca="1">ROUND(F24*G24,0)</f>
        <v>12070512</v>
      </c>
      <c r="I24" s="274">
        <f ca="1">H24/ACTIVIDADES!$H$145</f>
        <v>3.036267547797232E-2</v>
      </c>
    </row>
    <row r="25" spans="1:9" ht="15">
      <c r="A25" s="269"/>
      <c r="B25" s="269" t="s">
        <v>1096</v>
      </c>
      <c r="C25" s="271"/>
      <c r="D25" s="269"/>
      <c r="E25" s="269"/>
      <c r="F25" s="271">
        <f ca="1">ROUND('POL INTERV'!H51,0)</f>
        <v>913607</v>
      </c>
      <c r="G25" s="272">
        <f ca="1">$G$31</f>
        <v>1</v>
      </c>
      <c r="H25" s="271">
        <f ca="1">ROUND(F25*G25,0)</f>
        <v>913607</v>
      </c>
      <c r="I25" s="274">
        <f ca="1">H25/ACTIVIDADES!$H$145</f>
        <v>2.298125618482783E-3</v>
      </c>
    </row>
    <row r="26" spans="1:9" ht="15">
      <c r="A26" s="269"/>
      <c r="B26" s="269" t="s">
        <v>1097</v>
      </c>
      <c r="C26" s="271"/>
      <c r="D26" s="269"/>
      <c r="E26" s="269"/>
      <c r="F26" s="271">
        <f>ROUND(0,0)</f>
        <v>0</v>
      </c>
      <c r="G26" s="272">
        <f ca="1">$G$31</f>
        <v>1</v>
      </c>
      <c r="H26" s="271">
        <f>ROUND(0,0)</f>
        <v>0</v>
      </c>
      <c r="I26" s="274">
        <f>H26/ACTIVIDADES!$H$145</f>
        <v>0</v>
      </c>
    </row>
    <row r="27" spans="1:9">
      <c r="A27" s="13"/>
      <c r="B27" s="13"/>
      <c r="C27" s="16"/>
      <c r="D27" s="13"/>
      <c r="E27" s="13"/>
      <c r="F27" s="16"/>
      <c r="G27" s="17"/>
      <c r="H27" s="16"/>
      <c r="I27" s="18"/>
    </row>
    <row r="28" spans="1:9" ht="15">
      <c r="A28" s="269"/>
      <c r="B28" s="269" t="s">
        <v>1098</v>
      </c>
      <c r="C28" s="271"/>
      <c r="D28" s="269"/>
      <c r="E28" s="269"/>
      <c r="F28" s="271">
        <f ca="1">ROUND(SUM(F23:F26),0)</f>
        <v>76513129</v>
      </c>
      <c r="G28" s="272"/>
      <c r="H28" s="271"/>
      <c r="I28" s="274">
        <f ca="1">F28/ACTIVIDADES!$H$145</f>
        <v>0.19246435491976088</v>
      </c>
    </row>
    <row r="29" spans="1:9">
      <c r="A29" s="13"/>
      <c r="B29" s="13"/>
      <c r="C29" s="16"/>
      <c r="D29" s="13"/>
      <c r="E29" s="13"/>
      <c r="F29" s="16"/>
      <c r="G29" s="17"/>
      <c r="H29" s="16"/>
      <c r="I29" s="18"/>
    </row>
    <row r="30" spans="1:9" ht="15" hidden="1">
      <c r="A30" s="276"/>
      <c r="B30" s="276" t="s">
        <v>1099</v>
      </c>
      <c r="C30" s="278"/>
      <c r="D30" s="276"/>
      <c r="E30" s="276"/>
      <c r="F30" s="278"/>
      <c r="G30" s="279"/>
      <c r="H30" s="278">
        <f>ROUND(ACTIVIDADES!$H$145*$H$4,0)</f>
        <v>39754441</v>
      </c>
      <c r="I30" s="281">
        <f>H30/ACTIVIDADES!$H$145</f>
        <v>9.999999924536733E-2</v>
      </c>
    </row>
    <row r="31" spans="1:9" ht="15">
      <c r="A31" s="282"/>
      <c r="B31" s="282" t="s">
        <v>948</v>
      </c>
      <c r="C31" s="284"/>
      <c r="D31" s="282"/>
      <c r="E31" s="282"/>
      <c r="F31" s="284"/>
      <c r="G31" s="285">
        <f ca="1">IF(F28&gt;0,1,0)</f>
        <v>1</v>
      </c>
      <c r="H31" s="284"/>
      <c r="I31" s="287"/>
    </row>
    <row r="32" spans="1:9" ht="15">
      <c r="A32" s="282"/>
      <c r="B32" s="282" t="s">
        <v>1100</v>
      </c>
      <c r="C32" s="284"/>
      <c r="D32" s="282"/>
      <c r="E32" s="282"/>
      <c r="F32" s="284"/>
      <c r="G32" s="282"/>
      <c r="H32" s="284">
        <f ca="1">ROUND((F23+F24+'POL INTERV'!$B$17)/(1-'POL INTERV'!$B$11),0)</f>
        <v>75599522</v>
      </c>
      <c r="I32" s="287">
        <f ca="1">H32/ACTIVIDADES!$H$145</f>
        <v>0.19016622930127811</v>
      </c>
    </row>
    <row r="33" spans="1:9" ht="15" hidden="1">
      <c r="A33" s="276"/>
      <c r="B33" s="276" t="s">
        <v>1101</v>
      </c>
      <c r="C33" s="278"/>
      <c r="D33" s="276"/>
      <c r="E33" s="276"/>
      <c r="F33" s="278"/>
      <c r="G33" s="276"/>
      <c r="H33" s="278">
        <f ca="1">ROUND(H32-H30,0)</f>
        <v>35845081</v>
      </c>
      <c r="I33" s="281">
        <f ca="1">H33/ACTIVIDADES!$H$145</f>
        <v>9.0166230055910762E-2</v>
      </c>
    </row>
    <row r="34" spans="1:9" ht="15" hidden="1">
      <c r="A34" s="276"/>
      <c r="B34" s="276" t="s">
        <v>1102</v>
      </c>
      <c r="C34" s="278"/>
      <c r="D34" s="276"/>
      <c r="E34" s="276"/>
      <c r="F34" s="278"/>
      <c r="G34" s="276"/>
      <c r="H34" s="278">
        <f ca="1">ROUND(F28-H32,0)</f>
        <v>913607</v>
      </c>
      <c r="I34" s="276"/>
    </row>
    <row r="36" spans="1:9">
      <c r="B36" s="519" t="s">
        <v>1103</v>
      </c>
      <c r="C36" s="519"/>
      <c r="D36" s="519"/>
      <c r="E36" s="519"/>
      <c r="F36" s="519"/>
      <c r="G36" s="519"/>
      <c r="H36" s="519"/>
    </row>
    <row r="37" spans="1:9">
      <c r="B37" t="s">
        <v>1104</v>
      </c>
      <c r="H37" s="50">
        <f>ROUND(SUMPRODUCT(A9:A14,C9:C14,D9:D14,E9:E14),0)</f>
        <v>31262412</v>
      </c>
    </row>
    <row r="38" spans="1:9">
      <c r="B38" t="s">
        <v>1105</v>
      </c>
      <c r="H38" s="50">
        <f ca="1">$E$5</f>
        <v>1.8338000000000001</v>
      </c>
    </row>
    <row r="39" spans="1:9">
      <c r="B39" t="s">
        <v>1106</v>
      </c>
      <c r="H39" s="50">
        <f ca="1">ROUND(H37*H38,0)</f>
        <v>57329011</v>
      </c>
    </row>
    <row r="40" spans="1:9">
      <c r="B40" t="s">
        <v>1107</v>
      </c>
      <c r="H40" s="50">
        <f ca="1">IF(ABS(H15-H39)&lt;=1,0,ROUND(H15-H39,0))</f>
        <v>0</v>
      </c>
    </row>
  </sheetData>
  <mergeCells count="7">
    <mergeCell ref="B36:H36"/>
    <mergeCell ref="A17:I17"/>
    <mergeCell ref="A1:I1"/>
    <mergeCell ref="A2:I2"/>
    <mergeCell ref="A3:I3"/>
    <mergeCell ref="A4:C4"/>
    <mergeCell ref="A8:I8"/>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A61"/>
  <sheetViews>
    <sheetView showGridLines="0" topLeftCell="A43" workbookViewId="0">
      <selection activeCell="J42" sqref="J42"/>
    </sheetView>
  </sheetViews>
  <sheetFormatPr defaultColWidth="8.75" defaultRowHeight="14.25"/>
  <cols>
    <col min="1" max="1" width="10" customWidth="1"/>
    <col min="2" max="2" width="8" customWidth="1"/>
    <col min="3" max="3" width="47.25" customWidth="1"/>
    <col min="4" max="10" width="14" customWidth="1"/>
  </cols>
  <sheetData>
    <row r="1" spans="1:27" ht="19.899999999999999" customHeight="1">
      <c r="A1" s="456" t="s">
        <v>0</v>
      </c>
      <c r="B1" s="456"/>
      <c r="C1" s="456"/>
      <c r="D1" s="456"/>
      <c r="E1" s="456"/>
      <c r="F1" s="456"/>
      <c r="G1" s="65"/>
      <c r="H1" s="65"/>
      <c r="I1" s="65"/>
      <c r="J1" s="65"/>
    </row>
    <row r="2" spans="1:27" ht="37.9" customHeight="1">
      <c r="A2" s="456" t="s">
        <v>1</v>
      </c>
      <c r="B2" s="456"/>
      <c r="C2" s="456"/>
      <c r="D2" s="456"/>
      <c r="E2" s="456"/>
      <c r="F2" s="456"/>
      <c r="G2" s="65"/>
      <c r="H2" s="65"/>
      <c r="I2" s="65"/>
      <c r="J2" s="65"/>
    </row>
    <row r="3" spans="1:27" ht="22.15" customHeight="1">
      <c r="A3" s="456" t="s">
        <v>1108</v>
      </c>
      <c r="B3" s="456"/>
      <c r="C3" s="456"/>
      <c r="D3" s="456"/>
      <c r="E3" s="456"/>
      <c r="F3" s="456"/>
      <c r="G3" s="65"/>
      <c r="H3" s="65"/>
      <c r="I3" s="65"/>
      <c r="J3" s="65"/>
    </row>
    <row r="4" spans="1:27" ht="15" thickBot="1">
      <c r="A4" s="66"/>
      <c r="B4" s="66"/>
      <c r="C4" s="66"/>
      <c r="D4" s="66"/>
      <c r="E4" s="66"/>
      <c r="F4" s="66"/>
      <c r="G4" s="66"/>
      <c r="H4" s="66"/>
      <c r="I4" s="66"/>
      <c r="J4" s="66"/>
    </row>
    <row r="5" spans="1:27" s="291" customFormat="1" ht="16.5" customHeight="1" thickBot="1">
      <c r="B5" s="292"/>
      <c r="C5" s="293" t="s">
        <v>1109</v>
      </c>
      <c r="D5" s="294">
        <f>+'MANO DE OBRA'!M3</f>
        <v>1750905</v>
      </c>
      <c r="E5" s="295" t="s">
        <v>1110</v>
      </c>
      <c r="F5" s="296">
        <f>+'FORM-INTER'!E4</f>
        <v>5</v>
      </c>
      <c r="G5" s="292"/>
      <c r="H5" s="292"/>
      <c r="I5" s="292"/>
      <c r="J5" s="292"/>
      <c r="K5" s="292"/>
      <c r="L5" s="292"/>
      <c r="M5" s="292"/>
      <c r="N5" s="292"/>
      <c r="O5" s="292"/>
      <c r="P5" s="292"/>
      <c r="Q5" s="292"/>
      <c r="R5" s="292"/>
      <c r="S5" s="292"/>
      <c r="T5" s="292"/>
      <c r="U5" s="292"/>
      <c r="V5" s="292"/>
      <c r="W5" s="292"/>
      <c r="X5" s="292"/>
      <c r="Y5" s="292"/>
      <c r="Z5" s="292"/>
      <c r="AA5" s="292"/>
    </row>
    <row r="6" spans="1:27" s="291" customFormat="1" ht="16.5" customHeight="1" thickBot="1">
      <c r="B6" s="292"/>
      <c r="C6" s="297"/>
      <c r="D6" s="298"/>
      <c r="E6" s="292"/>
      <c r="F6" s="292"/>
      <c r="G6" s="292"/>
      <c r="H6" s="292"/>
      <c r="I6" s="292"/>
      <c r="J6" s="292"/>
      <c r="K6" s="292"/>
      <c r="L6" s="292"/>
      <c r="M6" s="292"/>
      <c r="N6" s="292"/>
      <c r="O6" s="292"/>
      <c r="P6" s="292"/>
      <c r="Q6" s="292"/>
      <c r="R6" s="292"/>
      <c r="S6" s="292"/>
      <c r="T6" s="292"/>
      <c r="U6" s="292"/>
      <c r="V6" s="292"/>
      <c r="W6" s="292"/>
      <c r="X6" s="292"/>
      <c r="Y6" s="292"/>
      <c r="Z6" s="292"/>
      <c r="AA6" s="292"/>
    </row>
    <row r="7" spans="1:27" s="291" customFormat="1" ht="16.5" customHeight="1" thickBot="1">
      <c r="B7" s="299" t="s">
        <v>1111</v>
      </c>
      <c r="C7" s="300" t="s">
        <v>1112</v>
      </c>
      <c r="D7" s="301">
        <v>1</v>
      </c>
      <c r="E7" s="301">
        <v>1</v>
      </c>
      <c r="F7" s="301">
        <v>1</v>
      </c>
      <c r="G7" s="292"/>
      <c r="H7" s="292"/>
      <c r="I7" s="292"/>
      <c r="J7" s="292"/>
      <c r="K7" s="292"/>
      <c r="L7" s="292"/>
      <c r="M7" s="292"/>
      <c r="N7" s="292"/>
      <c r="O7" s="292"/>
      <c r="P7" s="292"/>
      <c r="Q7" s="292"/>
      <c r="R7" s="292"/>
      <c r="S7" s="292"/>
      <c r="T7" s="292"/>
      <c r="U7" s="292"/>
      <c r="V7" s="292"/>
      <c r="W7" s="292"/>
      <c r="X7" s="292"/>
      <c r="Y7" s="292"/>
      <c r="Z7" s="292"/>
      <c r="AA7" s="292"/>
    </row>
    <row r="8" spans="1:27" s="291" customFormat="1" ht="16.5" customHeight="1" thickBot="1">
      <c r="B8" s="292"/>
      <c r="C8" s="292"/>
      <c r="F8" s="292"/>
      <c r="G8" s="292"/>
      <c r="H8" s="292"/>
      <c r="I8" s="292"/>
      <c r="J8" s="292"/>
      <c r="K8" s="292"/>
      <c r="L8" s="292"/>
      <c r="M8" s="292"/>
      <c r="N8" s="292"/>
      <c r="O8" s="292"/>
      <c r="P8" s="292"/>
      <c r="Q8" s="292"/>
      <c r="R8" s="292"/>
      <c r="S8" s="292"/>
      <c r="T8" s="292"/>
      <c r="U8" s="292"/>
      <c r="V8" s="292"/>
      <c r="W8" s="292"/>
      <c r="X8" s="292"/>
      <c r="Y8" s="292"/>
      <c r="Z8" s="292"/>
      <c r="AA8" s="292"/>
    </row>
    <row r="9" spans="1:27" s="291" customFormat="1" ht="16.5" customHeight="1" thickBot="1">
      <c r="B9" s="292"/>
      <c r="C9" s="457" t="s">
        <v>827</v>
      </c>
      <c r="D9" s="460" t="s">
        <v>1113</v>
      </c>
      <c r="E9" s="461"/>
      <c r="F9" s="462"/>
      <c r="G9" s="292"/>
      <c r="H9" s="292"/>
      <c r="I9" s="292"/>
      <c r="J9" s="292"/>
      <c r="K9" s="292"/>
      <c r="L9" s="292"/>
      <c r="M9" s="292"/>
      <c r="N9" s="292"/>
      <c r="O9" s="292"/>
      <c r="P9" s="292"/>
      <c r="Q9" s="292"/>
      <c r="R9" s="292"/>
      <c r="S9" s="292"/>
      <c r="T9" s="292"/>
      <c r="U9" s="292"/>
      <c r="V9" s="292"/>
      <c r="W9" s="292"/>
      <c r="X9" s="292"/>
      <c r="Y9" s="292"/>
      <c r="Z9" s="292"/>
      <c r="AA9" s="292"/>
    </row>
    <row r="10" spans="1:27" s="291" customFormat="1" ht="16.5" customHeight="1">
      <c r="B10" s="292"/>
      <c r="C10" s="458"/>
      <c r="D10" s="302" t="s">
        <v>1114</v>
      </c>
      <c r="E10" s="303" t="s">
        <v>1115</v>
      </c>
      <c r="F10" s="304" t="s">
        <v>1114</v>
      </c>
      <c r="G10" s="292"/>
      <c r="H10" s="292"/>
      <c r="I10" s="292"/>
      <c r="J10" s="292"/>
      <c r="K10" s="292"/>
      <c r="L10" s="292"/>
      <c r="M10" s="292"/>
      <c r="N10" s="292"/>
      <c r="O10" s="292"/>
      <c r="P10" s="292"/>
      <c r="Q10" s="292"/>
      <c r="R10" s="292"/>
      <c r="S10" s="292"/>
      <c r="T10" s="292"/>
      <c r="U10" s="292"/>
      <c r="V10" s="292"/>
      <c r="W10" s="292"/>
      <c r="X10" s="292"/>
      <c r="Y10" s="292"/>
      <c r="Z10" s="292"/>
      <c r="AA10" s="292"/>
    </row>
    <row r="11" spans="1:27" s="291" customFormat="1" ht="16.5" customHeight="1" thickBot="1">
      <c r="B11" s="292"/>
      <c r="C11" s="459"/>
      <c r="D11" s="305" t="s">
        <v>1116</v>
      </c>
      <c r="E11" s="356" t="s">
        <v>1117</v>
      </c>
      <c r="F11" s="306" t="s">
        <v>1118</v>
      </c>
      <c r="G11" s="292"/>
      <c r="H11" s="292"/>
      <c r="I11" s="292"/>
      <c r="J11" s="292"/>
      <c r="K11" s="292"/>
      <c r="L11" s="292"/>
      <c r="M11" s="292"/>
      <c r="N11" s="292"/>
      <c r="O11" s="292"/>
      <c r="P11" s="292"/>
      <c r="Q11" s="292"/>
      <c r="R11" s="292"/>
      <c r="S11" s="292"/>
      <c r="T11" s="292"/>
      <c r="U11" s="292"/>
      <c r="V11" s="292"/>
      <c r="W11" s="292"/>
      <c r="X11" s="292"/>
      <c r="Y11" s="292"/>
      <c r="Z11" s="292"/>
      <c r="AA11" s="292"/>
    </row>
    <row r="12" spans="1:27" s="291" customFormat="1" ht="16.5" customHeight="1">
      <c r="B12" s="292"/>
      <c r="C12" s="307"/>
      <c r="D12" s="308">
        <f>$D$8*2</f>
        <v>0</v>
      </c>
      <c r="E12" s="308">
        <f>+D12</f>
        <v>0</v>
      </c>
      <c r="F12" s="308">
        <f>+E12+1</f>
        <v>1</v>
      </c>
      <c r="G12" s="292"/>
      <c r="H12" s="292"/>
      <c r="I12" s="292"/>
      <c r="J12" s="292"/>
      <c r="K12" s="292"/>
      <c r="L12" s="292"/>
      <c r="M12" s="292"/>
      <c r="N12" s="292"/>
      <c r="O12" s="292"/>
      <c r="P12" s="292"/>
      <c r="Q12" s="292"/>
      <c r="R12" s="292"/>
      <c r="S12" s="292"/>
      <c r="T12" s="292"/>
      <c r="U12" s="292"/>
      <c r="V12" s="292"/>
      <c r="W12" s="292"/>
      <c r="X12" s="292"/>
      <c r="Y12" s="292"/>
      <c r="Z12" s="292"/>
      <c r="AA12" s="292"/>
    </row>
    <row r="13" spans="1:27" s="291" customFormat="1" ht="16.5" customHeight="1">
      <c r="B13" s="292"/>
      <c r="C13" s="309" t="s">
        <v>833</v>
      </c>
      <c r="D13" s="360">
        <f>+'MANO DE OBRA'!M11</f>
        <v>0.14226642793298322</v>
      </c>
      <c r="E13" s="360">
        <f>+'MANO DE OBRA'!N11</f>
        <v>0.14226642793298322</v>
      </c>
      <c r="F13" s="360">
        <f>+'MANO DE OBRA'!O11</f>
        <v>0</v>
      </c>
      <c r="G13" s="292"/>
      <c r="H13" s="292"/>
      <c r="I13" s="292"/>
      <c r="J13" s="292"/>
      <c r="K13" s="292"/>
      <c r="L13" s="292"/>
      <c r="M13" s="292"/>
      <c r="N13" s="292"/>
      <c r="O13" s="292"/>
      <c r="P13" s="292"/>
      <c r="Q13" s="292"/>
      <c r="R13" s="292"/>
      <c r="S13" s="292"/>
      <c r="T13" s="292"/>
      <c r="U13" s="292"/>
      <c r="V13" s="292"/>
      <c r="W13" s="292"/>
      <c r="X13" s="292"/>
      <c r="Y13" s="292"/>
      <c r="Z13" s="292"/>
      <c r="AA13" s="292"/>
    </row>
    <row r="14" spans="1:27" s="291" customFormat="1" ht="16.5" customHeight="1">
      <c r="B14" s="292"/>
      <c r="C14" s="309" t="s">
        <v>1119</v>
      </c>
      <c r="D14" s="360">
        <f>+'MANO DE OBRA'!M12</f>
        <v>8.3299999999999999E-2</v>
      </c>
      <c r="E14" s="360">
        <f>+'MANO DE OBRA'!N12</f>
        <v>8.3299999999999999E-2</v>
      </c>
      <c r="F14" s="360">
        <f>+'MANO DE OBRA'!O12</f>
        <v>8.3299999999999999E-2</v>
      </c>
      <c r="G14" s="292"/>
      <c r="H14" s="292"/>
      <c r="I14" s="292"/>
      <c r="J14" s="292"/>
      <c r="K14" s="292"/>
      <c r="L14" s="292"/>
      <c r="M14" s="292"/>
      <c r="N14" s="292"/>
      <c r="O14" s="292"/>
      <c r="P14" s="292"/>
      <c r="Q14" s="292"/>
      <c r="R14" s="292"/>
      <c r="S14" s="292"/>
      <c r="T14" s="292"/>
      <c r="U14" s="292"/>
      <c r="V14" s="292"/>
      <c r="W14" s="292"/>
      <c r="X14" s="292"/>
      <c r="Y14" s="292"/>
      <c r="Z14" s="292"/>
      <c r="AA14" s="292"/>
    </row>
    <row r="15" spans="1:27" s="291" customFormat="1" ht="16.5" customHeight="1">
      <c r="B15" s="292"/>
      <c r="C15" s="309" t="s">
        <v>1120</v>
      </c>
      <c r="D15" s="360">
        <f>+'MANO DE OBRA'!M13</f>
        <v>0.01</v>
      </c>
      <c r="E15" s="360">
        <f>+'MANO DE OBRA'!N13</f>
        <v>0.01</v>
      </c>
      <c r="F15" s="360">
        <f>+'MANO DE OBRA'!O13</f>
        <v>0.01</v>
      </c>
      <c r="G15" s="292"/>
      <c r="H15" s="292"/>
      <c r="I15" s="292"/>
      <c r="J15" s="292"/>
      <c r="K15" s="292"/>
      <c r="L15" s="292"/>
      <c r="M15" s="292"/>
      <c r="N15" s="292"/>
      <c r="O15" s="292"/>
      <c r="P15" s="292"/>
      <c r="Q15" s="292"/>
      <c r="R15" s="292"/>
      <c r="S15" s="292"/>
      <c r="T15" s="292"/>
      <c r="U15" s="292"/>
      <c r="V15" s="292"/>
      <c r="W15" s="292"/>
      <c r="X15" s="292"/>
      <c r="Y15" s="292"/>
      <c r="Z15" s="292"/>
      <c r="AA15" s="292"/>
    </row>
    <row r="16" spans="1:27" s="291" customFormat="1" ht="16.5" customHeight="1">
      <c r="B16" s="292"/>
      <c r="C16" s="309" t="s">
        <v>836</v>
      </c>
      <c r="D16" s="360">
        <f>+'MANO DE OBRA'!M14</f>
        <v>8.3299999999999999E-2</v>
      </c>
      <c r="E16" s="360">
        <f>+'MANO DE OBRA'!N14</f>
        <v>8.3299999999999999E-2</v>
      </c>
      <c r="F16" s="360">
        <f>+'MANO DE OBRA'!O14</f>
        <v>8.3299999999999999E-2</v>
      </c>
      <c r="G16" s="292"/>
      <c r="H16" s="292"/>
      <c r="I16" s="292"/>
      <c r="J16" s="292"/>
      <c r="K16" s="292"/>
      <c r="L16" s="292"/>
      <c r="M16" s="292"/>
      <c r="N16" s="292"/>
      <c r="O16" s="292"/>
      <c r="P16" s="292"/>
      <c r="Q16" s="292"/>
      <c r="R16" s="292"/>
      <c r="S16" s="292"/>
      <c r="T16" s="292"/>
      <c r="U16" s="292"/>
      <c r="V16" s="292"/>
      <c r="W16" s="292"/>
      <c r="X16" s="292"/>
      <c r="Y16" s="292"/>
      <c r="Z16" s="292"/>
      <c r="AA16" s="292"/>
    </row>
    <row r="17" spans="2:27" s="291" customFormat="1" ht="16.5" customHeight="1">
      <c r="B17" s="292"/>
      <c r="C17" s="309" t="s">
        <v>837</v>
      </c>
      <c r="D17" s="360">
        <f>+'MANO DE OBRA'!M15</f>
        <v>4.1700000000000001E-2</v>
      </c>
      <c r="E17" s="360">
        <f>+'MANO DE OBRA'!N15</f>
        <v>4.1700000000000001E-2</v>
      </c>
      <c r="F17" s="360">
        <f>+'MANO DE OBRA'!O15</f>
        <v>4.1700000000000001E-2</v>
      </c>
      <c r="G17" s="292"/>
      <c r="H17" s="292"/>
      <c r="I17" s="292"/>
      <c r="J17" s="292"/>
      <c r="K17" s="292"/>
      <c r="L17" s="292"/>
      <c r="M17" s="292"/>
      <c r="N17" s="292"/>
      <c r="O17" s="292"/>
      <c r="P17" s="292"/>
      <c r="Q17" s="292"/>
      <c r="R17" s="292"/>
      <c r="S17" s="292"/>
      <c r="T17" s="292"/>
      <c r="U17" s="292"/>
      <c r="V17" s="292"/>
      <c r="W17" s="292"/>
      <c r="X17" s="292"/>
      <c r="Y17" s="292"/>
      <c r="Z17" s="292"/>
      <c r="AA17" s="292"/>
    </row>
    <row r="18" spans="2:27" s="291" customFormat="1" ht="16.5" customHeight="1">
      <c r="B18" s="292"/>
      <c r="C18" s="309" t="s">
        <v>838</v>
      </c>
      <c r="D18" s="360">
        <f>+'MANO DE OBRA'!M16</f>
        <v>0.02</v>
      </c>
      <c r="E18" s="360">
        <f>+'MANO DE OBRA'!N16</f>
        <v>0.02</v>
      </c>
      <c r="F18" s="360">
        <f>+'MANO DE OBRA'!O16</f>
        <v>0.02</v>
      </c>
      <c r="G18" s="292"/>
      <c r="H18" s="292"/>
      <c r="I18" s="292"/>
      <c r="J18" s="292"/>
      <c r="K18" s="292"/>
      <c r="L18" s="292"/>
      <c r="M18" s="292"/>
      <c r="N18" s="292"/>
      <c r="O18" s="292"/>
      <c r="P18" s="292"/>
      <c r="Q18" s="292"/>
      <c r="R18" s="292"/>
      <c r="S18" s="292"/>
      <c r="T18" s="292"/>
      <c r="U18" s="292"/>
      <c r="V18" s="292"/>
      <c r="W18" s="292"/>
      <c r="X18" s="292"/>
      <c r="Y18" s="292"/>
      <c r="Z18" s="292"/>
      <c r="AA18" s="292"/>
    </row>
    <row r="19" spans="2:27" s="291" customFormat="1" ht="16.5" customHeight="1">
      <c r="B19" s="292"/>
      <c r="C19" s="309" t="s">
        <v>839</v>
      </c>
      <c r="D19" s="360">
        <f>+'MANO DE OBRA'!M17</f>
        <v>0.03</v>
      </c>
      <c r="E19" s="360">
        <f>+'MANO DE OBRA'!N17</f>
        <v>0.03</v>
      </c>
      <c r="F19" s="360">
        <f>+'MANO DE OBRA'!O17</f>
        <v>0.03</v>
      </c>
      <c r="G19" s="292"/>
      <c r="H19" s="292"/>
      <c r="I19" s="292"/>
      <c r="J19" s="292"/>
      <c r="K19" s="292"/>
      <c r="L19" s="292"/>
      <c r="M19" s="292"/>
      <c r="N19" s="292"/>
      <c r="O19" s="292"/>
      <c r="P19" s="292"/>
      <c r="Q19" s="292"/>
      <c r="R19" s="292"/>
      <c r="S19" s="292"/>
      <c r="T19" s="292"/>
      <c r="U19" s="292"/>
      <c r="V19" s="292"/>
      <c r="W19" s="292"/>
      <c r="X19" s="292"/>
      <c r="Y19" s="292"/>
      <c r="Z19" s="292"/>
      <c r="AA19" s="292"/>
    </row>
    <row r="20" spans="2:27" s="291" customFormat="1" ht="16.5" customHeight="1">
      <c r="B20" s="292"/>
      <c r="C20" s="309" t="s">
        <v>840</v>
      </c>
      <c r="D20" s="360">
        <f>+'MANO DE OBRA'!M18</f>
        <v>0.04</v>
      </c>
      <c r="E20" s="360">
        <f>+'MANO DE OBRA'!N18</f>
        <v>0.04</v>
      </c>
      <c r="F20" s="360">
        <f>+'MANO DE OBRA'!O18</f>
        <v>0.04</v>
      </c>
      <c r="G20" s="292"/>
      <c r="H20" s="292"/>
      <c r="I20" s="292"/>
      <c r="J20" s="292"/>
      <c r="K20" s="292"/>
      <c r="L20" s="292"/>
      <c r="M20" s="292"/>
      <c r="N20" s="292"/>
      <c r="O20" s="292"/>
      <c r="P20" s="292"/>
      <c r="Q20" s="292"/>
      <c r="R20" s="292"/>
      <c r="S20" s="292"/>
      <c r="T20" s="292"/>
      <c r="U20" s="292"/>
      <c r="V20" s="292"/>
      <c r="W20" s="292"/>
      <c r="X20" s="292"/>
      <c r="Y20" s="292"/>
      <c r="Z20" s="292"/>
      <c r="AA20" s="292"/>
    </row>
    <row r="21" spans="2:27" s="291" customFormat="1" ht="16.5" customHeight="1">
      <c r="B21" s="292"/>
      <c r="C21" s="309" t="s">
        <v>841</v>
      </c>
      <c r="D21" s="360"/>
      <c r="E21" s="360"/>
      <c r="F21" s="360"/>
      <c r="G21" s="292"/>
      <c r="H21" s="292"/>
      <c r="I21" s="292"/>
      <c r="J21" s="292"/>
      <c r="K21" s="292"/>
      <c r="L21" s="292"/>
      <c r="M21" s="292"/>
      <c r="N21" s="292"/>
      <c r="O21" s="292"/>
      <c r="P21" s="292"/>
      <c r="Q21" s="292"/>
      <c r="R21" s="292"/>
      <c r="S21" s="292"/>
      <c r="T21" s="292"/>
      <c r="U21" s="292"/>
      <c r="V21" s="292"/>
      <c r="W21" s="292"/>
      <c r="X21" s="292"/>
      <c r="Y21" s="292"/>
      <c r="Z21" s="292"/>
      <c r="AA21" s="292"/>
    </row>
    <row r="22" spans="2:27" s="291" customFormat="1" ht="16.5" customHeight="1">
      <c r="B22" s="292"/>
      <c r="C22" s="309" t="s">
        <v>842</v>
      </c>
      <c r="D22" s="360">
        <f>+'MANO DE OBRA'!M20</f>
        <v>8.5000000000000006E-2</v>
      </c>
      <c r="E22" s="360">
        <f>+'MANO DE OBRA'!N20</f>
        <v>8.5000000000000006E-2</v>
      </c>
      <c r="F22" s="360">
        <f>+'MANO DE OBRA'!O20</f>
        <v>8.5000000000000006E-2</v>
      </c>
      <c r="G22" s="292"/>
      <c r="H22" s="292"/>
      <c r="I22" s="292"/>
      <c r="J22" s="292"/>
      <c r="K22" s="292"/>
      <c r="L22" s="292"/>
      <c r="M22" s="292"/>
      <c r="N22" s="292"/>
      <c r="O22" s="292"/>
      <c r="P22" s="292"/>
      <c r="Q22" s="292"/>
      <c r="R22" s="292"/>
      <c r="S22" s="292"/>
      <c r="T22" s="292"/>
      <c r="U22" s="292"/>
      <c r="V22" s="292"/>
      <c r="W22" s="292"/>
      <c r="X22" s="292"/>
      <c r="Y22" s="292"/>
      <c r="Z22" s="292"/>
      <c r="AA22" s="292"/>
    </row>
    <row r="23" spans="2:27" s="291" customFormat="1" ht="16.5" customHeight="1">
      <c r="B23" s="292"/>
      <c r="C23" s="309" t="s">
        <v>843</v>
      </c>
      <c r="D23" s="360">
        <f>+'MANO DE OBRA'!M21</f>
        <v>0.12</v>
      </c>
      <c r="E23" s="360">
        <f>+'MANO DE OBRA'!N21</f>
        <v>0.12</v>
      </c>
      <c r="F23" s="360">
        <f>+'MANO DE OBRA'!O21</f>
        <v>0.12</v>
      </c>
      <c r="G23" s="292"/>
      <c r="H23" s="292"/>
      <c r="I23" s="292"/>
      <c r="J23" s="292"/>
      <c r="K23" s="292"/>
      <c r="L23" s="292"/>
      <c r="M23" s="292"/>
      <c r="N23" s="292"/>
      <c r="O23" s="292"/>
      <c r="P23" s="292"/>
      <c r="Q23" s="292"/>
      <c r="R23" s="292"/>
      <c r="S23" s="292"/>
      <c r="T23" s="292"/>
      <c r="U23" s="292"/>
      <c r="V23" s="292"/>
      <c r="W23" s="292"/>
      <c r="X23" s="292"/>
      <c r="Y23" s="292"/>
      <c r="Z23" s="292"/>
      <c r="AA23" s="292"/>
    </row>
    <row r="24" spans="2:27" s="291" customFormat="1" ht="16.5" customHeight="1">
      <c r="B24" s="292"/>
      <c r="C24" s="309" t="s">
        <v>844</v>
      </c>
      <c r="D24" s="360">
        <f>+'MANO DE OBRA'!M22</f>
        <v>6.9599999999999995E-2</v>
      </c>
      <c r="E24" s="360">
        <f>+'MANO DE OBRA'!N22</f>
        <v>5.1999999999999998E-3</v>
      </c>
      <c r="F24" s="360">
        <f>+'MANO DE OBRA'!O22</f>
        <v>6.9599999999999995E-2</v>
      </c>
      <c r="G24" s="292"/>
      <c r="H24" s="292"/>
      <c r="I24" s="292"/>
      <c r="J24" s="292"/>
      <c r="K24" s="292"/>
      <c r="L24" s="292"/>
      <c r="M24" s="292"/>
      <c r="N24" s="292"/>
      <c r="O24" s="292"/>
      <c r="P24" s="292"/>
      <c r="Q24" s="292"/>
      <c r="R24" s="292"/>
      <c r="S24" s="292"/>
      <c r="T24" s="292"/>
      <c r="U24" s="292"/>
      <c r="V24" s="292"/>
      <c r="W24" s="292"/>
      <c r="X24" s="292"/>
      <c r="Y24" s="292"/>
      <c r="Z24" s="292"/>
      <c r="AA24" s="292"/>
    </row>
    <row r="25" spans="2:27" s="291" customFormat="1" ht="16.5" customHeight="1">
      <c r="B25" s="292"/>
      <c r="C25" s="309" t="s">
        <v>845</v>
      </c>
      <c r="D25" s="360">
        <f>+'MANO DE OBRA'!M23</f>
        <v>3.3500000000000002E-2</v>
      </c>
      <c r="E25" s="360">
        <f>+'MANO DE OBRA'!N23</f>
        <v>3.3500000000000002E-2</v>
      </c>
      <c r="F25" s="360">
        <f>+'MANO DE OBRA'!O23</f>
        <v>0.01</v>
      </c>
      <c r="G25" s="292"/>
      <c r="H25" s="292"/>
      <c r="I25" s="292"/>
      <c r="J25" s="292"/>
      <c r="K25" s="292"/>
      <c r="L25" s="292"/>
      <c r="M25" s="292"/>
      <c r="N25" s="292"/>
      <c r="O25" s="292"/>
      <c r="P25" s="292"/>
      <c r="Q25" s="292"/>
      <c r="R25" s="292"/>
      <c r="S25" s="292"/>
      <c r="T25" s="292"/>
      <c r="U25" s="292"/>
      <c r="V25" s="292"/>
      <c r="W25" s="292"/>
      <c r="X25" s="292"/>
      <c r="Y25" s="292"/>
      <c r="Z25" s="292"/>
      <c r="AA25" s="292"/>
    </row>
    <row r="26" spans="2:27" s="291" customFormat="1" ht="16.5" customHeight="1">
      <c r="B26" s="292"/>
      <c r="C26" s="310" t="s">
        <v>1121</v>
      </c>
      <c r="D26" s="360">
        <f>+'MANO DE OBRA'!M24</f>
        <v>0.01</v>
      </c>
      <c r="E26" s="360">
        <f>+'MANO DE OBRA'!N24</f>
        <v>0.01</v>
      </c>
      <c r="F26" s="360">
        <f>+'MANO DE OBRA'!O24</f>
        <v>0.01</v>
      </c>
      <c r="G26" s="292"/>
      <c r="H26" s="292"/>
      <c r="I26" s="292"/>
      <c r="J26" s="292"/>
      <c r="K26" s="292"/>
      <c r="L26" s="292"/>
      <c r="M26" s="292"/>
      <c r="N26" s="292"/>
      <c r="O26" s="292"/>
      <c r="P26" s="292"/>
      <c r="Q26" s="292"/>
      <c r="R26" s="292"/>
      <c r="S26" s="292"/>
      <c r="T26" s="292"/>
      <c r="U26" s="292"/>
      <c r="V26" s="292"/>
      <c r="W26" s="292"/>
      <c r="X26" s="292"/>
      <c r="Y26" s="292"/>
      <c r="Z26" s="292"/>
      <c r="AA26" s="292"/>
    </row>
    <row r="27" spans="2:27" s="291" customFormat="1" ht="16.5" customHeight="1" thickBot="1">
      <c r="B27" s="292"/>
      <c r="C27" s="307"/>
      <c r="D27" s="307"/>
      <c r="E27" s="307"/>
      <c r="F27" s="307"/>
      <c r="G27" s="292"/>
      <c r="H27" s="292"/>
      <c r="I27" s="292"/>
      <c r="J27" s="292"/>
      <c r="K27" s="292"/>
      <c r="L27" s="292"/>
      <c r="M27" s="292"/>
      <c r="N27" s="292"/>
      <c r="O27" s="292"/>
      <c r="P27" s="292"/>
      <c r="Q27" s="292"/>
      <c r="R27" s="292"/>
      <c r="S27" s="292"/>
      <c r="T27" s="292"/>
      <c r="U27" s="292"/>
      <c r="V27" s="292"/>
      <c r="W27" s="292"/>
      <c r="X27" s="292"/>
      <c r="Y27" s="292"/>
      <c r="Z27" s="292"/>
      <c r="AA27" s="292"/>
    </row>
    <row r="28" spans="2:27" s="291" customFormat="1" ht="16.5" customHeight="1" thickBot="1">
      <c r="B28" s="299" t="s">
        <v>1122</v>
      </c>
      <c r="C28" s="311" t="s">
        <v>827</v>
      </c>
      <c r="D28" s="312">
        <f>SUM(D13:D26)</f>
        <v>0.76866642793298323</v>
      </c>
      <c r="E28" s="312">
        <f t="shared" ref="E28:F28" si="0">SUM(E13:E26)</f>
        <v>0.70426642793298322</v>
      </c>
      <c r="F28" s="312">
        <f t="shared" si="0"/>
        <v>0.60289999999999999</v>
      </c>
      <c r="G28" s="292"/>
      <c r="M28" s="292"/>
      <c r="N28" s="292"/>
      <c r="O28" s="292"/>
      <c r="P28" s="292"/>
      <c r="Q28" s="292"/>
      <c r="R28" s="292"/>
      <c r="S28" s="292"/>
      <c r="T28" s="292"/>
      <c r="U28" s="292"/>
      <c r="V28" s="292"/>
      <c r="W28" s="292"/>
      <c r="X28" s="292"/>
      <c r="Y28" s="292"/>
      <c r="Z28" s="292"/>
      <c r="AA28" s="292"/>
    </row>
    <row r="29" spans="2:27" s="291" customFormat="1" ht="16.5" customHeight="1" thickBot="1">
      <c r="B29" s="292"/>
      <c r="C29" s="292"/>
      <c r="D29" s="292"/>
      <c r="E29" s="292"/>
      <c r="F29" s="292"/>
      <c r="G29" s="292"/>
      <c r="M29" s="292"/>
      <c r="N29" s="292"/>
      <c r="O29" s="292"/>
      <c r="P29" s="292"/>
      <c r="Q29" s="292"/>
      <c r="R29" s="292"/>
      <c r="S29" s="292"/>
      <c r="T29" s="292"/>
      <c r="U29" s="292"/>
      <c r="V29" s="292"/>
      <c r="W29" s="292"/>
      <c r="X29" s="292"/>
      <c r="Y29" s="292"/>
      <c r="Z29" s="292"/>
      <c r="AA29" s="292"/>
    </row>
    <row r="30" spans="2:27" s="291" customFormat="1" ht="45.75" thickBot="1">
      <c r="B30" s="299" t="s">
        <v>1123</v>
      </c>
      <c r="C30" s="313" t="s">
        <v>1124</v>
      </c>
      <c r="D30" s="314">
        <f>SUM(D31:D35)</f>
        <v>0</v>
      </c>
      <c r="E30" s="315" t="s">
        <v>1125</v>
      </c>
      <c r="F30" s="315" t="s">
        <v>1126</v>
      </c>
      <c r="G30" s="315" t="s">
        <v>1127</v>
      </c>
      <c r="K30" s="292"/>
      <c r="M30" s="292"/>
      <c r="N30" s="292"/>
      <c r="O30" s="292"/>
      <c r="P30" s="292"/>
      <c r="Q30" s="292"/>
      <c r="R30" s="292"/>
      <c r="S30" s="292"/>
      <c r="T30" s="292"/>
      <c r="U30" s="292"/>
      <c r="V30" s="292"/>
      <c r="W30" s="292"/>
      <c r="X30" s="292"/>
      <c r="Y30" s="292"/>
      <c r="Z30" s="292"/>
      <c r="AA30" s="292"/>
    </row>
    <row r="31" spans="2:27" s="291" customFormat="1" ht="16.5" customHeight="1">
      <c r="B31" s="292"/>
      <c r="C31" s="316" t="s">
        <v>1128</v>
      </c>
      <c r="D31" s="317">
        <f>IFERROR(G31/'[3]FORM-INTER'!$H$20,0)</f>
        <v>0</v>
      </c>
      <c r="E31" s="318"/>
      <c r="F31" s="318"/>
      <c r="G31" s="357">
        <f>IFERROR(F31*E31*$F$8,0)</f>
        <v>0</v>
      </c>
      <c r="M31" s="292"/>
      <c r="N31" s="292"/>
      <c r="O31" s="292"/>
      <c r="P31" s="292"/>
      <c r="Q31" s="292"/>
      <c r="R31" s="292"/>
      <c r="S31" s="292"/>
      <c r="T31" s="292"/>
      <c r="U31" s="292"/>
      <c r="V31" s="292"/>
      <c r="W31" s="292"/>
      <c r="X31" s="292"/>
      <c r="Y31" s="292"/>
      <c r="Z31" s="292"/>
      <c r="AA31" s="292"/>
    </row>
    <row r="32" spans="2:27" s="291" customFormat="1" ht="16.5" customHeight="1">
      <c r="B32" s="292"/>
      <c r="C32" s="316" t="s">
        <v>1129</v>
      </c>
      <c r="D32" s="317">
        <f>IFERROR(G32/'[3]FORM-INTER'!$H$20,0)</f>
        <v>0</v>
      </c>
      <c r="E32" s="318"/>
      <c r="F32" s="318"/>
      <c r="G32" s="357">
        <f>IFERROR(F32*E32*$F$8,0)</f>
        <v>0</v>
      </c>
      <c r="M32" s="292"/>
      <c r="N32" s="292"/>
      <c r="O32" s="292"/>
      <c r="P32" s="292"/>
      <c r="Q32" s="292"/>
      <c r="R32" s="292"/>
      <c r="S32" s="292"/>
      <c r="T32" s="292"/>
      <c r="U32" s="292"/>
      <c r="V32" s="292"/>
      <c r="W32" s="292"/>
      <c r="X32" s="292"/>
      <c r="Y32" s="292"/>
      <c r="Z32" s="292"/>
      <c r="AA32" s="292"/>
    </row>
    <row r="33" spans="2:27" s="291" customFormat="1" ht="16.5" customHeight="1">
      <c r="B33" s="292"/>
      <c r="C33" s="316" t="s">
        <v>1130</v>
      </c>
      <c r="D33" s="317">
        <f>IFERROR(G33/'[3]FORM-INTER'!$H$20,0)</f>
        <v>0</v>
      </c>
      <c r="E33" s="318"/>
      <c r="F33" s="318"/>
      <c r="G33" s="357">
        <f>IFERROR(F33*E33*$F$8,0)</f>
        <v>0</v>
      </c>
      <c r="H33" s="292"/>
      <c r="I33" s="292"/>
      <c r="J33" s="292"/>
      <c r="K33" s="292"/>
      <c r="L33" s="292"/>
      <c r="M33" s="292"/>
      <c r="N33" s="292"/>
      <c r="O33" s="292"/>
      <c r="P33" s="292"/>
      <c r="Q33" s="292"/>
      <c r="R33" s="292"/>
      <c r="S33" s="292"/>
      <c r="T33" s="292"/>
      <c r="U33" s="292"/>
      <c r="V33" s="292"/>
      <c r="W33" s="292"/>
      <c r="X33" s="292"/>
      <c r="Y33" s="292"/>
      <c r="Z33" s="292"/>
      <c r="AA33" s="292"/>
    </row>
    <row r="34" spans="2:27" s="291" customFormat="1" ht="16.5" customHeight="1">
      <c r="B34" s="292"/>
      <c r="C34" s="316" t="s">
        <v>1131</v>
      </c>
      <c r="D34" s="317">
        <f>IFERROR(G34/'[3]FORM-INTER'!$H$20,0)</f>
        <v>0</v>
      </c>
      <c r="E34" s="318"/>
      <c r="F34" s="318"/>
      <c r="G34" s="357">
        <f>IFERROR(F34*E34*$F$8,0)</f>
        <v>0</v>
      </c>
      <c r="H34" s="292"/>
      <c r="I34" s="292"/>
      <c r="J34" s="292"/>
      <c r="K34" s="292"/>
      <c r="L34" s="292"/>
      <c r="M34" s="292"/>
      <c r="N34" s="292"/>
      <c r="O34" s="292"/>
      <c r="P34" s="292"/>
      <c r="Q34" s="292"/>
      <c r="R34" s="292"/>
      <c r="S34" s="292"/>
      <c r="T34" s="292"/>
      <c r="U34" s="292"/>
      <c r="V34" s="292"/>
      <c r="W34" s="292"/>
      <c r="X34" s="292"/>
      <c r="Y34" s="292"/>
      <c r="Z34" s="292"/>
      <c r="AA34" s="292"/>
    </row>
    <row r="35" spans="2:27" s="291" customFormat="1" ht="16.5" customHeight="1">
      <c r="B35" s="292"/>
      <c r="C35" s="316" t="s">
        <v>1132</v>
      </c>
      <c r="D35" s="317">
        <f>IFERROR(G35/'[3]FORM-INTER'!$H$20,0)</f>
        <v>0</v>
      </c>
      <c r="E35" s="318"/>
      <c r="F35" s="318"/>
      <c r="G35" s="357">
        <f>IFERROR(F35*E35*$F$8,0)</f>
        <v>0</v>
      </c>
      <c r="H35" s="292"/>
      <c r="I35" s="292"/>
      <c r="J35" s="292"/>
      <c r="K35" s="292"/>
      <c r="L35" s="292"/>
      <c r="M35" s="292"/>
      <c r="N35" s="292"/>
      <c r="O35" s="292"/>
      <c r="P35" s="292"/>
      <c r="Q35" s="292"/>
      <c r="R35" s="292"/>
      <c r="S35" s="292"/>
      <c r="T35" s="292"/>
      <c r="U35" s="292"/>
      <c r="V35" s="292"/>
      <c r="W35" s="292"/>
      <c r="X35" s="292"/>
      <c r="Y35" s="292"/>
      <c r="Z35" s="292"/>
      <c r="AA35" s="292"/>
    </row>
    <row r="36" spans="2:27" s="291" customFormat="1" ht="16.5" customHeight="1" thickBot="1">
      <c r="B36" s="292"/>
      <c r="C36" s="292"/>
      <c r="D36" s="292"/>
      <c r="E36" s="292"/>
      <c r="F36" s="292"/>
      <c r="G36" s="292"/>
      <c r="H36" s="292"/>
      <c r="I36" s="292"/>
      <c r="J36" s="292"/>
      <c r="K36" s="292"/>
      <c r="L36" s="292"/>
      <c r="M36" s="292"/>
      <c r="N36" s="292"/>
      <c r="O36" s="292"/>
      <c r="P36" s="292"/>
      <c r="Q36" s="292"/>
      <c r="R36" s="292"/>
      <c r="S36" s="292"/>
      <c r="T36" s="292"/>
      <c r="U36" s="292"/>
      <c r="V36" s="292"/>
      <c r="W36" s="292"/>
      <c r="X36" s="292"/>
      <c r="Y36" s="292"/>
      <c r="Z36" s="292"/>
      <c r="AA36" s="292"/>
    </row>
    <row r="37" spans="2:27" s="291" customFormat="1" ht="16.5" customHeight="1" thickBot="1">
      <c r="B37" s="299" t="s">
        <v>1133</v>
      </c>
      <c r="C37" s="319" t="s">
        <v>1134</v>
      </c>
      <c r="D37" s="312">
        <f ca="1">SUM(D44:D51)</f>
        <v>0.13092532804010304</v>
      </c>
      <c r="E37" s="470" t="s">
        <v>1135</v>
      </c>
      <c r="F37" s="471"/>
      <c r="G37" s="472"/>
      <c r="H37" s="292"/>
      <c r="I37" s="292"/>
      <c r="J37" s="292"/>
      <c r="K37" s="292"/>
      <c r="L37" s="292"/>
      <c r="M37" s="292"/>
      <c r="N37" s="292"/>
      <c r="O37" s="292"/>
      <c r="P37" s="292"/>
      <c r="Q37" s="292"/>
      <c r="R37" s="292"/>
      <c r="S37" s="292"/>
      <c r="T37" s="292"/>
      <c r="U37" s="292"/>
      <c r="V37" s="292"/>
      <c r="W37" s="292"/>
      <c r="X37" s="292"/>
      <c r="Y37" s="292"/>
      <c r="Z37" s="292"/>
      <c r="AA37" s="292"/>
    </row>
    <row r="38" spans="2:27" s="291" customFormat="1" ht="25.5">
      <c r="B38" s="320"/>
      <c r="C38" s="321" t="s">
        <v>1136</v>
      </c>
      <c r="D38" s="322">
        <f ca="1">+'FORM-INTER'!H23</f>
        <v>63529010</v>
      </c>
      <c r="E38" s="323" t="s">
        <v>1068</v>
      </c>
      <c r="F38" s="324">
        <f ca="1">+D39*G38</f>
        <v>44391094.620946348</v>
      </c>
      <c r="G38" s="325">
        <f>+CAPITULOS!E47</f>
        <v>0.7</v>
      </c>
      <c r="H38" s="292"/>
      <c r="I38" s="292"/>
      <c r="J38" s="292"/>
      <c r="K38" s="358"/>
      <c r="L38" s="292"/>
      <c r="M38" s="292"/>
      <c r="N38" s="292"/>
      <c r="O38" s="292"/>
      <c r="P38" s="292"/>
      <c r="Q38" s="292"/>
      <c r="R38" s="292"/>
      <c r="S38" s="292"/>
      <c r="T38" s="292"/>
      <c r="U38" s="292"/>
      <c r="V38" s="292"/>
      <c r="W38" s="292"/>
      <c r="X38" s="292"/>
      <c r="Y38" s="292"/>
      <c r="Z38" s="292"/>
      <c r="AA38" s="292"/>
    </row>
    <row r="39" spans="2:27" s="291" customFormat="1" ht="25.5">
      <c r="B39" s="320"/>
      <c r="C39" s="326" t="s">
        <v>1053</v>
      </c>
      <c r="D39" s="327">
        <f ca="1">+D38-G40</f>
        <v>63415849.458494782</v>
      </c>
      <c r="E39" s="323" t="s">
        <v>1071</v>
      </c>
      <c r="F39" s="324">
        <f ca="1">+D39*G39</f>
        <v>19024754.837548435</v>
      </c>
      <c r="G39" s="325">
        <f>+CAPITULOS!E48</f>
        <v>0.3</v>
      </c>
      <c r="H39" s="465"/>
      <c r="I39" s="466"/>
      <c r="J39" s="466"/>
      <c r="P39" s="292"/>
      <c r="Q39" s="292"/>
      <c r="R39" s="292"/>
      <c r="S39" s="292"/>
      <c r="T39" s="292"/>
      <c r="U39" s="292"/>
      <c r="V39" s="292"/>
      <c r="W39" s="292"/>
      <c r="X39" s="292"/>
      <c r="Y39" s="292"/>
      <c r="Z39" s="292"/>
      <c r="AA39" s="292"/>
    </row>
    <row r="40" spans="2:27" s="291" customFormat="1" ht="25.5">
      <c r="B40" s="320"/>
      <c r="C40" s="328" t="s">
        <v>1137</v>
      </c>
      <c r="D40" s="327">
        <f ca="1">IFERROR(ROUND(D38-D41-E51,0),0)</f>
        <v>58309886</v>
      </c>
      <c r="E40" s="473" t="s">
        <v>1138</v>
      </c>
      <c r="F40" s="329">
        <v>0.5</v>
      </c>
      <c r="G40" s="330">
        <f ca="1">+G41+G42</f>
        <v>113160.54150521505</v>
      </c>
      <c r="H40" s="465"/>
      <c r="I40" s="466"/>
      <c r="J40" s="466"/>
      <c r="P40" s="292"/>
      <c r="Q40" s="292"/>
      <c r="R40" s="292"/>
      <c r="S40" s="292"/>
      <c r="T40" s="292"/>
      <c r="U40" s="292"/>
      <c r="V40" s="292"/>
      <c r="W40" s="292"/>
      <c r="X40" s="292"/>
      <c r="Y40" s="292"/>
      <c r="Z40" s="292"/>
      <c r="AA40" s="292"/>
    </row>
    <row r="41" spans="2:27" s="291" customFormat="1" ht="38.25">
      <c r="B41" s="320"/>
      <c r="C41" s="328" t="s">
        <v>1055</v>
      </c>
      <c r="D41" s="327">
        <f ca="1">IFERROR(ROUND(SUM(E44:E51),0),0)</f>
        <v>5130342</v>
      </c>
      <c r="E41" s="474"/>
      <c r="F41" s="331" t="s">
        <v>1139</v>
      </c>
      <c r="G41" s="330">
        <f ca="1">+'FORM-AU'!D82</f>
        <v>79212.379053650526</v>
      </c>
      <c r="H41" s="292"/>
      <c r="I41" s="292"/>
      <c r="J41" s="292"/>
      <c r="K41" s="292"/>
      <c r="L41" s="292"/>
      <c r="M41" s="292"/>
      <c r="N41" s="292"/>
      <c r="O41" s="292"/>
      <c r="P41" s="292"/>
      <c r="Q41" s="292"/>
      <c r="R41" s="292"/>
      <c r="S41" s="292"/>
      <c r="T41" s="292"/>
      <c r="U41" s="292"/>
      <c r="V41" s="292"/>
      <c r="W41" s="292"/>
      <c r="X41" s="292"/>
      <c r="Y41" s="292"/>
      <c r="Z41" s="292"/>
      <c r="AA41" s="292"/>
    </row>
    <row r="42" spans="2:27" s="291" customFormat="1" ht="25.5">
      <c r="B42" s="320"/>
      <c r="C42" s="328" t="s">
        <v>1140</v>
      </c>
      <c r="D42" s="327">
        <f ca="1">+F38</f>
        <v>44391094.620946348</v>
      </c>
      <c r="E42" s="475"/>
      <c r="F42" s="331" t="s">
        <v>1141</v>
      </c>
      <c r="G42" s="330">
        <f ca="1">+'FORM-AU'!D83</f>
        <v>33948.162451564516</v>
      </c>
      <c r="H42" s="292"/>
      <c r="I42" s="292"/>
      <c r="J42" s="292"/>
      <c r="K42" s="292"/>
      <c r="L42" s="292"/>
      <c r="M42" s="292"/>
      <c r="N42" s="292"/>
      <c r="O42" s="292"/>
      <c r="P42" s="292"/>
      <c r="Q42" s="292"/>
      <c r="R42" s="292"/>
      <c r="S42" s="292"/>
      <c r="T42" s="292"/>
      <c r="U42" s="292"/>
      <c r="V42" s="292"/>
      <c r="W42" s="292"/>
      <c r="X42" s="292"/>
      <c r="Y42" s="292"/>
      <c r="Z42" s="292"/>
      <c r="AA42" s="292"/>
    </row>
    <row r="43" spans="2:27" s="291" customFormat="1" ht="45">
      <c r="B43" s="320"/>
      <c r="C43" s="332" t="s">
        <v>1142</v>
      </c>
      <c r="D43" s="315" t="s">
        <v>1143</v>
      </c>
      <c r="E43" s="315" t="s">
        <v>1127</v>
      </c>
      <c r="F43" s="315" t="s">
        <v>1144</v>
      </c>
      <c r="G43" s="333"/>
      <c r="H43" s="292"/>
      <c r="I43" s="292"/>
      <c r="J43" s="292"/>
      <c r="K43" s="292"/>
      <c r="L43" s="292"/>
      <c r="N43" s="292"/>
      <c r="O43" s="292"/>
      <c r="P43" s="292"/>
      <c r="Q43" s="292"/>
      <c r="R43" s="292"/>
      <c r="S43" s="292"/>
      <c r="T43" s="292"/>
      <c r="U43" s="292"/>
      <c r="V43" s="292"/>
      <c r="W43" s="292"/>
      <c r="X43" s="292"/>
      <c r="Y43" s="292"/>
      <c r="Z43" s="292"/>
      <c r="AA43" s="292"/>
    </row>
    <row r="44" spans="2:27" s="291" customFormat="1" ht="16.5" customHeight="1">
      <c r="B44" s="292"/>
      <c r="C44" s="334" t="s">
        <v>1057</v>
      </c>
      <c r="D44" s="335">
        <f ca="1">IFERROR(E44/'[3]FORM-INTER'!$H$20,0)</f>
        <v>4.5314081398305138E-2</v>
      </c>
      <c r="E44" s="336">
        <f ca="1">IF(F44="",0,F44*$D$42)</f>
        <v>1775643.7848378539</v>
      </c>
      <c r="F44" s="337">
        <f>+ESTAMPILLAS!D25</f>
        <v>0.04</v>
      </c>
      <c r="G44" s="338"/>
      <c r="H44" s="463"/>
      <c r="I44" s="464"/>
      <c r="J44" s="464"/>
      <c r="K44" s="359"/>
      <c r="M44" s="292"/>
      <c r="N44" s="292"/>
      <c r="O44" s="292"/>
      <c r="P44" s="292"/>
      <c r="Q44" s="292"/>
      <c r="R44" s="292"/>
      <c r="S44" s="292"/>
      <c r="T44" s="292"/>
      <c r="U44" s="292"/>
      <c r="V44" s="292"/>
      <c r="W44" s="292"/>
      <c r="X44" s="292"/>
      <c r="Y44" s="292"/>
      <c r="Z44" s="292"/>
      <c r="AA44" s="292"/>
    </row>
    <row r="45" spans="2:27" s="291" customFormat="1" ht="16.5" customHeight="1">
      <c r="B45" s="292"/>
      <c r="C45" s="334" t="s">
        <v>1058</v>
      </c>
      <c r="D45" s="335">
        <f ca="1">IFERROR(E45/'[3]FORM-INTER'!$H$20,0)</f>
        <v>0</v>
      </c>
      <c r="E45" s="336">
        <f t="shared" ref="E45:E48" ca="1" si="1">IF(F45="",0,F45*$D$42)</f>
        <v>0</v>
      </c>
      <c r="F45" s="337">
        <f>+ESTAMPILLAS!D26</f>
        <v>0</v>
      </c>
      <c r="G45" s="338"/>
      <c r="H45" s="463"/>
      <c r="I45" s="464"/>
      <c r="J45" s="464"/>
      <c r="K45" s="359"/>
      <c r="L45" s="339" t="s">
        <v>1145</v>
      </c>
      <c r="M45" s="292"/>
      <c r="N45" s="292"/>
      <c r="O45" s="292"/>
      <c r="P45" s="292"/>
      <c r="Q45" s="292"/>
      <c r="R45" s="292"/>
      <c r="S45" s="292"/>
      <c r="T45" s="292"/>
      <c r="U45" s="292"/>
      <c r="V45" s="292"/>
      <c r="W45" s="292"/>
      <c r="X45" s="292"/>
      <c r="Y45" s="292"/>
      <c r="Z45" s="292"/>
      <c r="AA45" s="292"/>
    </row>
    <row r="46" spans="2:27" s="291" customFormat="1" ht="16.5" customHeight="1">
      <c r="B46" s="292"/>
      <c r="C46" s="334" t="s">
        <v>1059</v>
      </c>
      <c r="D46" s="335">
        <f ca="1">IFERROR(E46/'[3]FORM-INTER'!$H$20,0)</f>
        <v>1.1328520349576284E-2</v>
      </c>
      <c r="E46" s="336">
        <f t="shared" ca="1" si="1"/>
        <v>443910.94620946347</v>
      </c>
      <c r="F46" s="337">
        <f>+ESTAMPILLAS!D27</f>
        <v>0.01</v>
      </c>
      <c r="G46" s="338"/>
      <c r="H46" s="463"/>
      <c r="I46" s="464"/>
      <c r="J46" s="464"/>
      <c r="K46" s="359"/>
      <c r="L46" s="339" t="s">
        <v>1146</v>
      </c>
      <c r="M46" s="292"/>
      <c r="N46" s="292"/>
      <c r="O46" s="292"/>
      <c r="P46" s="292"/>
      <c r="Q46" s="292"/>
      <c r="R46" s="292"/>
      <c r="S46" s="292"/>
      <c r="T46" s="292"/>
      <c r="U46" s="292"/>
      <c r="V46" s="292"/>
      <c r="W46" s="292"/>
      <c r="X46" s="292"/>
      <c r="Y46" s="292"/>
      <c r="Z46" s="292"/>
      <c r="AA46" s="292"/>
    </row>
    <row r="47" spans="2:27" s="291" customFormat="1" ht="16.5" customHeight="1">
      <c r="B47" s="292"/>
      <c r="C47" s="334" t="s">
        <v>1060</v>
      </c>
      <c r="D47" s="335">
        <f ca="1">IFERROR(E47/'[3]FORM-INTER'!$H$20,0)</f>
        <v>2.2657040699152569E-2</v>
      </c>
      <c r="E47" s="336">
        <f t="shared" ca="1" si="1"/>
        <v>887821.89241892693</v>
      </c>
      <c r="F47" s="337">
        <f>+ESTAMPILLAS!D28</f>
        <v>0.02</v>
      </c>
      <c r="G47" s="338"/>
      <c r="H47" s="463"/>
      <c r="I47" s="464"/>
      <c r="J47" s="464"/>
      <c r="K47" s="359"/>
      <c r="M47" s="292"/>
      <c r="N47" s="292"/>
      <c r="O47" s="292"/>
      <c r="P47" s="292"/>
      <c r="Q47" s="292"/>
      <c r="R47" s="292"/>
      <c r="S47" s="292"/>
      <c r="T47" s="292"/>
      <c r="U47" s="292"/>
      <c r="V47" s="292"/>
      <c r="W47" s="292"/>
      <c r="X47" s="292"/>
      <c r="Y47" s="292"/>
      <c r="Z47" s="292"/>
      <c r="AA47" s="292"/>
    </row>
    <row r="48" spans="2:27" s="291" customFormat="1" ht="16.5" customHeight="1">
      <c r="B48" s="292"/>
      <c r="C48" s="334" t="s">
        <v>1061</v>
      </c>
      <c r="D48" s="335">
        <f ca="1">IFERROR(E48/'[3]FORM-INTER'!$H$20,0)</f>
        <v>1.1328520349576284E-2</v>
      </c>
      <c r="E48" s="336">
        <f t="shared" ca="1" si="1"/>
        <v>443910.94620946347</v>
      </c>
      <c r="F48" s="337">
        <f>+ESTAMPILLAS!D29</f>
        <v>0.01</v>
      </c>
      <c r="G48" s="338"/>
      <c r="H48" s="463"/>
      <c r="I48" s="464"/>
      <c r="J48" s="464"/>
      <c r="K48" s="359"/>
      <c r="M48" s="292"/>
      <c r="N48" s="292"/>
      <c r="O48" s="292"/>
      <c r="P48" s="292"/>
      <c r="Q48" s="292"/>
      <c r="R48" s="292"/>
      <c r="S48" s="292"/>
      <c r="T48" s="292"/>
      <c r="U48" s="292"/>
      <c r="V48" s="292"/>
      <c r="W48" s="292"/>
      <c r="X48" s="292"/>
      <c r="Y48" s="292"/>
      <c r="Z48" s="292"/>
      <c r="AA48" s="292"/>
    </row>
    <row r="49" spans="2:27" s="291" customFormat="1" ht="16.5" customHeight="1">
      <c r="B49" s="292"/>
      <c r="C49" s="334" t="s">
        <v>1062</v>
      </c>
      <c r="D49" s="335">
        <f ca="1">IFERROR(E49/'[3]FORM-INTER'!$H$20,0)</f>
        <v>9.710160299636816E-3</v>
      </c>
      <c r="E49" s="336">
        <f ca="1">IF(F49="",0,F49*$F$39)</f>
        <v>380495.09675096872</v>
      </c>
      <c r="F49" s="337">
        <f>+ESTAMPILLAS!D30</f>
        <v>0.02</v>
      </c>
      <c r="G49" s="338"/>
      <c r="H49" s="463"/>
      <c r="I49" s="464"/>
      <c r="J49" s="464"/>
      <c r="K49" s="359"/>
      <c r="M49" s="292"/>
      <c r="N49" s="292"/>
      <c r="O49" s="292"/>
      <c r="P49" s="292"/>
      <c r="Q49" s="292"/>
      <c r="R49" s="292"/>
      <c r="S49" s="292"/>
      <c r="T49" s="292"/>
      <c r="U49" s="292"/>
      <c r="V49" s="292"/>
      <c r="W49" s="292"/>
      <c r="X49" s="292"/>
      <c r="Y49" s="292"/>
      <c r="Z49" s="292"/>
      <c r="AA49" s="292"/>
    </row>
    <row r="50" spans="2:27" s="291" customFormat="1" ht="25.5" customHeight="1">
      <c r="B50" s="292"/>
      <c r="C50" s="340" t="s">
        <v>1063</v>
      </c>
      <c r="D50" s="341">
        <f ca="1">IFERROR(E50/'[3]FORM-INTER'!$H$20,0)</f>
        <v>2.8321300873940712E-2</v>
      </c>
      <c r="E50" s="336">
        <f ca="1">IF(F50="",0,F50*$D$42)</f>
        <v>1109777.3655236587</v>
      </c>
      <c r="F50" s="337">
        <f>+ESTAMPILLAS!D31</f>
        <v>2.5000000000000001E-2</v>
      </c>
      <c r="G50" s="338"/>
      <c r="H50" s="463"/>
      <c r="I50" s="464"/>
      <c r="J50" s="464"/>
      <c r="K50" s="359"/>
      <c r="M50" s="292"/>
      <c r="N50" s="292"/>
      <c r="O50" s="292"/>
      <c r="P50" s="292"/>
      <c r="Q50" s="292"/>
      <c r="R50" s="292"/>
      <c r="S50" s="292"/>
      <c r="T50" s="292"/>
      <c r="U50" s="292"/>
      <c r="V50" s="292"/>
      <c r="W50" s="292"/>
      <c r="X50" s="292"/>
      <c r="Y50" s="292"/>
      <c r="Z50" s="292"/>
      <c r="AA50" s="292"/>
    </row>
    <row r="51" spans="2:27" s="291" customFormat="1" ht="25.5" customHeight="1">
      <c r="B51" s="292"/>
      <c r="C51" s="340" t="s">
        <v>1147</v>
      </c>
      <c r="D51" s="342">
        <f ca="1">IFERROR(E51/'[3]FORM-INTER'!$H$20,0)</f>
        <v>2.2657040699152571E-3</v>
      </c>
      <c r="E51" s="343">
        <f t="shared" ref="E51" ca="1" si="2">+F51*$D$42</f>
        <v>88782.189241892702</v>
      </c>
      <c r="F51" s="344">
        <v>2E-3</v>
      </c>
      <c r="G51" s="334"/>
      <c r="H51" s="465"/>
      <c r="I51" s="466"/>
      <c r="J51" s="466"/>
      <c r="M51" s="292"/>
      <c r="N51" s="292"/>
      <c r="O51" s="292"/>
      <c r="P51" s="292"/>
      <c r="Q51" s="292"/>
      <c r="R51" s="292"/>
      <c r="S51" s="292"/>
      <c r="T51" s="292"/>
      <c r="U51" s="292"/>
      <c r="V51" s="292"/>
      <c r="W51" s="292"/>
      <c r="X51" s="292"/>
      <c r="Y51" s="292"/>
      <c r="Z51" s="292"/>
      <c r="AA51" s="292"/>
    </row>
    <row r="52" spans="2:27" s="291" customFormat="1" ht="27" hidden="1">
      <c r="B52" s="292"/>
      <c r="C52" s="345" t="s">
        <v>1148</v>
      </c>
      <c r="D52" s="346"/>
      <c r="H52" s="347"/>
      <c r="I52" s="347"/>
      <c r="J52" s="347"/>
      <c r="M52" s="292"/>
      <c r="N52" s="292"/>
      <c r="O52" s="292"/>
      <c r="P52" s="292"/>
      <c r="Q52" s="292"/>
      <c r="R52" s="292"/>
      <c r="S52" s="292"/>
      <c r="T52" s="292"/>
      <c r="U52" s="292"/>
      <c r="V52" s="292"/>
      <c r="W52" s="292"/>
      <c r="X52" s="292"/>
      <c r="Y52" s="292"/>
      <c r="Z52" s="292"/>
      <c r="AA52" s="292"/>
    </row>
    <row r="53" spans="2:27" s="291" customFormat="1" ht="16.5" hidden="1">
      <c r="B53" s="292"/>
      <c r="C53" s="348" t="s">
        <v>1149</v>
      </c>
      <c r="D53" s="349"/>
      <c r="H53" s="347"/>
      <c r="I53" s="347"/>
      <c r="J53" s="347"/>
      <c r="M53" s="292"/>
      <c r="N53" s="292"/>
      <c r="O53" s="292"/>
      <c r="P53" s="292"/>
      <c r="Q53" s="292"/>
      <c r="R53" s="292"/>
      <c r="S53" s="292"/>
      <c r="T53" s="292"/>
      <c r="U53" s="292"/>
      <c r="V53" s="292"/>
      <c r="W53" s="292"/>
      <c r="X53" s="292"/>
      <c r="Y53" s="292"/>
      <c r="Z53" s="292"/>
      <c r="AA53" s="292"/>
    </row>
    <row r="54" spans="2:27" s="291" customFormat="1" ht="16.5" customHeight="1" thickBot="1">
      <c r="B54" s="292"/>
      <c r="C54" s="292"/>
      <c r="D54" s="292"/>
      <c r="E54" s="292"/>
      <c r="F54" s="292"/>
      <c r="G54" s="292"/>
      <c r="H54" s="292"/>
      <c r="I54" s="292"/>
      <c r="J54" s="292"/>
      <c r="K54" s="292"/>
      <c r="L54" s="292"/>
      <c r="M54" s="292"/>
      <c r="N54" s="292"/>
      <c r="O54" s="292"/>
      <c r="P54" s="292"/>
      <c r="Q54" s="292"/>
      <c r="R54" s="292"/>
      <c r="S54" s="292"/>
      <c r="T54" s="292"/>
      <c r="U54" s="292"/>
      <c r="V54" s="292"/>
      <c r="W54" s="292"/>
      <c r="X54" s="292"/>
      <c r="Y54" s="292"/>
      <c r="Z54" s="292"/>
      <c r="AA54" s="292"/>
    </row>
    <row r="55" spans="2:27" s="291" customFormat="1" ht="16.5" customHeight="1" thickBot="1">
      <c r="B55" s="299" t="s">
        <v>1150</v>
      </c>
      <c r="C55" s="350" t="s">
        <v>1151</v>
      </c>
      <c r="D55" s="351">
        <v>0.1</v>
      </c>
      <c r="E55" s="351">
        <v>0.1</v>
      </c>
      <c r="F55" s="351">
        <v>0.1</v>
      </c>
      <c r="G55" s="292"/>
      <c r="H55" s="292"/>
      <c r="I55" s="292"/>
      <c r="J55" s="292"/>
      <c r="K55" s="292"/>
      <c r="L55" s="292"/>
      <c r="M55" s="292"/>
      <c r="N55" s="292"/>
      <c r="O55" s="292"/>
      <c r="P55" s="292"/>
      <c r="Q55" s="292"/>
      <c r="R55" s="292"/>
      <c r="S55" s="292"/>
      <c r="T55" s="292"/>
      <c r="U55" s="292"/>
      <c r="V55" s="292"/>
      <c r="W55" s="292"/>
      <c r="X55" s="292"/>
      <c r="Y55" s="292"/>
      <c r="Z55" s="292"/>
      <c r="AA55" s="292"/>
    </row>
    <row r="56" spans="2:27" s="291" customFormat="1" ht="16.5" customHeight="1">
      <c r="B56" s="292"/>
      <c r="C56" s="352"/>
      <c r="D56" s="353"/>
      <c r="E56" s="353"/>
      <c r="F56" s="353"/>
      <c r="G56" s="292"/>
      <c r="H56" s="292"/>
      <c r="I56" s="292"/>
      <c r="J56" s="292"/>
      <c r="K56" s="292"/>
      <c r="L56" s="292"/>
      <c r="M56" s="292"/>
      <c r="N56" s="292"/>
      <c r="O56" s="292"/>
      <c r="P56" s="292"/>
      <c r="Q56" s="292"/>
      <c r="R56" s="292"/>
      <c r="S56" s="292"/>
      <c r="T56" s="292"/>
      <c r="U56" s="292"/>
      <c r="V56" s="292"/>
      <c r="W56" s="292"/>
      <c r="X56" s="292"/>
      <c r="Y56" s="292"/>
      <c r="Z56" s="292"/>
      <c r="AA56" s="292"/>
    </row>
    <row r="57" spans="2:27" s="291" customFormat="1" ht="16.5" customHeight="1">
      <c r="B57" s="292"/>
      <c r="C57" s="319" t="s">
        <v>1152</v>
      </c>
      <c r="D57" s="354">
        <f ca="1">+D55+$D$37+$D$30+D28+D7</f>
        <v>1.9995917559730862</v>
      </c>
      <c r="E57" s="354">
        <f ca="1">+E55+$D$37+$D$30+E28+E7</f>
        <v>1.9351917559730862</v>
      </c>
      <c r="F57" s="354">
        <f ca="1">+F55+$D$37+$D$30+F28+F7</f>
        <v>1.8338253280401031</v>
      </c>
      <c r="G57" s="292"/>
      <c r="H57" s="292"/>
      <c r="I57" s="292"/>
      <c r="J57" s="292"/>
      <c r="K57" s="292"/>
      <c r="L57" s="292"/>
      <c r="M57" s="292"/>
      <c r="N57" s="292"/>
      <c r="O57" s="292"/>
      <c r="P57" s="292"/>
      <c r="Q57" s="292"/>
      <c r="R57" s="292"/>
      <c r="S57" s="292"/>
      <c r="T57" s="292"/>
      <c r="U57" s="292"/>
      <c r="V57" s="292"/>
      <c r="W57" s="292"/>
      <c r="X57" s="292"/>
      <c r="Y57" s="292"/>
      <c r="Z57" s="292"/>
      <c r="AA57" s="292"/>
    </row>
    <row r="58" spans="2:27" s="291" customFormat="1" ht="16.5" customHeight="1" thickBot="1">
      <c r="B58" s="292"/>
      <c r="C58" s="292"/>
      <c r="D58" s="292"/>
      <c r="E58" s="292"/>
      <c r="F58" s="292"/>
      <c r="G58" s="292"/>
      <c r="H58" s="292"/>
      <c r="I58" s="292"/>
      <c r="J58" s="292"/>
      <c r="K58" s="292"/>
      <c r="L58" s="292"/>
      <c r="M58" s="292"/>
      <c r="N58" s="292"/>
      <c r="O58" s="292"/>
      <c r="P58" s="292"/>
      <c r="Q58" s="292"/>
      <c r="R58" s="292"/>
      <c r="S58" s="292"/>
      <c r="T58" s="292"/>
      <c r="U58" s="292"/>
      <c r="V58" s="292"/>
      <c r="W58" s="292"/>
      <c r="X58" s="292"/>
      <c r="Y58" s="292"/>
      <c r="Z58" s="292"/>
      <c r="AA58" s="292"/>
    </row>
    <row r="59" spans="2:27" s="291" customFormat="1" ht="16.5" customHeight="1">
      <c r="B59" s="292"/>
      <c r="C59" s="467" t="s">
        <v>1153</v>
      </c>
      <c r="D59" s="334" t="str" cm="1">
        <f t="array" ref="D59:D61">TRANSPOSE(D11:F11)&amp;" "&amp;"-"&amp;" "&amp;TRANSPOSE(D10:F10)</f>
        <v>HASTA DE 2 SMLV - V</v>
      </c>
      <c r="E59" s="355">
        <f ca="1">IFERROR(ROUND(D57,4),"")</f>
        <v>1.9996</v>
      </c>
      <c r="G59" s="292"/>
      <c r="H59" s="292"/>
      <c r="I59" s="292"/>
      <c r="J59" s="292"/>
      <c r="K59" s="292"/>
      <c r="L59" s="292"/>
      <c r="M59" s="292"/>
      <c r="N59" s="292"/>
      <c r="O59" s="292"/>
      <c r="P59" s="292"/>
      <c r="Q59" s="292"/>
      <c r="R59" s="292"/>
      <c r="S59" s="292"/>
      <c r="T59" s="292"/>
      <c r="U59" s="292"/>
      <c r="V59" s="292"/>
      <c r="W59" s="292"/>
      <c r="X59" s="292"/>
      <c r="Y59" s="292"/>
      <c r="Z59" s="292"/>
      <c r="AA59" s="292"/>
    </row>
    <row r="60" spans="2:27" s="291" customFormat="1" ht="16.5" customHeight="1">
      <c r="B60" s="292"/>
      <c r="C60" s="468"/>
      <c r="D60" s="334" t="str">
        <v>HASTA DE 2 SMMLV - I</v>
      </c>
      <c r="E60" s="355">
        <f ca="1">IFERROR(ROUND(E57,4),"")</f>
        <v>1.9352</v>
      </c>
      <c r="F60" s="292"/>
      <c r="G60" s="292"/>
      <c r="H60" s="292"/>
      <c r="I60" s="292"/>
      <c r="J60" s="292"/>
      <c r="K60" s="292"/>
      <c r="L60" s="292"/>
      <c r="M60" s="292"/>
      <c r="N60" s="292"/>
      <c r="O60" s="292"/>
      <c r="P60" s="292"/>
      <c r="Q60" s="292"/>
      <c r="R60" s="292"/>
      <c r="S60" s="292"/>
      <c r="T60" s="292"/>
      <c r="U60" s="292"/>
      <c r="V60" s="292"/>
      <c r="W60" s="292"/>
      <c r="X60" s="292"/>
      <c r="Y60" s="292"/>
      <c r="Z60" s="292"/>
      <c r="AA60" s="292"/>
    </row>
    <row r="61" spans="2:27" s="291" customFormat="1" ht="16.5" customHeight="1" thickBot="1">
      <c r="B61" s="292"/>
      <c r="C61" s="469"/>
      <c r="D61" s="334" t="str">
        <v>MAS DE 2 SMMLV - V</v>
      </c>
      <c r="E61" s="355">
        <f ca="1">IFERROR(ROUND(F57,4),"")</f>
        <v>1.8338000000000001</v>
      </c>
      <c r="F61" s="292"/>
      <c r="G61" s="292"/>
      <c r="H61" s="292"/>
      <c r="I61" s="292"/>
      <c r="J61" s="292"/>
      <c r="K61" s="292"/>
      <c r="L61" s="292"/>
      <c r="M61" s="292"/>
      <c r="N61" s="292"/>
      <c r="O61" s="292"/>
      <c r="P61" s="292"/>
      <c r="Q61" s="292"/>
      <c r="R61" s="292"/>
      <c r="S61" s="292"/>
      <c r="T61" s="292"/>
      <c r="U61" s="292"/>
      <c r="V61" s="292"/>
      <c r="W61" s="292"/>
      <c r="X61" s="292"/>
      <c r="Y61" s="292"/>
      <c r="Z61" s="292"/>
      <c r="AA61" s="292"/>
    </row>
  </sheetData>
  <protectedRanges>
    <protectedRange sqref="C51" name="Tasas_1"/>
  </protectedRanges>
  <mergeCells count="13">
    <mergeCell ref="H50:J50"/>
    <mergeCell ref="H51:J51"/>
    <mergeCell ref="C59:C61"/>
    <mergeCell ref="E37:G37"/>
    <mergeCell ref="H39:J39"/>
    <mergeCell ref="E40:E42"/>
    <mergeCell ref="H40:J40"/>
    <mergeCell ref="H44:J49"/>
    <mergeCell ref="A1:F1"/>
    <mergeCell ref="A2:F2"/>
    <mergeCell ref="A3:F3"/>
    <mergeCell ref="C9:C11"/>
    <mergeCell ref="D9:F9"/>
  </mergeCells>
  <dataValidations disablePrompts="1" count="1">
    <dataValidation type="list" allowBlank="1" showInputMessage="1" showErrorMessage="1" sqref="G44:G50" xr:uid="{C0C4CC12-1E65-4A51-B305-EA40DBFDD85E}">
      <formula1>$L$48:$L$49</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H51"/>
  <sheetViews>
    <sheetView showGridLines="0" workbookViewId="0">
      <selection activeCell="K38" sqref="K38"/>
    </sheetView>
  </sheetViews>
  <sheetFormatPr defaultColWidth="8.75" defaultRowHeight="14.25"/>
  <cols>
    <col min="1" max="1" width="25" customWidth="1"/>
    <col min="2" max="2" width="48" customWidth="1"/>
    <col min="3" max="3" width="14" customWidth="1"/>
    <col min="4" max="4" width="19" customWidth="1"/>
    <col min="5" max="5" width="20" customWidth="1"/>
    <col min="6" max="6" width="16" customWidth="1"/>
    <col min="7" max="7" width="14" customWidth="1"/>
    <col min="8" max="8" width="20" customWidth="1"/>
  </cols>
  <sheetData>
    <row r="1" spans="1:8" ht="22.15" customHeight="1">
      <c r="A1" s="420" t="s">
        <v>0</v>
      </c>
      <c r="B1" s="420"/>
      <c r="C1" s="420"/>
      <c r="D1" s="420"/>
      <c r="E1" s="420"/>
      <c r="F1" s="420"/>
      <c r="G1" s="420"/>
      <c r="H1" s="420"/>
    </row>
    <row r="2" spans="1:8" ht="37.9" customHeight="1">
      <c r="A2" s="420" t="s">
        <v>1</v>
      </c>
      <c r="B2" s="420"/>
      <c r="C2" s="420"/>
      <c r="D2" s="420"/>
      <c r="E2" s="420"/>
      <c r="F2" s="420"/>
      <c r="G2" s="420"/>
      <c r="H2" s="420"/>
    </row>
    <row r="3" spans="1:8" ht="24" customHeight="1">
      <c r="A3" s="420" t="s">
        <v>1154</v>
      </c>
      <c r="B3" s="420"/>
      <c r="C3" s="420"/>
      <c r="D3" s="420"/>
      <c r="E3" s="420"/>
      <c r="F3" s="420"/>
      <c r="G3" s="420"/>
      <c r="H3" s="420"/>
    </row>
    <row r="4" spans="1:8" hidden="1">
      <c r="A4" s="476" t="s">
        <v>1155</v>
      </c>
      <c r="B4" s="476"/>
      <c r="C4" s="476"/>
      <c r="D4" s="476"/>
      <c r="E4" s="476"/>
      <c r="F4" s="476"/>
      <c r="G4" s="476"/>
      <c r="H4" s="476"/>
    </row>
    <row r="5" spans="1:8" hidden="1">
      <c r="A5" s="268" t="s">
        <v>1002</v>
      </c>
      <c r="B5" s="268" t="s">
        <v>5</v>
      </c>
      <c r="C5" s="268"/>
      <c r="D5" s="268"/>
      <c r="E5" s="268"/>
      <c r="F5" s="268"/>
      <c r="G5" s="268"/>
      <c r="H5" s="268"/>
    </row>
    <row r="6" spans="1:8" ht="25.15" hidden="1" customHeight="1">
      <c r="A6" s="23" t="s">
        <v>1156</v>
      </c>
      <c r="B6" s="16"/>
    </row>
    <row r="7" spans="1:8" ht="25.15" hidden="1" customHeight="1">
      <c r="A7" s="23" t="s">
        <v>1157</v>
      </c>
      <c r="B7" s="25"/>
    </row>
    <row r="8" spans="1:8" ht="25.15" hidden="1" customHeight="1">
      <c r="A8" s="23" t="s">
        <v>1019</v>
      </c>
      <c r="B8" s="16"/>
    </row>
    <row r="9" spans="1:8" ht="25.15" hidden="1" customHeight="1">
      <c r="A9" s="23" t="s">
        <v>1003</v>
      </c>
      <c r="B9" s="19"/>
    </row>
    <row r="10" spans="1:8" ht="25.15" hidden="1" customHeight="1">
      <c r="A10" s="23" t="s">
        <v>1004</v>
      </c>
      <c r="B10" s="26"/>
    </row>
    <row r="11" spans="1:8" ht="25.15" hidden="1" customHeight="1">
      <c r="A11" s="23" t="s">
        <v>1158</v>
      </c>
      <c r="B11" s="30"/>
    </row>
    <row r="12" spans="1:8" hidden="1">
      <c r="A12" s="268" t="s">
        <v>57</v>
      </c>
      <c r="B12" s="268" t="s">
        <v>1022</v>
      </c>
      <c r="C12" s="268" t="s">
        <v>1159</v>
      </c>
      <c r="D12" s="268" t="s">
        <v>1007</v>
      </c>
      <c r="E12" s="268" t="s">
        <v>1023</v>
      </c>
      <c r="F12" s="268" t="s">
        <v>1160</v>
      </c>
      <c r="G12" s="268" t="s">
        <v>1009</v>
      </c>
      <c r="H12" s="268" t="s">
        <v>836</v>
      </c>
    </row>
    <row r="13" spans="1:8" hidden="1">
      <c r="A13" s="13">
        <v>1</v>
      </c>
      <c r="B13" s="13" t="s">
        <v>1011</v>
      </c>
      <c r="C13" s="19">
        <v>0.2</v>
      </c>
      <c r="D13" s="16">
        <f>ROUND($B$6,0)</f>
        <v>0</v>
      </c>
      <c r="E13" s="16">
        <f>ROUND(C13*D13,0)</f>
        <v>0</v>
      </c>
      <c r="F13" s="13">
        <f>$B$7*30+180</f>
        <v>180</v>
      </c>
      <c r="G13" s="31">
        <v>2E-3</v>
      </c>
      <c r="H13" s="16">
        <f>ROUND(E13*G13*F13/360,0)</f>
        <v>0</v>
      </c>
    </row>
    <row r="14" spans="1:8" hidden="1">
      <c r="A14" s="13">
        <v>2</v>
      </c>
      <c r="B14" s="13" t="s">
        <v>1161</v>
      </c>
      <c r="C14" s="19">
        <v>0.2</v>
      </c>
      <c r="D14" s="16">
        <f>ROUND($B$6,0)</f>
        <v>0</v>
      </c>
      <c r="E14" s="16">
        <f>ROUND(C14*D14,0)</f>
        <v>0</v>
      </c>
      <c r="F14" s="13">
        <f>$B$7*30+1080</f>
        <v>1080</v>
      </c>
      <c r="G14" s="31">
        <v>1.5E-3</v>
      </c>
      <c r="H14" s="16">
        <f>ROUND(E14*G14*F14/360,0)</f>
        <v>0</v>
      </c>
    </row>
    <row r="15" spans="1:8" hidden="1">
      <c r="A15" s="13">
        <v>3</v>
      </c>
      <c r="B15" s="13" t="s">
        <v>1162</v>
      </c>
      <c r="C15" s="19">
        <v>0.2</v>
      </c>
      <c r="D15" s="16">
        <f>ROUND($B$6,0)</f>
        <v>0</v>
      </c>
      <c r="E15" s="16">
        <f>ROUND(C15*D15,0)</f>
        <v>0</v>
      </c>
      <c r="F15" s="13">
        <f>1800</f>
        <v>1800</v>
      </c>
      <c r="G15" s="31">
        <v>2.2000000000000001E-3</v>
      </c>
      <c r="H15" s="16">
        <f>ROUND(E15*G15*F15/360,0)</f>
        <v>0</v>
      </c>
    </row>
    <row r="16" spans="1:8" hidden="1">
      <c r="A16" s="13">
        <v>4</v>
      </c>
      <c r="B16" s="13" t="s">
        <v>1163</v>
      </c>
      <c r="C16" s="13">
        <v>0</v>
      </c>
      <c r="D16" s="16">
        <f>ROUND($B$6,0)</f>
        <v>0</v>
      </c>
      <c r="E16" s="16">
        <f>0</f>
        <v>0</v>
      </c>
      <c r="F16" s="13">
        <f>$B$7</f>
        <v>0</v>
      </c>
      <c r="G16" s="31">
        <v>2E-3</v>
      </c>
      <c r="H16" s="16">
        <f>0</f>
        <v>0</v>
      </c>
    </row>
    <row r="17" spans="1:8" hidden="1">
      <c r="A17" s="16" t="s">
        <v>1164</v>
      </c>
      <c r="B17" s="16">
        <v>0</v>
      </c>
      <c r="C17" s="13"/>
      <c r="D17" s="13"/>
      <c r="E17" s="13"/>
      <c r="F17" s="13"/>
      <c r="G17" s="13"/>
      <c r="H17" s="16"/>
    </row>
    <row r="18" spans="1:8" ht="15" hidden="1">
      <c r="A18" s="269"/>
      <c r="B18" s="269" t="s">
        <v>1016</v>
      </c>
      <c r="C18" s="269"/>
      <c r="D18" s="269"/>
      <c r="E18" s="269"/>
      <c r="F18" s="269"/>
      <c r="G18" s="269"/>
      <c r="H18" s="271">
        <f>ROUND(SUM(H13:H16),0)</f>
        <v>0</v>
      </c>
    </row>
    <row r="19" spans="1:8" ht="15" hidden="1">
      <c r="A19" s="269"/>
      <c r="B19" s="269" t="s">
        <v>1004</v>
      </c>
      <c r="C19" s="269"/>
      <c r="D19" s="269"/>
      <c r="E19" s="269"/>
      <c r="F19" s="269"/>
      <c r="G19" s="269"/>
      <c r="H19" s="271">
        <f>ROUND(H18*$B$10,0)</f>
        <v>0</v>
      </c>
    </row>
    <row r="20" spans="1:8" ht="15" hidden="1">
      <c r="A20" s="269"/>
      <c r="B20" s="269" t="s">
        <v>1003</v>
      </c>
      <c r="C20" s="269"/>
      <c r="D20" s="269"/>
      <c r="E20" s="269"/>
      <c r="F20" s="269"/>
      <c r="G20" s="269"/>
      <c r="H20" s="271">
        <f>ROUND((H18+H19)*$B$9,0)</f>
        <v>0</v>
      </c>
    </row>
    <row r="21" spans="1:8" ht="15" hidden="1">
      <c r="A21" s="282"/>
      <c r="B21" s="282" t="s">
        <v>1165</v>
      </c>
      <c r="C21" s="282"/>
      <c r="D21" s="282"/>
      <c r="E21" s="282"/>
      <c r="F21" s="282"/>
      <c r="G21" s="282"/>
      <c r="H21" s="284">
        <f>ROUND(SUM(H18:H20),0)</f>
        <v>0</v>
      </c>
    </row>
    <row r="22" spans="1:8" ht="28.5" hidden="1">
      <c r="A22" s="67" t="s">
        <v>1166</v>
      </c>
      <c r="B22" s="18">
        <f ca="1">'FACTOR XDOR'!$D$39/100</f>
        <v>634158.49458494782</v>
      </c>
      <c r="C22" s="13"/>
      <c r="D22" s="13"/>
      <c r="E22" s="13"/>
      <c r="F22" s="13"/>
      <c r="G22" s="13"/>
      <c r="H22" s="16"/>
    </row>
    <row r="23" spans="1:8" hidden="1">
      <c r="A23" s="268" t="s">
        <v>57</v>
      </c>
      <c r="B23" s="268" t="s">
        <v>1167</v>
      </c>
      <c r="C23" s="268" t="s">
        <v>1168</v>
      </c>
      <c r="D23" s="268" t="s">
        <v>1041</v>
      </c>
      <c r="E23" s="268"/>
      <c r="F23" s="268"/>
      <c r="G23" s="268"/>
      <c r="H23" s="290" t="s">
        <v>1169</v>
      </c>
    </row>
    <row r="24" spans="1:8" ht="24.6" hidden="1" customHeight="1">
      <c r="A24" s="13">
        <v>1</v>
      </c>
      <c r="B24" s="23" t="s">
        <v>1170</v>
      </c>
      <c r="C24" s="16">
        <f>ROUND(SUMPRODUCT('FORM-INTER'!$A$9:$A$14,'FORM-INTER'!$C$9:$C$14,'FORM-INTER'!$D$9:$D$14,'FORM-INTER'!$E$9:$E$14),0)</f>
        <v>31262412</v>
      </c>
      <c r="D24" s="19">
        <f>SUM(ESTAMPILLAS!$D$6:$D$9)</f>
        <v>0.08</v>
      </c>
      <c r="E24" s="13"/>
      <c r="F24" s="13"/>
      <c r="G24" s="13"/>
      <c r="H24" s="16">
        <f>0</f>
        <v>0</v>
      </c>
    </row>
    <row r="25" spans="1:8" ht="28.5" hidden="1">
      <c r="A25" s="13">
        <v>2</v>
      </c>
      <c r="B25" s="23" t="s">
        <v>1171</v>
      </c>
      <c r="C25" s="16">
        <f>ROUND(SUMPRODUCT('FORM-INTER'!$A$9:$A$14,'FORM-INTER'!$C$9:$C$14,'FORM-INTER'!$D$9:$D$14,'FORM-INTER'!$E$9:$E$14),0)</f>
        <v>31262412</v>
      </c>
      <c r="D25" s="19">
        <f>ESTAMPILLAS!$D$10*CAPITULOS!$E$48</f>
        <v>6.0000000000000001E-3</v>
      </c>
      <c r="E25" s="13"/>
      <c r="F25" s="13"/>
      <c r="G25" s="13"/>
      <c r="H25" s="16">
        <f>0</f>
        <v>0</v>
      </c>
    </row>
    <row r="26" spans="1:8" ht="28.5" hidden="1">
      <c r="A26" s="13">
        <v>3</v>
      </c>
      <c r="B26" s="23" t="s">
        <v>1172</v>
      </c>
      <c r="C26" s="16">
        <f>ROUND(SUMPRODUCT('FORM-INTER'!$A$9:$A$14,'FORM-INTER'!$C$9:$C$14,'FORM-INTER'!$D$9:$D$14,'FORM-INTER'!$E$9:$E$14),0)</f>
        <v>31262412</v>
      </c>
      <c r="D26" s="19">
        <f>ESTAMPILLAS!$D$14*CAPITULOS!$E$47</f>
        <v>0</v>
      </c>
      <c r="E26" s="13"/>
      <c r="F26" s="13"/>
      <c r="G26" s="13"/>
      <c r="H26" s="16">
        <f>0</f>
        <v>0</v>
      </c>
    </row>
    <row r="27" spans="1:8" hidden="1">
      <c r="A27" s="13">
        <v>4</v>
      </c>
      <c r="B27" s="13" t="s">
        <v>1173</v>
      </c>
      <c r="C27" s="16">
        <f>ROUND(SUMPRODUCT('FORM-INTER'!$A$9:$A$14,'FORM-INTER'!$C$9:$C$14,'FORM-INTER'!$D$9:$D$14,'FORM-INTER'!$E$9:$E$14),0)</f>
        <v>31262412</v>
      </c>
      <c r="D27" s="19">
        <v>0</v>
      </c>
      <c r="E27" s="13"/>
      <c r="F27" s="13"/>
      <c r="G27" s="13"/>
      <c r="H27" s="16">
        <f>0</f>
        <v>0</v>
      </c>
    </row>
    <row r="28" spans="1:8" hidden="1">
      <c r="A28" s="13"/>
      <c r="B28" s="13"/>
      <c r="C28" s="13"/>
      <c r="D28" s="18"/>
      <c r="E28" s="13"/>
      <c r="F28" s="13"/>
      <c r="G28" s="13"/>
      <c r="H28" s="16"/>
    </row>
    <row r="29" spans="1:8" ht="15" hidden="1">
      <c r="A29" s="269"/>
      <c r="B29" s="269" t="s">
        <v>1174</v>
      </c>
      <c r="C29" s="269"/>
      <c r="D29" s="274">
        <f>SUM(D24:D27)</f>
        <v>8.6000000000000007E-2</v>
      </c>
      <c r="E29" s="269"/>
      <c r="F29" s="269"/>
      <c r="G29" s="269"/>
      <c r="H29" s="271">
        <f>ROUND(SUM(H24:H27),0)</f>
        <v>0</v>
      </c>
    </row>
    <row r="30" spans="1:8" hidden="1">
      <c r="A30" s="13"/>
      <c r="B30" s="13"/>
      <c r="C30" s="13"/>
      <c r="D30" s="13"/>
      <c r="E30" s="13"/>
      <c r="F30" s="13"/>
      <c r="G30" s="13"/>
      <c r="H30" s="16"/>
    </row>
    <row r="31" spans="1:8" ht="15" hidden="1">
      <c r="A31" s="282"/>
      <c r="B31" s="282" t="s">
        <v>1175</v>
      </c>
      <c r="C31" s="282"/>
      <c r="D31" s="282"/>
      <c r="E31" s="282"/>
      <c r="F31" s="282"/>
      <c r="G31" s="282"/>
      <c r="H31" s="284">
        <f>ROUND(H21,0)</f>
        <v>0</v>
      </c>
    </row>
    <row r="33" spans="2:8" ht="15">
      <c r="B33" s="477" t="s">
        <v>1176</v>
      </c>
      <c r="C33" s="520"/>
      <c r="D33" s="520"/>
      <c r="E33" s="520"/>
      <c r="F33" s="520"/>
      <c r="G33" s="216"/>
      <c r="H33" s="217"/>
    </row>
    <row r="34" spans="2:8" ht="15">
      <c r="B34" s="218"/>
      <c r="C34" s="218"/>
      <c r="D34" s="218"/>
      <c r="E34" s="218"/>
      <c r="F34" s="219"/>
      <c r="G34" s="219"/>
      <c r="H34" s="220"/>
    </row>
    <row r="35" spans="2:8" ht="15">
      <c r="B35" s="221" t="s">
        <v>1177</v>
      </c>
      <c r="C35" s="222">
        <f ca="1">+'FORM-INTER'!H23</f>
        <v>63529010</v>
      </c>
      <c r="D35" s="480">
        <f ca="1">+IFERROR(C35/C47,"")</f>
        <v>36.283527661409387</v>
      </c>
      <c r="E35" s="521"/>
      <c r="F35" s="219"/>
      <c r="G35" s="219"/>
      <c r="H35" s="220"/>
    </row>
    <row r="36" spans="2:8" ht="15">
      <c r="B36" s="221" t="s">
        <v>1020</v>
      </c>
      <c r="C36" s="223">
        <f>+POLIZAS!B26</f>
        <v>5</v>
      </c>
      <c r="D36" s="481">
        <f>+IFERROR(C36*30,"")</f>
        <v>150</v>
      </c>
      <c r="E36" s="521"/>
      <c r="F36" s="219"/>
      <c r="G36" s="219"/>
      <c r="H36" s="220"/>
    </row>
    <row r="37" spans="2:8" ht="15">
      <c r="B37" s="221" t="s">
        <v>1021</v>
      </c>
      <c r="C37" s="224"/>
      <c r="D37" s="482">
        <f ca="1">IFERROR(C37*C35,"")</f>
        <v>0</v>
      </c>
      <c r="E37" s="521"/>
      <c r="F37" s="219"/>
      <c r="G37" s="219"/>
      <c r="H37" s="220"/>
    </row>
    <row r="38" spans="2:8" ht="15">
      <c r="B38" s="225"/>
      <c r="C38" s="226"/>
      <c r="D38" s="226"/>
      <c r="E38" s="218"/>
      <c r="F38" s="219"/>
      <c r="G38" s="219"/>
      <c r="H38" s="220"/>
    </row>
    <row r="39" spans="2:8" ht="15">
      <c r="B39" s="439" t="s">
        <v>1022</v>
      </c>
      <c r="C39" s="440" t="s">
        <v>1023</v>
      </c>
      <c r="D39" s="520"/>
      <c r="E39" s="521"/>
      <c r="F39" s="439" t="s">
        <v>1024</v>
      </c>
      <c r="G39" s="439" t="s">
        <v>1025</v>
      </c>
      <c r="H39" s="441" t="s">
        <v>836</v>
      </c>
    </row>
    <row r="40" spans="2:8" ht="15">
      <c r="B40" s="522"/>
      <c r="C40" s="149" t="s">
        <v>481</v>
      </c>
      <c r="D40" s="149" t="s">
        <v>1007</v>
      </c>
      <c r="E40" s="149" t="s">
        <v>5</v>
      </c>
      <c r="F40" s="522"/>
      <c r="G40" s="522"/>
      <c r="H40" s="522"/>
    </row>
    <row r="41" spans="2:8" ht="15">
      <c r="B41" s="221" t="s">
        <v>1027</v>
      </c>
      <c r="C41" s="227">
        <v>0.2</v>
      </c>
      <c r="D41" s="228">
        <f ca="1">+$C$35</f>
        <v>63529010</v>
      </c>
      <c r="E41" s="228">
        <f ca="1">+IFERROR(C41*D41,"")</f>
        <v>12705802</v>
      </c>
      <c r="F41" s="142">
        <f>+IFERROR($D$36+180,"")</f>
        <v>330</v>
      </c>
      <c r="G41" s="229">
        <v>2E-3</v>
      </c>
      <c r="H41" s="230">
        <f ca="1">+IFERROR(G41*E41*F41/360,"")</f>
        <v>23293.970333333331</v>
      </c>
    </row>
    <row r="42" spans="2:8" ht="15">
      <c r="B42" s="153" t="s">
        <v>1028</v>
      </c>
      <c r="C42" s="227"/>
      <c r="D42" s="228"/>
      <c r="E42" s="228">
        <f>+IFERROR(C42*D42,"")</f>
        <v>0</v>
      </c>
      <c r="F42" s="142">
        <f>+IFERROR($D$36+180,"")</f>
        <v>330</v>
      </c>
      <c r="G42" s="229">
        <v>3.0000000000000001E-3</v>
      </c>
      <c r="H42" s="230">
        <f>+IFERROR(G42*E42*F42/360,"")</f>
        <v>0</v>
      </c>
    </row>
    <row r="43" spans="2:8" ht="15">
      <c r="B43" s="221" t="s">
        <v>1029</v>
      </c>
      <c r="C43" s="227">
        <v>0.2</v>
      </c>
      <c r="D43" s="228">
        <f ca="1">+D41</f>
        <v>63529010</v>
      </c>
      <c r="E43" s="228">
        <f ca="1">+IFERROR(C43*D43,"")</f>
        <v>12705802</v>
      </c>
      <c r="F43" s="142">
        <f>+IFERROR($D$36+1080,"")</f>
        <v>1230</v>
      </c>
      <c r="G43" s="229">
        <v>2.5000000000000001E-3</v>
      </c>
      <c r="H43" s="230">
        <f ca="1">+IFERROR(G43*E43*F43/360,"")</f>
        <v>108528.72541666667</v>
      </c>
    </row>
    <row r="44" spans="2:8" ht="15">
      <c r="B44" s="221" t="s">
        <v>1031</v>
      </c>
      <c r="C44" s="227">
        <v>0.2</v>
      </c>
      <c r="D44" s="228">
        <f ca="1">+D41</f>
        <v>63529010</v>
      </c>
      <c r="E44" s="228">
        <f ca="1">+IFERROR(C44*D44,"")</f>
        <v>12705802</v>
      </c>
      <c r="F44" s="142">
        <f>+IF($C$36=0,"",1800)</f>
        <v>1800</v>
      </c>
      <c r="G44" s="229">
        <v>3.0000000000000001E-3</v>
      </c>
      <c r="H44" s="230">
        <f ca="1">+IFERROR(G44*E44*F44/360,"")</f>
        <v>190587.03000000003</v>
      </c>
    </row>
    <row r="45" spans="2:8" ht="15">
      <c r="B45" s="231"/>
      <c r="C45" s="227"/>
      <c r="D45" s="232"/>
      <c r="E45" s="232"/>
      <c r="F45" s="233"/>
      <c r="G45" s="234" t="str">
        <f>IF(B45="","",0.3%)</f>
        <v/>
      </c>
      <c r="H45" s="230" t="str">
        <f>+IFERROR(G45*E45*F45/360,"")</f>
        <v/>
      </c>
    </row>
    <row r="46" spans="2:8" ht="15">
      <c r="B46" s="235" t="s">
        <v>1178</v>
      </c>
      <c r="C46" s="236" t="s">
        <v>1019</v>
      </c>
      <c r="D46" s="478" t="s">
        <v>1033</v>
      </c>
      <c r="E46" s="521"/>
      <c r="F46" s="237" t="s">
        <v>1034</v>
      </c>
      <c r="G46" s="238" t="s">
        <v>1009</v>
      </c>
      <c r="H46" s="239" t="s">
        <v>836</v>
      </c>
    </row>
    <row r="47" spans="2:8" ht="15">
      <c r="B47" s="166">
        <f ca="1">IF(C35=0,"",IF(D35&lt;=1500,200,IF(D35&lt;=2500,300,IF(D35&lt;=5000,400,IF(D35&lt;=10000,500,"5%")))))</f>
        <v>200</v>
      </c>
      <c r="C47" s="167">
        <f>+'MANO DE OBRA'!M3</f>
        <v>1750905</v>
      </c>
      <c r="D47" s="168">
        <f ca="1">+IFERROR(IF(D35&gt;10000,C35+5%,B47*C47),"")</f>
        <v>350181000</v>
      </c>
      <c r="E47" s="169"/>
      <c r="F47" s="141">
        <f>IF($C$36="","",$C$36)</f>
        <v>5</v>
      </c>
      <c r="G47" s="240">
        <v>3.0000000000000001E-3</v>
      </c>
      <c r="H47" s="241">
        <f ca="1">+IFERROR(G47*F47*D47/12,"")</f>
        <v>437726.25</v>
      </c>
    </row>
    <row r="48" spans="2:8" ht="15">
      <c r="B48" s="479" t="s">
        <v>1035</v>
      </c>
      <c r="C48" s="520"/>
      <c r="D48" s="520"/>
      <c r="E48" s="520"/>
      <c r="F48" s="520"/>
      <c r="G48" s="521"/>
      <c r="H48" s="241">
        <f ca="1">IFERROR(ROUND(IF(SUM(H41:H44,H47)=0,"",SUM(H41:H44,H47)),0),"")</f>
        <v>760136</v>
      </c>
    </row>
    <row r="49" spans="2:8" ht="15">
      <c r="B49" s="479" t="s">
        <v>1036</v>
      </c>
      <c r="C49" s="520"/>
      <c r="D49" s="520"/>
      <c r="E49" s="520"/>
      <c r="F49" s="520"/>
      <c r="G49" s="521"/>
      <c r="H49" s="241">
        <f ca="1">IF(H48="","",H48*1%)</f>
        <v>7601.3600000000006</v>
      </c>
    </row>
    <row r="50" spans="2:8" ht="15">
      <c r="B50" s="479" t="s">
        <v>1179</v>
      </c>
      <c r="C50" s="520"/>
      <c r="D50" s="520"/>
      <c r="E50" s="520"/>
      <c r="F50" s="520"/>
      <c r="G50" s="521"/>
      <c r="H50" s="241">
        <f ca="1">IFERROR((H48+H49)*0.19,"")</f>
        <v>145870.09839999999</v>
      </c>
    </row>
    <row r="51" spans="2:8" ht="15">
      <c r="B51" s="479" t="s">
        <v>1180</v>
      </c>
      <c r="C51" s="520"/>
      <c r="D51" s="520"/>
      <c r="E51" s="520"/>
      <c r="F51" s="520"/>
      <c r="G51" s="521"/>
      <c r="H51" s="241">
        <f ca="1">ROUND(IF(H48="",0,SUM(H48:H50)),0)</f>
        <v>913607</v>
      </c>
    </row>
  </sheetData>
  <mergeCells count="18">
    <mergeCell ref="B49:G49"/>
    <mergeCell ref="B50:G50"/>
    <mergeCell ref="B51:G51"/>
    <mergeCell ref="F39:F40"/>
    <mergeCell ref="G39:G40"/>
    <mergeCell ref="H39:H40"/>
    <mergeCell ref="D46:E46"/>
    <mergeCell ref="B48:G48"/>
    <mergeCell ref="D35:E35"/>
    <mergeCell ref="D36:E36"/>
    <mergeCell ref="D37:E37"/>
    <mergeCell ref="B39:B40"/>
    <mergeCell ref="C39:E39"/>
    <mergeCell ref="A1:H1"/>
    <mergeCell ref="A2:H2"/>
    <mergeCell ref="A3:H3"/>
    <mergeCell ref="A4:H4"/>
    <mergeCell ref="B33:F3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8E890-F598-4008-A641-31D4FF7E659A}">
  <sheetPr>
    <pageSetUpPr fitToPage="1"/>
  </sheetPr>
  <dimension ref="A1:BM70"/>
  <sheetViews>
    <sheetView showGridLines="0" showRuler="0" topLeftCell="A3" zoomScale="70" zoomScaleNormal="70" zoomScalePageLayoutView="70" workbookViewId="0">
      <pane xSplit="8" topLeftCell="I1" activePane="topRight" state="frozen"/>
      <selection pane="topRight" activeCell="E36" sqref="E36"/>
    </sheetView>
  </sheetViews>
  <sheetFormatPr defaultColWidth="8.25" defaultRowHeight="30" customHeight="1"/>
  <cols>
    <col min="1" max="1" width="2.375" style="95" customWidth="1"/>
    <col min="2" max="2" width="49.375" style="98" customWidth="1"/>
    <col min="3" max="3" width="11.375" style="98" customWidth="1"/>
    <col min="4" max="4" width="13.5" style="98" customWidth="1"/>
    <col min="5" max="5" width="11.125" style="122" customWidth="1"/>
    <col min="6" max="6" width="13.25" style="98" customWidth="1"/>
    <col min="7" max="7" width="0.875" style="98" customWidth="1"/>
    <col min="8" max="8" width="10.375" style="98" customWidth="1"/>
    <col min="9" max="11" width="3" style="98" customWidth="1"/>
    <col min="12" max="12" width="4.5" style="98" customWidth="1"/>
    <col min="13" max="18" width="3" style="98" customWidth="1"/>
    <col min="19" max="19" width="4.125" style="98" customWidth="1"/>
    <col min="20" max="27" width="3" style="98" customWidth="1"/>
    <col min="28" max="28" width="3.75" style="98" customWidth="1"/>
    <col min="29" max="34" width="3" style="98" customWidth="1"/>
    <col min="35" max="35" width="3.875" style="98" customWidth="1"/>
    <col min="36" max="39" width="3" style="98" customWidth="1"/>
    <col min="40" max="40" width="4.125" style="98" customWidth="1"/>
    <col min="41" max="48" width="3" style="98" customWidth="1"/>
    <col min="49" max="49" width="3.625" style="98" customWidth="1"/>
    <col min="50" max="56" width="3" style="98" customWidth="1"/>
    <col min="57" max="57" width="4.25" style="98" customWidth="1"/>
    <col min="58" max="63" width="3" style="98" customWidth="1"/>
    <col min="64" max="64" width="4.625" style="98" customWidth="1"/>
    <col min="65" max="16384" width="8.25" style="98"/>
  </cols>
  <sheetData>
    <row r="1" spans="1:64" ht="30" customHeight="1">
      <c r="A1" s="94" t="s">
        <v>1181</v>
      </c>
      <c r="B1" s="491" t="s">
        <v>1182</v>
      </c>
      <c r="C1" s="491"/>
      <c r="D1" s="491"/>
      <c r="E1" s="491"/>
      <c r="F1" s="491"/>
      <c r="G1" s="491"/>
      <c r="H1" s="491"/>
      <c r="I1" s="97"/>
      <c r="J1" s="492" t="s">
        <v>1183</v>
      </c>
      <c r="K1" s="493"/>
      <c r="L1" s="493"/>
      <c r="M1" s="493"/>
      <c r="N1" s="493"/>
      <c r="O1" s="493"/>
      <c r="P1" s="493"/>
      <c r="Q1" s="493"/>
      <c r="R1" s="493"/>
      <c r="S1" s="493"/>
      <c r="T1" s="493"/>
      <c r="U1" s="493"/>
      <c r="V1" s="493"/>
      <c r="W1" s="493"/>
      <c r="X1" s="493"/>
      <c r="Y1" s="493"/>
      <c r="Z1" s="493"/>
      <c r="AA1" s="493"/>
      <c r="AB1" s="493"/>
      <c r="AC1" s="493"/>
      <c r="AD1" s="493"/>
      <c r="AE1" s="493"/>
      <c r="AF1" s="493"/>
      <c r="AG1" s="493"/>
      <c r="AH1" s="493"/>
      <c r="AI1" s="493"/>
      <c r="AJ1" s="493"/>
      <c r="AK1" s="493"/>
      <c r="AL1" s="493"/>
      <c r="AM1" s="493"/>
      <c r="AN1" s="493"/>
      <c r="AO1" s="493"/>
      <c r="AP1" s="493"/>
      <c r="AQ1" s="493"/>
      <c r="AR1" s="493"/>
      <c r="AS1" s="493"/>
      <c r="AT1" s="493"/>
      <c r="AU1" s="493"/>
      <c r="AV1" s="493"/>
      <c r="AW1" s="493"/>
      <c r="AX1" s="493"/>
      <c r="AY1" s="493"/>
      <c r="AZ1" s="493"/>
      <c r="BA1" s="493"/>
      <c r="BB1" s="493"/>
      <c r="BC1" s="493"/>
      <c r="BD1" s="493"/>
      <c r="BE1" s="493"/>
      <c r="BF1" s="493"/>
      <c r="BG1" s="493"/>
      <c r="BH1" s="494"/>
    </row>
    <row r="2" spans="1:64" ht="30" customHeight="1">
      <c r="A2" s="95" t="s">
        <v>1184</v>
      </c>
      <c r="B2" s="501" t="s">
        <v>1185</v>
      </c>
      <c r="C2" s="501"/>
      <c r="D2" s="501"/>
      <c r="E2" s="501"/>
      <c r="F2" s="501"/>
      <c r="G2" s="501"/>
      <c r="H2" s="501"/>
      <c r="I2" s="96"/>
      <c r="J2" s="495"/>
      <c r="K2" s="496"/>
      <c r="L2" s="496"/>
      <c r="M2" s="496"/>
      <c r="N2" s="496"/>
      <c r="O2" s="496"/>
      <c r="P2" s="496"/>
      <c r="Q2" s="496"/>
      <c r="R2" s="496"/>
      <c r="S2" s="496"/>
      <c r="T2" s="496"/>
      <c r="U2" s="496"/>
      <c r="V2" s="496"/>
      <c r="W2" s="496"/>
      <c r="X2" s="496"/>
      <c r="Y2" s="496"/>
      <c r="Z2" s="496"/>
      <c r="AA2" s="496"/>
      <c r="AB2" s="496"/>
      <c r="AC2" s="496"/>
      <c r="AD2" s="496"/>
      <c r="AE2" s="496"/>
      <c r="AF2" s="496"/>
      <c r="AG2" s="496"/>
      <c r="AH2" s="496"/>
      <c r="AI2" s="496"/>
      <c r="AJ2" s="496"/>
      <c r="AK2" s="496"/>
      <c r="AL2" s="496"/>
      <c r="AM2" s="496"/>
      <c r="AN2" s="496"/>
      <c r="AO2" s="496"/>
      <c r="AP2" s="496"/>
      <c r="AQ2" s="496"/>
      <c r="AR2" s="496"/>
      <c r="AS2" s="496"/>
      <c r="AT2" s="496"/>
      <c r="AU2" s="496"/>
      <c r="AV2" s="496"/>
      <c r="AW2" s="496"/>
      <c r="AX2" s="496"/>
      <c r="AY2" s="496"/>
      <c r="AZ2" s="496"/>
      <c r="BA2" s="496"/>
      <c r="BB2" s="496"/>
      <c r="BC2" s="496"/>
      <c r="BD2" s="496"/>
      <c r="BE2" s="496"/>
      <c r="BF2" s="496"/>
      <c r="BG2" s="496"/>
      <c r="BH2" s="497"/>
    </row>
    <row r="3" spans="1:64" ht="30" customHeight="1" thickBot="1">
      <c r="A3" s="95" t="s">
        <v>1186</v>
      </c>
      <c r="B3" s="502" t="s">
        <v>1187</v>
      </c>
      <c r="C3" s="502"/>
      <c r="D3" s="502"/>
      <c r="E3" s="523">
        <v>46296</v>
      </c>
      <c r="F3" s="523"/>
      <c r="G3" s="523"/>
      <c r="H3" s="523"/>
      <c r="J3" s="498"/>
      <c r="K3" s="499"/>
      <c r="L3" s="499"/>
      <c r="M3" s="499"/>
      <c r="N3" s="499"/>
      <c r="O3" s="499"/>
      <c r="P3" s="499"/>
      <c r="Q3" s="499"/>
      <c r="R3" s="499"/>
      <c r="S3" s="499"/>
      <c r="T3" s="499"/>
      <c r="U3" s="499"/>
      <c r="V3" s="499"/>
      <c r="W3" s="499"/>
      <c r="X3" s="499"/>
      <c r="Y3" s="499"/>
      <c r="Z3" s="499"/>
      <c r="AA3" s="499"/>
      <c r="AB3" s="499"/>
      <c r="AC3" s="499"/>
      <c r="AD3" s="499"/>
      <c r="AE3" s="499"/>
      <c r="AF3" s="499"/>
      <c r="AG3" s="499"/>
      <c r="AH3" s="499"/>
      <c r="AI3" s="499"/>
      <c r="AJ3" s="499"/>
      <c r="AK3" s="499"/>
      <c r="AL3" s="499"/>
      <c r="AM3" s="499"/>
      <c r="AN3" s="499"/>
      <c r="AO3" s="499"/>
      <c r="AP3" s="499"/>
      <c r="AQ3" s="499"/>
      <c r="AR3" s="499"/>
      <c r="AS3" s="499"/>
      <c r="AT3" s="499"/>
      <c r="AU3" s="499"/>
      <c r="AV3" s="499"/>
      <c r="AW3" s="499"/>
      <c r="AX3" s="499"/>
      <c r="AY3" s="499"/>
      <c r="AZ3" s="499"/>
      <c r="BA3" s="499"/>
      <c r="BB3" s="499"/>
      <c r="BC3" s="499"/>
      <c r="BD3" s="499"/>
      <c r="BE3" s="499"/>
      <c r="BF3" s="499"/>
      <c r="BG3" s="499"/>
      <c r="BH3" s="500"/>
    </row>
    <row r="4" spans="1:64" ht="30" customHeight="1">
      <c r="A4" s="94" t="s">
        <v>1188</v>
      </c>
      <c r="B4" s="503" t="s">
        <v>1189</v>
      </c>
      <c r="C4" s="504"/>
      <c r="D4" s="505"/>
      <c r="E4" s="506">
        <v>1</v>
      </c>
      <c r="F4" s="507"/>
      <c r="G4" s="507"/>
      <c r="H4" s="508"/>
      <c r="I4" s="486">
        <f>I5</f>
        <v>46293</v>
      </c>
      <c r="J4" s="484"/>
      <c r="K4" s="484"/>
      <c r="L4" s="484"/>
      <c r="M4" s="484"/>
      <c r="N4" s="484"/>
      <c r="O4" s="485"/>
      <c r="P4" s="483">
        <f>P5</f>
        <v>46300</v>
      </c>
      <c r="Q4" s="484"/>
      <c r="R4" s="484"/>
      <c r="S4" s="484"/>
      <c r="T4" s="484"/>
      <c r="U4" s="484"/>
      <c r="V4" s="485"/>
      <c r="W4" s="483">
        <f>W5</f>
        <v>46307</v>
      </c>
      <c r="X4" s="484"/>
      <c r="Y4" s="484"/>
      <c r="Z4" s="484"/>
      <c r="AA4" s="484"/>
      <c r="AB4" s="484"/>
      <c r="AC4" s="485"/>
      <c r="AD4" s="483">
        <f>AD5</f>
        <v>46314</v>
      </c>
      <c r="AE4" s="484"/>
      <c r="AF4" s="484"/>
      <c r="AG4" s="484"/>
      <c r="AH4" s="484"/>
      <c r="AI4" s="484"/>
      <c r="AJ4" s="485"/>
      <c r="AK4" s="483">
        <f>AK5</f>
        <v>46321</v>
      </c>
      <c r="AL4" s="484"/>
      <c r="AM4" s="484"/>
      <c r="AN4" s="484"/>
      <c r="AO4" s="484"/>
      <c r="AP4" s="484"/>
      <c r="AQ4" s="485"/>
      <c r="AR4" s="483">
        <f>AR5</f>
        <v>46328</v>
      </c>
      <c r="AS4" s="484"/>
      <c r="AT4" s="484"/>
      <c r="AU4" s="484"/>
      <c r="AV4" s="484"/>
      <c r="AW4" s="484"/>
      <c r="AX4" s="485"/>
      <c r="AY4" s="483">
        <f>AY5</f>
        <v>46335</v>
      </c>
      <c r="AZ4" s="484"/>
      <c r="BA4" s="484"/>
      <c r="BB4" s="484"/>
      <c r="BC4" s="484"/>
      <c r="BD4" s="484"/>
      <c r="BE4" s="485"/>
      <c r="BF4" s="483">
        <f>BF5</f>
        <v>46342</v>
      </c>
      <c r="BG4" s="484"/>
      <c r="BH4" s="484"/>
      <c r="BI4" s="486"/>
      <c r="BJ4" s="486"/>
      <c r="BK4" s="486"/>
      <c r="BL4" s="487"/>
    </row>
    <row r="5" spans="1:64" ht="15" customHeight="1">
      <c r="A5" s="94" t="s">
        <v>1190</v>
      </c>
      <c r="B5" s="488"/>
      <c r="C5" s="489"/>
      <c r="D5" s="489"/>
      <c r="E5" s="489"/>
      <c r="F5" s="489"/>
      <c r="G5" s="489"/>
      <c r="H5" s="490"/>
      <c r="I5" s="99">
        <f>Inicio_del_proyecto-WEEKDAY(Inicio_del_proyecto,1)+2+7*(Semana_para_mostrar-1)</f>
        <v>46293</v>
      </c>
      <c r="J5" s="99">
        <f>I5+1</f>
        <v>46294</v>
      </c>
      <c r="K5" s="99">
        <f t="shared" ref="K5:AX5" si="0">J5+1</f>
        <v>46295</v>
      </c>
      <c r="L5" s="99">
        <f t="shared" si="0"/>
        <v>46296</v>
      </c>
      <c r="M5" s="99">
        <f t="shared" si="0"/>
        <v>46297</v>
      </c>
      <c r="N5" s="99">
        <f t="shared" si="0"/>
        <v>46298</v>
      </c>
      <c r="O5" s="100">
        <f t="shared" si="0"/>
        <v>46299</v>
      </c>
      <c r="P5" s="101">
        <f>O5+1</f>
        <v>46300</v>
      </c>
      <c r="Q5" s="99">
        <f>P5+1</f>
        <v>46301</v>
      </c>
      <c r="R5" s="99">
        <f t="shared" si="0"/>
        <v>46302</v>
      </c>
      <c r="S5" s="99">
        <f t="shared" si="0"/>
        <v>46303</v>
      </c>
      <c r="T5" s="99">
        <f t="shared" si="0"/>
        <v>46304</v>
      </c>
      <c r="U5" s="99">
        <f t="shared" si="0"/>
        <v>46305</v>
      </c>
      <c r="V5" s="100">
        <f t="shared" si="0"/>
        <v>46306</v>
      </c>
      <c r="W5" s="101">
        <f>V5+1</f>
        <v>46307</v>
      </c>
      <c r="X5" s="99">
        <f>W5+1</f>
        <v>46308</v>
      </c>
      <c r="Y5" s="99">
        <f t="shared" si="0"/>
        <v>46309</v>
      </c>
      <c r="Z5" s="99">
        <f t="shared" si="0"/>
        <v>46310</v>
      </c>
      <c r="AA5" s="99">
        <f t="shared" si="0"/>
        <v>46311</v>
      </c>
      <c r="AB5" s="99">
        <f t="shared" si="0"/>
        <v>46312</v>
      </c>
      <c r="AC5" s="100">
        <f t="shared" si="0"/>
        <v>46313</v>
      </c>
      <c r="AD5" s="101">
        <f>AC5+1</f>
        <v>46314</v>
      </c>
      <c r="AE5" s="99">
        <f>AD5+1</f>
        <v>46315</v>
      </c>
      <c r="AF5" s="99">
        <f t="shared" si="0"/>
        <v>46316</v>
      </c>
      <c r="AG5" s="99">
        <f t="shared" si="0"/>
        <v>46317</v>
      </c>
      <c r="AH5" s="99">
        <f t="shared" si="0"/>
        <v>46318</v>
      </c>
      <c r="AI5" s="99">
        <f t="shared" si="0"/>
        <v>46319</v>
      </c>
      <c r="AJ5" s="100">
        <f t="shared" si="0"/>
        <v>46320</v>
      </c>
      <c r="AK5" s="101">
        <f>AJ5+1</f>
        <v>46321</v>
      </c>
      <c r="AL5" s="99">
        <f>AK5+1</f>
        <v>46322</v>
      </c>
      <c r="AM5" s="99">
        <f t="shared" si="0"/>
        <v>46323</v>
      </c>
      <c r="AN5" s="99">
        <f t="shared" si="0"/>
        <v>46324</v>
      </c>
      <c r="AO5" s="99">
        <f t="shared" si="0"/>
        <v>46325</v>
      </c>
      <c r="AP5" s="99">
        <f t="shared" si="0"/>
        <v>46326</v>
      </c>
      <c r="AQ5" s="100">
        <f t="shared" si="0"/>
        <v>46327</v>
      </c>
      <c r="AR5" s="101">
        <f>AQ5+1</f>
        <v>46328</v>
      </c>
      <c r="AS5" s="99">
        <f>AR5+1</f>
        <v>46329</v>
      </c>
      <c r="AT5" s="99">
        <f t="shared" si="0"/>
        <v>46330</v>
      </c>
      <c r="AU5" s="99">
        <f t="shared" si="0"/>
        <v>46331</v>
      </c>
      <c r="AV5" s="99">
        <f t="shared" si="0"/>
        <v>46332</v>
      </c>
      <c r="AW5" s="99">
        <f t="shared" si="0"/>
        <v>46333</v>
      </c>
      <c r="AX5" s="100">
        <f t="shared" si="0"/>
        <v>46334</v>
      </c>
      <c r="AY5" s="101">
        <f>AX5+1</f>
        <v>46335</v>
      </c>
      <c r="AZ5" s="99">
        <f>AY5+1</f>
        <v>46336</v>
      </c>
      <c r="BA5" s="99">
        <f t="shared" ref="BA5:BE5" si="1">AZ5+1</f>
        <v>46337</v>
      </c>
      <c r="BB5" s="99">
        <f t="shared" si="1"/>
        <v>46338</v>
      </c>
      <c r="BC5" s="99">
        <f t="shared" si="1"/>
        <v>46339</v>
      </c>
      <c r="BD5" s="99">
        <f t="shared" si="1"/>
        <v>46340</v>
      </c>
      <c r="BE5" s="100">
        <f t="shared" si="1"/>
        <v>46341</v>
      </c>
      <c r="BF5" s="101">
        <f>BE5+1</f>
        <v>46342</v>
      </c>
      <c r="BG5" s="99">
        <f>BF5+1</f>
        <v>46343</v>
      </c>
      <c r="BH5" s="99">
        <f t="shared" ref="BH5:BK5" si="2">BG5+1</f>
        <v>46344</v>
      </c>
      <c r="BI5" s="99">
        <f t="shared" si="2"/>
        <v>46345</v>
      </c>
      <c r="BJ5" s="99">
        <f t="shared" si="2"/>
        <v>46346</v>
      </c>
      <c r="BK5" s="99">
        <f t="shared" si="2"/>
        <v>46347</v>
      </c>
      <c r="BL5" s="100">
        <f>BK5+1</f>
        <v>46348</v>
      </c>
    </row>
    <row r="6" spans="1:64" ht="30" customHeight="1" thickBot="1">
      <c r="A6" s="94" t="s">
        <v>1191</v>
      </c>
      <c r="B6" s="102" t="s">
        <v>1192</v>
      </c>
      <c r="C6" s="103" t="s">
        <v>1193</v>
      </c>
      <c r="D6" s="103" t="s">
        <v>1194</v>
      </c>
      <c r="E6" s="103" t="s">
        <v>1195</v>
      </c>
      <c r="F6" s="103" t="s">
        <v>1196</v>
      </c>
      <c r="G6" s="103"/>
      <c r="H6" s="103" t="s">
        <v>1197</v>
      </c>
      <c r="I6" s="104" t="str">
        <f t="shared" ref="I6:BL6" si="3">LEFT(TEXT(I5,"ddd"),1)</f>
        <v>l</v>
      </c>
      <c r="J6" s="104" t="str">
        <f t="shared" si="3"/>
        <v>m</v>
      </c>
      <c r="K6" s="104" t="str">
        <f t="shared" si="3"/>
        <v>m</v>
      </c>
      <c r="L6" s="104" t="str">
        <f t="shared" si="3"/>
        <v>j</v>
      </c>
      <c r="M6" s="104" t="str">
        <f t="shared" si="3"/>
        <v>v</v>
      </c>
      <c r="N6" s="104" t="str">
        <f t="shared" si="3"/>
        <v>s</v>
      </c>
      <c r="O6" s="104" t="str">
        <f t="shared" si="3"/>
        <v>d</v>
      </c>
      <c r="P6" s="104" t="str">
        <f t="shared" si="3"/>
        <v>l</v>
      </c>
      <c r="Q6" s="104" t="str">
        <f t="shared" si="3"/>
        <v>m</v>
      </c>
      <c r="R6" s="104" t="str">
        <f t="shared" si="3"/>
        <v>m</v>
      </c>
      <c r="S6" s="104" t="str">
        <f t="shared" si="3"/>
        <v>j</v>
      </c>
      <c r="T6" s="104" t="str">
        <f t="shared" si="3"/>
        <v>v</v>
      </c>
      <c r="U6" s="104" t="str">
        <f t="shared" si="3"/>
        <v>s</v>
      </c>
      <c r="V6" s="104" t="str">
        <f t="shared" si="3"/>
        <v>d</v>
      </c>
      <c r="W6" s="104" t="str">
        <f t="shared" si="3"/>
        <v>l</v>
      </c>
      <c r="X6" s="104" t="str">
        <f t="shared" si="3"/>
        <v>m</v>
      </c>
      <c r="Y6" s="104" t="str">
        <f t="shared" si="3"/>
        <v>m</v>
      </c>
      <c r="Z6" s="104" t="str">
        <f t="shared" si="3"/>
        <v>j</v>
      </c>
      <c r="AA6" s="104" t="str">
        <f t="shared" si="3"/>
        <v>v</v>
      </c>
      <c r="AB6" s="104" t="str">
        <f t="shared" si="3"/>
        <v>s</v>
      </c>
      <c r="AC6" s="104" t="str">
        <f t="shared" si="3"/>
        <v>d</v>
      </c>
      <c r="AD6" s="104" t="str">
        <f t="shared" si="3"/>
        <v>l</v>
      </c>
      <c r="AE6" s="104" t="str">
        <f t="shared" si="3"/>
        <v>m</v>
      </c>
      <c r="AF6" s="104" t="str">
        <f t="shared" si="3"/>
        <v>m</v>
      </c>
      <c r="AG6" s="104" t="str">
        <f t="shared" si="3"/>
        <v>j</v>
      </c>
      <c r="AH6" s="104" t="str">
        <f t="shared" si="3"/>
        <v>v</v>
      </c>
      <c r="AI6" s="104" t="str">
        <f t="shared" si="3"/>
        <v>s</v>
      </c>
      <c r="AJ6" s="104" t="str">
        <f t="shared" si="3"/>
        <v>d</v>
      </c>
      <c r="AK6" s="104" t="str">
        <f t="shared" si="3"/>
        <v>l</v>
      </c>
      <c r="AL6" s="104" t="str">
        <f t="shared" si="3"/>
        <v>m</v>
      </c>
      <c r="AM6" s="104" t="str">
        <f t="shared" si="3"/>
        <v>m</v>
      </c>
      <c r="AN6" s="104" t="str">
        <f t="shared" si="3"/>
        <v>j</v>
      </c>
      <c r="AO6" s="104" t="str">
        <f t="shared" si="3"/>
        <v>v</v>
      </c>
      <c r="AP6" s="104" t="str">
        <f t="shared" si="3"/>
        <v>s</v>
      </c>
      <c r="AQ6" s="104" t="str">
        <f t="shared" si="3"/>
        <v>d</v>
      </c>
      <c r="AR6" s="104" t="str">
        <f t="shared" si="3"/>
        <v>l</v>
      </c>
      <c r="AS6" s="104" t="str">
        <f t="shared" si="3"/>
        <v>m</v>
      </c>
      <c r="AT6" s="104" t="str">
        <f t="shared" si="3"/>
        <v>m</v>
      </c>
      <c r="AU6" s="104" t="str">
        <f t="shared" si="3"/>
        <v>j</v>
      </c>
      <c r="AV6" s="104" t="str">
        <f t="shared" si="3"/>
        <v>v</v>
      </c>
      <c r="AW6" s="104" t="str">
        <f t="shared" si="3"/>
        <v>s</v>
      </c>
      <c r="AX6" s="104" t="str">
        <f t="shared" si="3"/>
        <v>d</v>
      </c>
      <c r="AY6" s="104" t="str">
        <f t="shared" si="3"/>
        <v>l</v>
      </c>
      <c r="AZ6" s="104" t="str">
        <f t="shared" si="3"/>
        <v>m</v>
      </c>
      <c r="BA6" s="104" t="str">
        <f t="shared" si="3"/>
        <v>m</v>
      </c>
      <c r="BB6" s="104" t="str">
        <f t="shared" si="3"/>
        <v>j</v>
      </c>
      <c r="BC6" s="104" t="str">
        <f t="shared" si="3"/>
        <v>v</v>
      </c>
      <c r="BD6" s="104" t="str">
        <f t="shared" si="3"/>
        <v>s</v>
      </c>
      <c r="BE6" s="104" t="str">
        <f t="shared" si="3"/>
        <v>d</v>
      </c>
      <c r="BF6" s="104" t="str">
        <f t="shared" si="3"/>
        <v>l</v>
      </c>
      <c r="BG6" s="104" t="str">
        <f t="shared" si="3"/>
        <v>m</v>
      </c>
      <c r="BH6" s="104" t="str">
        <f t="shared" si="3"/>
        <v>m</v>
      </c>
      <c r="BI6" s="104" t="str">
        <f t="shared" si="3"/>
        <v>j</v>
      </c>
      <c r="BJ6" s="104" t="str">
        <f t="shared" si="3"/>
        <v>v</v>
      </c>
      <c r="BK6" s="104" t="str">
        <f t="shared" si="3"/>
        <v>s</v>
      </c>
      <c r="BL6" s="104" t="str">
        <f t="shared" si="3"/>
        <v>d</v>
      </c>
    </row>
    <row r="7" spans="1:64" ht="30" customHeight="1" thickBot="1">
      <c r="A7" s="95" t="s">
        <v>1198</v>
      </c>
      <c r="C7" s="105"/>
      <c r="E7" s="98"/>
      <c r="H7" s="98" t="s">
        <v>1199</v>
      </c>
      <c r="I7" s="106"/>
      <c r="J7" s="106"/>
      <c r="K7" s="106"/>
      <c r="L7" s="106"/>
      <c r="M7" s="106"/>
      <c r="N7" s="106"/>
      <c r="O7" s="106"/>
      <c r="P7" s="106"/>
      <c r="Q7" s="106"/>
      <c r="R7" s="106"/>
      <c r="S7" s="106"/>
      <c r="T7" s="106"/>
      <c r="U7" s="106"/>
      <c r="V7" s="106"/>
      <c r="W7" s="106"/>
      <c r="X7" s="106"/>
      <c r="Y7" s="106"/>
      <c r="Z7" s="106"/>
      <c r="AA7" s="106"/>
      <c r="AB7" s="106"/>
      <c r="AC7" s="106"/>
      <c r="AD7" s="106"/>
      <c r="AE7" s="106"/>
      <c r="AF7" s="106"/>
      <c r="AG7" s="106"/>
      <c r="AH7" s="106"/>
      <c r="AI7" s="106"/>
      <c r="AJ7" s="106"/>
      <c r="AK7" s="106"/>
      <c r="AL7" s="106"/>
      <c r="AM7" s="106"/>
      <c r="AN7" s="106"/>
      <c r="AO7" s="106"/>
      <c r="AP7" s="106"/>
      <c r="AQ7" s="106"/>
      <c r="AR7" s="106"/>
      <c r="AS7" s="106"/>
      <c r="AT7" s="106"/>
      <c r="AU7" s="106"/>
      <c r="AV7" s="106"/>
      <c r="AW7" s="106"/>
      <c r="AX7" s="106"/>
      <c r="AY7" s="106"/>
      <c r="AZ7" s="106"/>
      <c r="BA7" s="106"/>
      <c r="BB7" s="106"/>
      <c r="BC7" s="106"/>
      <c r="BD7" s="106"/>
      <c r="BE7" s="106"/>
      <c r="BF7" s="106"/>
      <c r="BG7" s="106"/>
      <c r="BH7" s="106"/>
      <c r="BI7" s="106"/>
      <c r="BJ7" s="106"/>
      <c r="BK7" s="106"/>
      <c r="BL7" s="106"/>
    </row>
    <row r="8" spans="1:64" s="116" customFormat="1" ht="30" customHeight="1" thickBot="1">
      <c r="A8" s="94" t="s">
        <v>1200</v>
      </c>
      <c r="B8" s="107" t="s">
        <v>1201</v>
      </c>
      <c r="C8" s="108"/>
      <c r="D8" s="109">
        <v>0</v>
      </c>
      <c r="E8" s="110"/>
      <c r="F8" s="110"/>
      <c r="G8" s="111"/>
      <c r="H8" s="111" t="str">
        <f t="shared" ref="H8" ca="1" si="4">IF(OR(ISBLANK(task_start),ISBLANK(task_end)),"",task_end-task_start+1)</f>
        <v/>
      </c>
      <c r="I8" s="112"/>
      <c r="J8" s="106"/>
      <c r="K8" s="106"/>
      <c r="L8" s="106"/>
      <c r="M8" s="113"/>
      <c r="N8" s="113"/>
      <c r="O8" s="114"/>
      <c r="P8" s="113"/>
      <c r="Q8" s="106"/>
      <c r="R8" s="106"/>
      <c r="S8" s="106"/>
      <c r="T8" s="106"/>
      <c r="U8" s="113"/>
      <c r="V8" s="115"/>
      <c r="W8" s="106"/>
      <c r="X8" s="113"/>
      <c r="Y8" s="106"/>
      <c r="Z8" s="106"/>
      <c r="AA8" s="106"/>
      <c r="AB8" s="106"/>
      <c r="AC8" s="115"/>
      <c r="AD8" s="113"/>
      <c r="AE8" s="113"/>
      <c r="AF8" s="113"/>
      <c r="AG8" s="113"/>
      <c r="AH8" s="113"/>
      <c r="AI8" s="113"/>
      <c r="AJ8" s="115"/>
      <c r="AK8" s="113"/>
      <c r="AL8" s="113"/>
      <c r="AM8" s="113"/>
      <c r="AN8" s="113"/>
      <c r="AO8" s="113"/>
      <c r="AP8" s="113"/>
      <c r="AQ8" s="115"/>
      <c r="AR8" s="113"/>
      <c r="AS8" s="113"/>
      <c r="AT8" s="113"/>
      <c r="AU8" s="113"/>
      <c r="AV8" s="113"/>
      <c r="AW8" s="113"/>
      <c r="AX8" s="115"/>
      <c r="AY8" s="113"/>
      <c r="AZ8" s="113"/>
      <c r="BA8" s="113"/>
      <c r="BB8" s="113"/>
      <c r="BC8" s="113"/>
      <c r="BD8" s="113"/>
      <c r="BE8" s="115"/>
      <c r="BF8" s="113"/>
      <c r="BG8" s="113"/>
      <c r="BH8" s="113"/>
      <c r="BI8" s="113"/>
      <c r="BJ8" s="113"/>
      <c r="BK8" s="113"/>
      <c r="BL8" s="115"/>
    </row>
    <row r="9" spans="1:64" s="116" customFormat="1" ht="30" customHeight="1" thickBot="1">
      <c r="A9" s="95"/>
      <c r="B9" s="123" t="s">
        <v>8</v>
      </c>
      <c r="C9" s="124"/>
      <c r="D9" s="125">
        <v>0</v>
      </c>
      <c r="E9" s="126">
        <f>MIN(E10:E21)</f>
        <v>46296</v>
      </c>
      <c r="F9" s="126">
        <f>MAX(F10:F21)</f>
        <v>46446</v>
      </c>
      <c r="G9" s="111"/>
      <c r="H9" s="111">
        <f>IF(OR(E9="",F9=""),"",F9-E9+1)</f>
        <v>151</v>
      </c>
      <c r="I9" s="112"/>
      <c r="J9" s="106"/>
      <c r="K9" s="106"/>
      <c r="L9" s="106"/>
      <c r="M9" s="113"/>
      <c r="N9" s="113"/>
      <c r="O9" s="114"/>
      <c r="P9" s="113"/>
      <c r="Q9" s="106"/>
      <c r="R9" s="106"/>
      <c r="S9" s="106"/>
      <c r="T9" s="106"/>
      <c r="U9" s="113"/>
      <c r="V9" s="115"/>
      <c r="W9" s="113"/>
      <c r="X9" s="106"/>
      <c r="Y9" s="106"/>
      <c r="Z9" s="106"/>
      <c r="AA9" s="106"/>
      <c r="AB9" s="106"/>
      <c r="AC9" s="115"/>
      <c r="AD9" s="106"/>
      <c r="AE9" s="113"/>
      <c r="AF9" s="113"/>
      <c r="AG9" s="106"/>
      <c r="AH9" s="106"/>
      <c r="AI9" s="106"/>
      <c r="AJ9" s="115"/>
      <c r="AK9" s="113"/>
      <c r="AL9" s="113"/>
      <c r="AM9" s="113"/>
      <c r="AN9" s="113"/>
      <c r="AO9" s="113"/>
      <c r="AP9" s="113"/>
      <c r="AQ9" s="115"/>
      <c r="AR9" s="113"/>
      <c r="AS9" s="113"/>
      <c r="AT9" s="113"/>
      <c r="AU9" s="113"/>
      <c r="AV9" s="113"/>
      <c r="AW9" s="113"/>
      <c r="AX9" s="115"/>
      <c r="AY9" s="113"/>
      <c r="AZ9" s="113"/>
      <c r="BA9" s="113"/>
      <c r="BB9" s="113"/>
      <c r="BC9" s="113"/>
      <c r="BD9" s="113"/>
      <c r="BE9" s="115"/>
      <c r="BF9" s="106"/>
      <c r="BG9" s="106"/>
      <c r="BH9" s="113"/>
      <c r="BI9" s="106"/>
      <c r="BJ9" s="106"/>
      <c r="BK9" s="113"/>
      <c r="BL9" s="115"/>
    </row>
    <row r="10" spans="1:64" s="116" customFormat="1" ht="30" customHeight="1" thickBot="1">
      <c r="A10" s="95"/>
      <c r="B10" s="117" t="s">
        <v>9</v>
      </c>
      <c r="C10" s="118"/>
      <c r="D10" s="119">
        <v>0</v>
      </c>
      <c r="E10" s="120">
        <f>$E$3</f>
        <v>46296</v>
      </c>
      <c r="F10" s="120">
        <f>$E$3+14</f>
        <v>46310</v>
      </c>
      <c r="G10" s="111"/>
      <c r="H10" s="111">
        <f t="shared" ref="H10:H32" si="5">IF(OR(E10="",F10=""),"",F10-E10+1)</f>
        <v>15</v>
      </c>
      <c r="I10" s="112"/>
      <c r="J10" s="106"/>
      <c r="K10" s="106"/>
      <c r="L10" s="106"/>
      <c r="M10" s="113"/>
      <c r="N10" s="113"/>
      <c r="O10" s="114"/>
      <c r="P10" s="113"/>
      <c r="Q10" s="106"/>
      <c r="R10" s="106"/>
      <c r="S10" s="106"/>
      <c r="T10" s="106"/>
      <c r="U10" s="113"/>
      <c r="V10" s="115"/>
      <c r="W10" s="113"/>
      <c r="X10" s="106"/>
      <c r="Y10" s="106"/>
      <c r="Z10" s="106"/>
      <c r="AA10" s="106"/>
      <c r="AB10" s="106"/>
      <c r="AC10" s="115"/>
      <c r="AD10" s="106"/>
      <c r="AE10" s="113"/>
      <c r="AF10" s="113"/>
      <c r="AG10" s="106"/>
      <c r="AH10" s="106"/>
      <c r="AI10" s="106"/>
      <c r="AJ10" s="115"/>
      <c r="AK10" s="113"/>
      <c r="AL10" s="113"/>
      <c r="AM10" s="113"/>
      <c r="AN10" s="113"/>
      <c r="AO10" s="113"/>
      <c r="AP10" s="113"/>
      <c r="AQ10" s="115"/>
      <c r="AR10" s="113"/>
      <c r="AS10" s="113"/>
      <c r="AT10" s="113"/>
      <c r="AU10" s="113"/>
      <c r="AV10" s="113"/>
      <c r="AW10" s="113"/>
      <c r="AX10" s="115"/>
      <c r="AY10" s="113"/>
      <c r="AZ10" s="113"/>
      <c r="BA10" s="113"/>
      <c r="BB10" s="113"/>
      <c r="BC10" s="113"/>
      <c r="BD10" s="113"/>
      <c r="BE10" s="115"/>
      <c r="BF10" s="106"/>
      <c r="BG10" s="106"/>
      <c r="BH10" s="113"/>
      <c r="BI10" s="106"/>
      <c r="BJ10" s="106"/>
      <c r="BK10" s="113"/>
      <c r="BL10" s="115"/>
    </row>
    <row r="11" spans="1:64" s="116" customFormat="1" ht="30" customHeight="1" thickBot="1">
      <c r="A11" s="95"/>
      <c r="B11" s="117" t="s">
        <v>11</v>
      </c>
      <c r="C11" s="118"/>
      <c r="D11" s="119">
        <v>0</v>
      </c>
      <c r="E11" s="120">
        <f>$E$3+8</f>
        <v>46304</v>
      </c>
      <c r="F11" s="120">
        <f>$E$3+42</f>
        <v>46338</v>
      </c>
      <c r="G11" s="111"/>
      <c r="H11" s="111">
        <f t="shared" si="5"/>
        <v>35</v>
      </c>
      <c r="I11" s="112"/>
      <c r="J11" s="106"/>
      <c r="K11" s="106"/>
      <c r="L11" s="106"/>
      <c r="M11" s="113"/>
      <c r="N11" s="113"/>
      <c r="O11" s="114"/>
      <c r="P11" s="113"/>
      <c r="Q11" s="106"/>
      <c r="R11" s="106"/>
      <c r="S11" s="106"/>
      <c r="T11" s="106"/>
      <c r="U11" s="113"/>
      <c r="V11" s="115"/>
      <c r="W11" s="113"/>
      <c r="X11" s="106"/>
      <c r="Y11" s="106"/>
      <c r="Z11" s="106"/>
      <c r="AA11" s="106"/>
      <c r="AB11" s="106"/>
      <c r="AC11" s="115"/>
      <c r="AD11" s="106"/>
      <c r="AE11" s="113"/>
      <c r="AF11" s="113"/>
      <c r="AG11" s="106"/>
      <c r="AH11" s="106"/>
      <c r="AI11" s="106"/>
      <c r="AJ11" s="115"/>
      <c r="AK11" s="113"/>
      <c r="AL11" s="113"/>
      <c r="AM11" s="113"/>
      <c r="AN11" s="113"/>
      <c r="AO11" s="113"/>
      <c r="AP11" s="113"/>
      <c r="AQ11" s="115"/>
      <c r="AR11" s="113"/>
      <c r="AS11" s="113"/>
      <c r="AT11" s="113"/>
      <c r="AU11" s="113"/>
      <c r="AV11" s="113"/>
      <c r="AW11" s="113"/>
      <c r="AX11" s="115"/>
      <c r="AY11" s="113"/>
      <c r="AZ11" s="113"/>
      <c r="BA11" s="113"/>
      <c r="BB11" s="113"/>
      <c r="BC11" s="113"/>
      <c r="BD11" s="113"/>
      <c r="BE11" s="115"/>
      <c r="BF11" s="106"/>
      <c r="BG11" s="106"/>
      <c r="BH11" s="113"/>
      <c r="BI11" s="106"/>
      <c r="BJ11" s="106"/>
      <c r="BK11" s="113"/>
      <c r="BL11" s="115"/>
    </row>
    <row r="12" spans="1:64" s="116" customFormat="1" ht="30" customHeight="1" thickBot="1">
      <c r="A12" s="95"/>
      <c r="B12" s="117" t="s">
        <v>13</v>
      </c>
      <c r="C12" s="118"/>
      <c r="D12" s="119">
        <v>0</v>
      </c>
      <c r="E12" s="120">
        <f>$E$3+100</f>
        <v>46396</v>
      </c>
      <c r="F12" s="120">
        <f>$E$3+125</f>
        <v>46421</v>
      </c>
      <c r="G12" s="111"/>
      <c r="H12" s="111">
        <f t="shared" si="5"/>
        <v>26</v>
      </c>
      <c r="I12" s="112"/>
      <c r="J12" s="106"/>
      <c r="K12" s="106"/>
      <c r="L12" s="106"/>
      <c r="M12" s="113"/>
      <c r="N12" s="113"/>
      <c r="O12" s="114"/>
      <c r="P12" s="113"/>
      <c r="Q12" s="106"/>
      <c r="R12" s="106"/>
      <c r="S12" s="106"/>
      <c r="T12" s="106"/>
      <c r="U12" s="113"/>
      <c r="V12" s="115"/>
      <c r="W12" s="113"/>
      <c r="X12" s="106"/>
      <c r="Y12" s="106"/>
      <c r="Z12" s="106"/>
      <c r="AA12" s="106"/>
      <c r="AB12" s="106"/>
      <c r="AC12" s="115"/>
      <c r="AD12" s="106"/>
      <c r="AE12" s="113"/>
      <c r="AF12" s="113"/>
      <c r="AG12" s="106"/>
      <c r="AH12" s="106"/>
      <c r="AI12" s="106"/>
      <c r="AJ12" s="115"/>
      <c r="AK12" s="113"/>
      <c r="AL12" s="113"/>
      <c r="AM12" s="113"/>
      <c r="AN12" s="113"/>
      <c r="AO12" s="113"/>
      <c r="AP12" s="113"/>
      <c r="AQ12" s="115"/>
      <c r="AR12" s="113"/>
      <c r="AS12" s="113"/>
      <c r="AT12" s="113"/>
      <c r="AU12" s="113"/>
      <c r="AV12" s="113"/>
      <c r="AW12" s="113"/>
      <c r="AX12" s="115"/>
      <c r="AY12" s="113"/>
      <c r="AZ12" s="113"/>
      <c r="BA12" s="113"/>
      <c r="BB12" s="113"/>
      <c r="BC12" s="113"/>
      <c r="BD12" s="113"/>
      <c r="BE12" s="115"/>
      <c r="BF12" s="106"/>
      <c r="BG12" s="106"/>
      <c r="BH12" s="113"/>
      <c r="BI12" s="106"/>
      <c r="BJ12" s="106"/>
      <c r="BK12" s="113"/>
      <c r="BL12" s="115"/>
    </row>
    <row r="13" spans="1:64" s="116" customFormat="1" ht="30" customHeight="1" thickBot="1">
      <c r="A13" s="95"/>
      <c r="B13" s="117" t="s">
        <v>15</v>
      </c>
      <c r="C13" s="118"/>
      <c r="D13" s="119">
        <v>0</v>
      </c>
      <c r="E13" s="120">
        <f>$E$3+20</f>
        <v>46316</v>
      </c>
      <c r="F13" s="120">
        <f>$E$3+60</f>
        <v>46356</v>
      </c>
      <c r="G13" s="111"/>
      <c r="H13" s="111">
        <f t="shared" si="5"/>
        <v>41</v>
      </c>
      <c r="I13" s="112"/>
      <c r="J13" s="106"/>
      <c r="K13" s="106"/>
      <c r="L13" s="106"/>
      <c r="M13" s="113"/>
      <c r="N13" s="113"/>
      <c r="O13" s="114"/>
      <c r="P13" s="113"/>
      <c r="Q13" s="106"/>
      <c r="R13" s="106"/>
      <c r="S13" s="106"/>
      <c r="T13" s="106"/>
      <c r="U13" s="113"/>
      <c r="V13" s="115"/>
      <c r="W13" s="113"/>
      <c r="X13" s="106"/>
      <c r="Y13" s="106"/>
      <c r="Z13" s="106"/>
      <c r="AA13" s="106"/>
      <c r="AB13" s="106"/>
      <c r="AC13" s="115"/>
      <c r="AD13" s="106"/>
      <c r="AE13" s="113"/>
      <c r="AF13" s="113"/>
      <c r="AG13" s="106"/>
      <c r="AH13" s="106"/>
      <c r="AI13" s="106"/>
      <c r="AJ13" s="115"/>
      <c r="AK13" s="113"/>
      <c r="AL13" s="113"/>
      <c r="AM13" s="113"/>
      <c r="AN13" s="113"/>
      <c r="AO13" s="113"/>
      <c r="AP13" s="113"/>
      <c r="AQ13" s="115"/>
      <c r="AR13" s="113"/>
      <c r="AS13" s="113"/>
      <c r="AT13" s="113"/>
      <c r="AU13" s="113"/>
      <c r="AV13" s="113"/>
      <c r="AW13" s="113"/>
      <c r="AX13" s="115"/>
      <c r="AY13" s="113"/>
      <c r="AZ13" s="113"/>
      <c r="BA13" s="113"/>
      <c r="BB13" s="113"/>
      <c r="BC13" s="113"/>
      <c r="BD13" s="113"/>
      <c r="BE13" s="115"/>
      <c r="BF13" s="106"/>
      <c r="BG13" s="106"/>
      <c r="BH13" s="113"/>
      <c r="BI13" s="106"/>
      <c r="BJ13" s="106"/>
      <c r="BK13" s="113"/>
      <c r="BL13" s="115"/>
    </row>
    <row r="14" spans="1:64" s="116" customFormat="1" ht="30" customHeight="1" thickBot="1">
      <c r="A14" s="95"/>
      <c r="B14" s="117" t="s">
        <v>17</v>
      </c>
      <c r="C14" s="118"/>
      <c r="D14" s="119">
        <v>0</v>
      </c>
      <c r="E14" s="120">
        <f>$E$3+45</f>
        <v>46341</v>
      </c>
      <c r="F14" s="120">
        <f>$E$3+80</f>
        <v>46376</v>
      </c>
      <c r="G14" s="111"/>
      <c r="H14" s="111">
        <f t="shared" si="5"/>
        <v>36</v>
      </c>
      <c r="I14" s="112"/>
      <c r="J14" s="106"/>
      <c r="K14" s="106"/>
      <c r="L14" s="106"/>
      <c r="M14" s="113"/>
      <c r="N14" s="113"/>
      <c r="O14" s="114"/>
      <c r="P14" s="113"/>
      <c r="Q14" s="106"/>
      <c r="R14" s="106"/>
      <c r="S14" s="106"/>
      <c r="T14" s="106"/>
      <c r="U14" s="113"/>
      <c r="V14" s="115"/>
      <c r="W14" s="113"/>
      <c r="X14" s="106"/>
      <c r="Y14" s="106"/>
      <c r="Z14" s="106"/>
      <c r="AA14" s="106"/>
      <c r="AB14" s="106"/>
      <c r="AC14" s="115"/>
      <c r="AD14" s="106"/>
      <c r="AE14" s="113"/>
      <c r="AF14" s="113"/>
      <c r="AG14" s="106"/>
      <c r="AH14" s="106"/>
      <c r="AI14" s="106"/>
      <c r="AJ14" s="115"/>
      <c r="AK14" s="113"/>
      <c r="AL14" s="113"/>
      <c r="AM14" s="113"/>
      <c r="AN14" s="113"/>
      <c r="AO14" s="113"/>
      <c r="AP14" s="113"/>
      <c r="AQ14" s="115"/>
      <c r="AR14" s="113"/>
      <c r="AS14" s="113"/>
      <c r="AT14" s="113"/>
      <c r="AU14" s="113"/>
      <c r="AV14" s="113"/>
      <c r="AW14" s="113"/>
      <c r="AX14" s="115"/>
      <c r="AY14" s="113"/>
      <c r="AZ14" s="113"/>
      <c r="BA14" s="113"/>
      <c r="BB14" s="113"/>
      <c r="BC14" s="113"/>
      <c r="BD14" s="113"/>
      <c r="BE14" s="115"/>
      <c r="BF14" s="106"/>
      <c r="BG14" s="106"/>
      <c r="BH14" s="113"/>
      <c r="BI14" s="106"/>
      <c r="BJ14" s="106"/>
      <c r="BK14" s="113"/>
      <c r="BL14" s="115"/>
    </row>
    <row r="15" spans="1:64" s="116" customFormat="1" ht="30" customHeight="1" thickBot="1">
      <c r="A15" s="95"/>
      <c r="B15" s="117" t="s">
        <v>19</v>
      </c>
      <c r="C15" s="118"/>
      <c r="D15" s="119">
        <v>0</v>
      </c>
      <c r="E15" s="120">
        <f>$E$3+70</f>
        <v>46366</v>
      </c>
      <c r="F15" s="120">
        <f>$E$3+100</f>
        <v>46396</v>
      </c>
      <c r="G15" s="111"/>
      <c r="H15" s="111">
        <f t="shared" si="5"/>
        <v>31</v>
      </c>
      <c r="I15" s="112"/>
      <c r="J15" s="106"/>
      <c r="K15" s="106"/>
      <c r="L15" s="106"/>
      <c r="M15" s="113"/>
      <c r="N15" s="113"/>
      <c r="O15" s="114"/>
      <c r="P15" s="113"/>
      <c r="Q15" s="106"/>
      <c r="R15" s="106"/>
      <c r="S15" s="106"/>
      <c r="T15" s="106"/>
      <c r="U15" s="113"/>
      <c r="V15" s="115"/>
      <c r="W15" s="113"/>
      <c r="X15" s="106"/>
      <c r="Y15" s="106"/>
      <c r="Z15" s="106"/>
      <c r="AA15" s="106"/>
      <c r="AB15" s="106"/>
      <c r="AC15" s="115"/>
      <c r="AD15" s="106"/>
      <c r="AE15" s="113"/>
      <c r="AF15" s="113"/>
      <c r="AG15" s="106"/>
      <c r="AH15" s="106"/>
      <c r="AI15" s="106"/>
      <c r="AJ15" s="115"/>
      <c r="AK15" s="113"/>
      <c r="AL15" s="113"/>
      <c r="AM15" s="113"/>
      <c r="AN15" s="113"/>
      <c r="AO15" s="113"/>
      <c r="AP15" s="113"/>
      <c r="AQ15" s="115"/>
      <c r="AR15" s="113"/>
      <c r="AS15" s="113"/>
      <c r="AT15" s="113"/>
      <c r="AU15" s="113"/>
      <c r="AV15" s="113"/>
      <c r="AW15" s="113"/>
      <c r="AX15" s="115"/>
      <c r="AY15" s="113"/>
      <c r="AZ15" s="113"/>
      <c r="BA15" s="113"/>
      <c r="BB15" s="113"/>
      <c r="BC15" s="113"/>
      <c r="BD15" s="113"/>
      <c r="BE15" s="115"/>
      <c r="BF15" s="106"/>
      <c r="BG15" s="106"/>
      <c r="BH15" s="113"/>
      <c r="BI15" s="106"/>
      <c r="BJ15" s="106"/>
      <c r="BK15" s="113"/>
      <c r="BL15" s="115"/>
    </row>
    <row r="16" spans="1:64" s="116" customFormat="1" ht="30" customHeight="1" thickBot="1">
      <c r="A16" s="95"/>
      <c r="B16" s="117" t="s">
        <v>21</v>
      </c>
      <c r="C16" s="118"/>
      <c r="D16" s="119">
        <v>0</v>
      </c>
      <c r="E16" s="120">
        <f>$E$3+95</f>
        <v>46391</v>
      </c>
      <c r="F16" s="120">
        <f>$E$3+110</f>
        <v>46406</v>
      </c>
      <c r="G16" s="111"/>
      <c r="H16" s="111">
        <f t="shared" si="5"/>
        <v>16</v>
      </c>
      <c r="I16" s="112"/>
      <c r="J16" s="106"/>
      <c r="K16" s="106"/>
      <c r="L16" s="106"/>
      <c r="M16" s="113"/>
      <c r="N16" s="113"/>
      <c r="O16" s="114"/>
      <c r="P16" s="113"/>
      <c r="Q16" s="106"/>
      <c r="R16" s="106"/>
      <c r="S16" s="106"/>
      <c r="T16" s="106"/>
      <c r="U16" s="113"/>
      <c r="V16" s="115"/>
      <c r="W16" s="113"/>
      <c r="X16" s="106"/>
      <c r="Y16" s="106"/>
      <c r="Z16" s="106"/>
      <c r="AA16" s="106"/>
      <c r="AB16" s="106"/>
      <c r="AC16" s="115"/>
      <c r="AD16" s="106"/>
      <c r="AE16" s="113"/>
      <c r="AF16" s="113"/>
      <c r="AG16" s="106"/>
      <c r="AH16" s="106"/>
      <c r="AI16" s="106"/>
      <c r="AJ16" s="115"/>
      <c r="AK16" s="113"/>
      <c r="AL16" s="113"/>
      <c r="AM16" s="113"/>
      <c r="AN16" s="113"/>
      <c r="AO16" s="113"/>
      <c r="AP16" s="113"/>
      <c r="AQ16" s="115"/>
      <c r="AR16" s="113"/>
      <c r="AS16" s="113"/>
      <c r="AT16" s="113"/>
      <c r="AU16" s="113"/>
      <c r="AV16" s="113"/>
      <c r="AW16" s="113"/>
      <c r="AX16" s="115"/>
      <c r="AY16" s="113"/>
      <c r="AZ16" s="113"/>
      <c r="BA16" s="113"/>
      <c r="BB16" s="113"/>
      <c r="BC16" s="113"/>
      <c r="BD16" s="113"/>
      <c r="BE16" s="115"/>
      <c r="BF16" s="106"/>
      <c r="BG16" s="106"/>
      <c r="BH16" s="113"/>
      <c r="BI16" s="106"/>
      <c r="BJ16" s="106"/>
      <c r="BK16" s="113"/>
      <c r="BL16" s="115"/>
    </row>
    <row r="17" spans="1:64" s="116" customFormat="1" ht="30" customHeight="1" thickBot="1">
      <c r="A17" s="95"/>
      <c r="B17" s="117" t="s">
        <v>23</v>
      </c>
      <c r="C17" s="118"/>
      <c r="D17" s="119">
        <v>0</v>
      </c>
      <c r="E17" s="120">
        <f>$E$3+55</f>
        <v>46351</v>
      </c>
      <c r="F17" s="120">
        <f>$E$3+110</f>
        <v>46406</v>
      </c>
      <c r="G17" s="111"/>
      <c r="H17" s="111">
        <f t="shared" si="5"/>
        <v>56</v>
      </c>
      <c r="I17" s="112"/>
      <c r="J17" s="106"/>
      <c r="K17" s="106"/>
      <c r="L17" s="106"/>
      <c r="M17" s="113"/>
      <c r="N17" s="113"/>
      <c r="O17" s="114"/>
      <c r="P17" s="113"/>
      <c r="Q17" s="106"/>
      <c r="R17" s="106"/>
      <c r="S17" s="106"/>
      <c r="T17" s="106"/>
      <c r="U17" s="113"/>
      <c r="V17" s="115"/>
      <c r="W17" s="113"/>
      <c r="X17" s="106"/>
      <c r="Y17" s="106"/>
      <c r="Z17" s="106"/>
      <c r="AA17" s="106"/>
      <c r="AB17" s="106"/>
      <c r="AC17" s="115"/>
      <c r="AD17" s="106"/>
      <c r="AE17" s="113"/>
      <c r="AF17" s="113"/>
      <c r="AG17" s="106"/>
      <c r="AH17" s="106"/>
      <c r="AI17" s="106"/>
      <c r="AJ17" s="115"/>
      <c r="AK17" s="113"/>
      <c r="AL17" s="113"/>
      <c r="AM17" s="113"/>
      <c r="AN17" s="113"/>
      <c r="AO17" s="113"/>
      <c r="AP17" s="113"/>
      <c r="AQ17" s="115"/>
      <c r="AR17" s="113"/>
      <c r="AS17" s="113"/>
      <c r="AT17" s="113"/>
      <c r="AU17" s="113"/>
      <c r="AV17" s="113"/>
      <c r="AW17" s="113"/>
      <c r="AX17" s="115"/>
      <c r="AY17" s="113"/>
      <c r="AZ17" s="113"/>
      <c r="BA17" s="113"/>
      <c r="BB17" s="113"/>
      <c r="BC17" s="113"/>
      <c r="BD17" s="113"/>
      <c r="BE17" s="115"/>
      <c r="BF17" s="106"/>
      <c r="BG17" s="106"/>
      <c r="BH17" s="113"/>
      <c r="BI17" s="106"/>
      <c r="BJ17" s="106"/>
      <c r="BK17" s="113"/>
      <c r="BL17" s="115"/>
    </row>
    <row r="18" spans="1:64" s="116" customFormat="1" ht="30" customHeight="1" thickBot="1">
      <c r="A18" s="95"/>
      <c r="B18" s="117" t="s">
        <v>25</v>
      </c>
      <c r="C18" s="118"/>
      <c r="D18" s="119">
        <v>0</v>
      </c>
      <c r="E18" s="120">
        <f>$E$3+115</f>
        <v>46411</v>
      </c>
      <c r="F18" s="120">
        <f>$E$3+135</f>
        <v>46431</v>
      </c>
      <c r="G18" s="111"/>
      <c r="H18" s="111">
        <f t="shared" si="5"/>
        <v>21</v>
      </c>
      <c r="I18" s="112"/>
      <c r="J18" s="106"/>
      <c r="K18" s="106"/>
      <c r="L18" s="106"/>
      <c r="M18" s="113"/>
      <c r="N18" s="113"/>
      <c r="O18" s="114"/>
      <c r="P18" s="113"/>
      <c r="Q18" s="106"/>
      <c r="R18" s="106"/>
      <c r="S18" s="106"/>
      <c r="T18" s="106"/>
      <c r="U18" s="113"/>
      <c r="V18" s="115"/>
      <c r="W18" s="113"/>
      <c r="X18" s="106"/>
      <c r="Y18" s="106"/>
      <c r="Z18" s="106"/>
      <c r="AA18" s="106"/>
      <c r="AB18" s="106"/>
      <c r="AC18" s="115"/>
      <c r="AD18" s="106"/>
      <c r="AE18" s="113"/>
      <c r="AF18" s="113"/>
      <c r="AG18" s="106"/>
      <c r="AH18" s="106"/>
      <c r="AI18" s="106"/>
      <c r="AJ18" s="115"/>
      <c r="AK18" s="113"/>
      <c r="AL18" s="113"/>
      <c r="AM18" s="113"/>
      <c r="AN18" s="113"/>
      <c r="AO18" s="113"/>
      <c r="AP18" s="113"/>
      <c r="AQ18" s="115"/>
      <c r="AR18" s="113"/>
      <c r="AS18" s="113"/>
      <c r="AT18" s="113"/>
      <c r="AU18" s="113"/>
      <c r="AV18" s="113"/>
      <c r="AW18" s="113"/>
      <c r="AX18" s="115"/>
      <c r="AY18" s="113"/>
      <c r="AZ18" s="113"/>
      <c r="BA18" s="113"/>
      <c r="BB18" s="113"/>
      <c r="BC18" s="113"/>
      <c r="BD18" s="113"/>
      <c r="BE18" s="115"/>
      <c r="BF18" s="106"/>
      <c r="BG18" s="106"/>
      <c r="BH18" s="113"/>
      <c r="BI18" s="106"/>
      <c r="BJ18" s="106"/>
      <c r="BK18" s="113"/>
      <c r="BL18" s="115"/>
    </row>
    <row r="19" spans="1:64" s="116" customFormat="1" ht="30" customHeight="1" thickBot="1">
      <c r="A19" s="95"/>
      <c r="B19" s="117" t="s">
        <v>27</v>
      </c>
      <c r="C19" s="118"/>
      <c r="D19" s="119">
        <v>0</v>
      </c>
      <c r="E19" s="120">
        <f>$E$3+90</f>
        <v>46386</v>
      </c>
      <c r="F19" s="120">
        <f>$E$3+120</f>
        <v>46416</v>
      </c>
      <c r="G19" s="111"/>
      <c r="H19" s="111">
        <f t="shared" si="5"/>
        <v>31</v>
      </c>
      <c r="I19" s="112"/>
      <c r="J19" s="106"/>
      <c r="K19" s="106"/>
      <c r="L19" s="106"/>
      <c r="M19" s="113"/>
      <c r="N19" s="113"/>
      <c r="O19" s="114"/>
      <c r="P19" s="113"/>
      <c r="Q19" s="106"/>
      <c r="R19" s="106"/>
      <c r="S19" s="106"/>
      <c r="T19" s="106"/>
      <c r="U19" s="113"/>
      <c r="V19" s="115"/>
      <c r="W19" s="113"/>
      <c r="X19" s="106"/>
      <c r="Y19" s="106"/>
      <c r="Z19" s="106"/>
      <c r="AA19" s="106"/>
      <c r="AB19" s="106"/>
      <c r="AC19" s="115"/>
      <c r="AD19" s="106"/>
      <c r="AE19" s="113"/>
      <c r="AF19" s="113"/>
      <c r="AG19" s="106"/>
      <c r="AH19" s="106"/>
      <c r="AI19" s="106"/>
      <c r="AJ19" s="115"/>
      <c r="AK19" s="113"/>
      <c r="AL19" s="113"/>
      <c r="AM19" s="113"/>
      <c r="AN19" s="113"/>
      <c r="AO19" s="113"/>
      <c r="AP19" s="113"/>
      <c r="AQ19" s="115"/>
      <c r="AR19" s="113"/>
      <c r="AS19" s="113"/>
      <c r="AT19" s="113"/>
      <c r="AU19" s="113"/>
      <c r="AV19" s="113"/>
      <c r="AW19" s="113"/>
      <c r="AX19" s="115"/>
      <c r="AY19" s="113"/>
      <c r="AZ19" s="113"/>
      <c r="BA19" s="113"/>
      <c r="BB19" s="113"/>
      <c r="BC19" s="113"/>
      <c r="BD19" s="113"/>
      <c r="BE19" s="115"/>
      <c r="BF19" s="106"/>
      <c r="BG19" s="106"/>
      <c r="BH19" s="113"/>
      <c r="BI19" s="106"/>
      <c r="BJ19" s="106"/>
      <c r="BK19" s="113"/>
      <c r="BL19" s="115"/>
    </row>
    <row r="20" spans="1:64" s="116" customFormat="1" ht="30" customHeight="1" thickBot="1">
      <c r="A20" s="95"/>
      <c r="B20" s="117" t="s">
        <v>29</v>
      </c>
      <c r="C20" s="118"/>
      <c r="D20" s="119">
        <v>0</v>
      </c>
      <c r="E20" s="120">
        <f>$E$3+120</f>
        <v>46416</v>
      </c>
      <c r="F20" s="120">
        <f>EDATE($E$3,5)-10</f>
        <v>46437</v>
      </c>
      <c r="G20" s="111"/>
      <c r="H20" s="111">
        <f t="shared" si="5"/>
        <v>22</v>
      </c>
      <c r="I20" s="112"/>
      <c r="J20" s="106"/>
      <c r="K20" s="106"/>
      <c r="L20" s="106"/>
      <c r="M20" s="113"/>
      <c r="N20" s="113"/>
      <c r="O20" s="114"/>
      <c r="P20" s="113"/>
      <c r="Q20" s="106"/>
      <c r="R20" s="106"/>
      <c r="S20" s="106"/>
      <c r="T20" s="106"/>
      <c r="U20" s="113"/>
      <c r="V20" s="115"/>
      <c r="W20" s="113"/>
      <c r="X20" s="106"/>
      <c r="Y20" s="106"/>
      <c r="Z20" s="106"/>
      <c r="AA20" s="106"/>
      <c r="AB20" s="106"/>
      <c r="AC20" s="115"/>
      <c r="AD20" s="106"/>
      <c r="AE20" s="113"/>
      <c r="AF20" s="113"/>
      <c r="AG20" s="106"/>
      <c r="AH20" s="106"/>
      <c r="AI20" s="106"/>
      <c r="AJ20" s="115"/>
      <c r="AK20" s="113"/>
      <c r="AL20" s="113"/>
      <c r="AM20" s="113"/>
      <c r="AN20" s="113"/>
      <c r="AO20" s="113"/>
      <c r="AP20" s="113"/>
      <c r="AQ20" s="115"/>
      <c r="AR20" s="113"/>
      <c r="AS20" s="113"/>
      <c r="AT20" s="113"/>
      <c r="AU20" s="113"/>
      <c r="AV20" s="113"/>
      <c r="AW20" s="113"/>
      <c r="AX20" s="115"/>
      <c r="AY20" s="113"/>
      <c r="AZ20" s="113"/>
      <c r="BA20" s="113"/>
      <c r="BB20" s="113"/>
      <c r="BC20" s="113"/>
      <c r="BD20" s="113"/>
      <c r="BE20" s="115"/>
      <c r="BF20" s="106"/>
      <c r="BG20" s="106"/>
      <c r="BH20" s="113"/>
      <c r="BI20" s="106"/>
      <c r="BJ20" s="106"/>
      <c r="BK20" s="113"/>
      <c r="BL20" s="115"/>
    </row>
    <row r="21" spans="1:64" s="116" customFormat="1" ht="30" customHeight="1" thickBot="1">
      <c r="A21" s="95"/>
      <c r="B21" s="117" t="s">
        <v>31</v>
      </c>
      <c r="C21" s="118"/>
      <c r="D21" s="119">
        <v>0</v>
      </c>
      <c r="E21" s="120">
        <f>EDATE($E$3,5)-9</f>
        <v>46438</v>
      </c>
      <c r="F21" s="120">
        <f>EDATE($E$3,5)-1</f>
        <v>46446</v>
      </c>
      <c r="G21" s="111"/>
      <c r="H21" s="111">
        <f t="shared" si="5"/>
        <v>9</v>
      </c>
      <c r="I21" s="112"/>
      <c r="J21" s="106"/>
      <c r="K21" s="106"/>
      <c r="L21" s="106"/>
      <c r="M21" s="113"/>
      <c r="N21" s="113"/>
      <c r="O21" s="114"/>
      <c r="P21" s="113"/>
      <c r="Q21" s="106"/>
      <c r="R21" s="106"/>
      <c r="S21" s="106"/>
      <c r="T21" s="106"/>
      <c r="U21" s="113"/>
      <c r="V21" s="115"/>
      <c r="W21" s="113"/>
      <c r="X21" s="106"/>
      <c r="Y21" s="106"/>
      <c r="Z21" s="106"/>
      <c r="AA21" s="106"/>
      <c r="AB21" s="106"/>
      <c r="AC21" s="115"/>
      <c r="AD21" s="106"/>
      <c r="AE21" s="113"/>
      <c r="AF21" s="113"/>
      <c r="AG21" s="106"/>
      <c r="AH21" s="106"/>
      <c r="AI21" s="106"/>
      <c r="AJ21" s="115"/>
      <c r="AK21" s="113"/>
      <c r="AL21" s="113"/>
      <c r="AM21" s="113"/>
      <c r="AN21" s="113"/>
      <c r="AO21" s="113"/>
      <c r="AP21" s="113"/>
      <c r="AQ21" s="115"/>
      <c r="AR21" s="113"/>
      <c r="AS21" s="113"/>
      <c r="AT21" s="113"/>
      <c r="AU21" s="113"/>
      <c r="AV21" s="113"/>
      <c r="AW21" s="113"/>
      <c r="AX21" s="115"/>
      <c r="AY21" s="113"/>
      <c r="AZ21" s="113"/>
      <c r="BA21" s="113"/>
      <c r="BB21" s="113"/>
      <c r="BC21" s="113"/>
      <c r="BD21" s="113"/>
      <c r="BE21" s="115"/>
      <c r="BF21" s="106"/>
      <c r="BG21" s="106"/>
      <c r="BH21" s="113"/>
      <c r="BI21" s="106"/>
      <c r="BJ21" s="106"/>
      <c r="BK21" s="113"/>
      <c r="BL21" s="115"/>
    </row>
    <row r="22" spans="1:64" s="116" customFormat="1" ht="30" customHeight="1" thickBot="1">
      <c r="A22" s="95"/>
      <c r="B22" s="123" t="s">
        <v>32</v>
      </c>
      <c r="C22" s="124"/>
      <c r="D22" s="125">
        <v>0</v>
      </c>
      <c r="E22" s="126">
        <f>MIN(E23:E32)</f>
        <v>46301</v>
      </c>
      <c r="F22" s="126">
        <f>MAX(F23:F32)</f>
        <v>46431</v>
      </c>
      <c r="G22" s="111"/>
      <c r="H22" s="111">
        <f t="shared" si="5"/>
        <v>131</v>
      </c>
      <c r="I22" s="112"/>
      <c r="J22" s="106"/>
      <c r="K22" s="106"/>
      <c r="L22" s="106"/>
      <c r="M22" s="113"/>
      <c r="N22" s="113"/>
      <c r="O22" s="114"/>
      <c r="P22" s="113"/>
      <c r="Q22" s="106"/>
      <c r="R22" s="106"/>
      <c r="S22" s="106"/>
      <c r="T22" s="106"/>
      <c r="U22" s="113"/>
      <c r="V22" s="115"/>
      <c r="W22" s="113"/>
      <c r="X22" s="106"/>
      <c r="Y22" s="106"/>
      <c r="Z22" s="106"/>
      <c r="AA22" s="106"/>
      <c r="AB22" s="106"/>
      <c r="AC22" s="115"/>
      <c r="AD22" s="106"/>
      <c r="AE22" s="113"/>
      <c r="AF22" s="113"/>
      <c r="AG22" s="106"/>
      <c r="AH22" s="106"/>
      <c r="AI22" s="106"/>
      <c r="AJ22" s="115"/>
      <c r="AK22" s="113"/>
      <c r="AL22" s="113"/>
      <c r="AM22" s="113"/>
      <c r="AN22" s="113"/>
      <c r="AO22" s="113"/>
      <c r="AP22" s="113"/>
      <c r="AQ22" s="115"/>
      <c r="AR22" s="113"/>
      <c r="AS22" s="113"/>
      <c r="AT22" s="113"/>
      <c r="AU22" s="113"/>
      <c r="AV22" s="113"/>
      <c r="AW22" s="113"/>
      <c r="AX22" s="115"/>
      <c r="AY22" s="113"/>
      <c r="AZ22" s="113"/>
      <c r="BA22" s="113"/>
      <c r="BB22" s="113"/>
      <c r="BC22" s="113"/>
      <c r="BD22" s="113"/>
      <c r="BE22" s="115"/>
      <c r="BF22" s="106"/>
      <c r="BG22" s="106"/>
      <c r="BH22" s="113"/>
      <c r="BI22" s="106"/>
      <c r="BJ22" s="106"/>
      <c r="BK22" s="113"/>
      <c r="BL22" s="115"/>
    </row>
    <row r="23" spans="1:64" s="116" customFormat="1" ht="30" customHeight="1" thickBot="1">
      <c r="A23" s="95"/>
      <c r="B23" s="117" t="s">
        <v>9</v>
      </c>
      <c r="C23" s="118"/>
      <c r="D23" s="119">
        <v>0</v>
      </c>
      <c r="E23" s="120">
        <f>$E$3+5</f>
        <v>46301</v>
      </c>
      <c r="F23" s="120">
        <f>$E$3+15</f>
        <v>46311</v>
      </c>
      <c r="G23" s="111"/>
      <c r="H23" s="111">
        <f t="shared" si="5"/>
        <v>11</v>
      </c>
      <c r="I23" s="112"/>
      <c r="J23" s="106"/>
      <c r="K23" s="106"/>
      <c r="L23" s="106"/>
      <c r="M23" s="113"/>
      <c r="N23" s="113"/>
      <c r="O23" s="114"/>
      <c r="P23" s="113"/>
      <c r="Q23" s="106"/>
      <c r="R23" s="106"/>
      <c r="S23" s="106"/>
      <c r="T23" s="106"/>
      <c r="U23" s="113"/>
      <c r="V23" s="115"/>
      <c r="W23" s="113"/>
      <c r="X23" s="106"/>
      <c r="Y23" s="106"/>
      <c r="Z23" s="106"/>
      <c r="AA23" s="106"/>
      <c r="AB23" s="106"/>
      <c r="AC23" s="115"/>
      <c r="AD23" s="106"/>
      <c r="AE23" s="113"/>
      <c r="AF23" s="113"/>
      <c r="AG23" s="106"/>
      <c r="AH23" s="106"/>
      <c r="AI23" s="106"/>
      <c r="AJ23" s="115"/>
      <c r="AK23" s="113"/>
      <c r="AL23" s="113"/>
      <c r="AM23" s="113"/>
      <c r="AN23" s="113"/>
      <c r="AO23" s="113"/>
      <c r="AP23" s="113"/>
      <c r="AQ23" s="115"/>
      <c r="AR23" s="113"/>
      <c r="AS23" s="113"/>
      <c r="AT23" s="113"/>
      <c r="AU23" s="113"/>
      <c r="AV23" s="113"/>
      <c r="AW23" s="113"/>
      <c r="AX23" s="115"/>
      <c r="AY23" s="113"/>
      <c r="AZ23" s="113"/>
      <c r="BA23" s="113"/>
      <c r="BB23" s="113"/>
      <c r="BC23" s="113"/>
      <c r="BD23" s="113"/>
      <c r="BE23" s="115"/>
      <c r="BF23" s="106"/>
      <c r="BG23" s="106"/>
      <c r="BH23" s="113"/>
      <c r="BI23" s="106"/>
      <c r="BJ23" s="106"/>
      <c r="BK23" s="113"/>
      <c r="BL23" s="115"/>
    </row>
    <row r="24" spans="1:64" s="116" customFormat="1" ht="30" customHeight="1" thickBot="1">
      <c r="A24" s="95"/>
      <c r="B24" s="117" t="s">
        <v>33</v>
      </c>
      <c r="C24" s="118"/>
      <c r="D24" s="119">
        <v>0</v>
      </c>
      <c r="E24" s="120">
        <f>$E$3+12</f>
        <v>46308</v>
      </c>
      <c r="F24" s="120">
        <f>$E$3+30</f>
        <v>46326</v>
      </c>
      <c r="G24" s="111"/>
      <c r="H24" s="111">
        <f t="shared" si="5"/>
        <v>19</v>
      </c>
      <c r="I24" s="112"/>
      <c r="J24" s="106"/>
      <c r="K24" s="106"/>
      <c r="L24" s="106"/>
      <c r="M24" s="113"/>
      <c r="N24" s="113"/>
      <c r="O24" s="114"/>
      <c r="P24" s="113"/>
      <c r="Q24" s="106"/>
      <c r="R24" s="106"/>
      <c r="S24" s="106"/>
      <c r="T24" s="106"/>
      <c r="U24" s="113"/>
      <c r="V24" s="115"/>
      <c r="W24" s="113"/>
      <c r="X24" s="106"/>
      <c r="Y24" s="106"/>
      <c r="Z24" s="106"/>
      <c r="AA24" s="106"/>
      <c r="AB24" s="106"/>
      <c r="AC24" s="115"/>
      <c r="AD24" s="106"/>
      <c r="AE24" s="113"/>
      <c r="AF24" s="113"/>
      <c r="AG24" s="106"/>
      <c r="AH24" s="106"/>
      <c r="AI24" s="106"/>
      <c r="AJ24" s="115"/>
      <c r="AK24" s="113"/>
      <c r="AL24" s="113"/>
      <c r="AM24" s="113"/>
      <c r="AN24" s="113"/>
      <c r="AO24" s="113"/>
      <c r="AP24" s="113"/>
      <c r="AQ24" s="115"/>
      <c r="AR24" s="113"/>
      <c r="AS24" s="113"/>
      <c r="AT24" s="113"/>
      <c r="AU24" s="113"/>
      <c r="AV24" s="113"/>
      <c r="AW24" s="113"/>
      <c r="AX24" s="115"/>
      <c r="AY24" s="113"/>
      <c r="AZ24" s="113"/>
      <c r="BA24" s="113"/>
      <c r="BB24" s="113"/>
      <c r="BC24" s="113"/>
      <c r="BD24" s="113"/>
      <c r="BE24" s="115"/>
      <c r="BF24" s="106"/>
      <c r="BG24" s="106"/>
      <c r="BH24" s="113"/>
      <c r="BI24" s="106"/>
      <c r="BJ24" s="106"/>
      <c r="BK24" s="113"/>
      <c r="BL24" s="115"/>
    </row>
    <row r="25" spans="1:64" s="116" customFormat="1" ht="30" customHeight="1" thickBot="1">
      <c r="A25" s="95"/>
      <c r="B25" s="117" t="s">
        <v>34</v>
      </c>
      <c r="C25" s="118"/>
      <c r="D25" s="119">
        <v>0</v>
      </c>
      <c r="E25" s="120">
        <f>$E$3+25</f>
        <v>46321</v>
      </c>
      <c r="F25" s="120">
        <f>$E$3+45</f>
        <v>46341</v>
      </c>
      <c r="G25" s="111"/>
      <c r="H25" s="111">
        <f t="shared" si="5"/>
        <v>21</v>
      </c>
      <c r="I25" s="112"/>
      <c r="J25" s="106"/>
      <c r="K25" s="106"/>
      <c r="L25" s="106"/>
      <c r="M25" s="113"/>
      <c r="N25" s="113"/>
      <c r="O25" s="114"/>
      <c r="P25" s="113"/>
      <c r="Q25" s="106"/>
      <c r="R25" s="106"/>
      <c r="S25" s="106"/>
      <c r="T25" s="106"/>
      <c r="U25" s="113"/>
      <c r="V25" s="115"/>
      <c r="W25" s="113"/>
      <c r="X25" s="106"/>
      <c r="Y25" s="106"/>
      <c r="Z25" s="106"/>
      <c r="AA25" s="106"/>
      <c r="AB25" s="106"/>
      <c r="AC25" s="115"/>
      <c r="AD25" s="106"/>
      <c r="AE25" s="113"/>
      <c r="AF25" s="113"/>
      <c r="AG25" s="106"/>
      <c r="AH25" s="106"/>
      <c r="AI25" s="106"/>
      <c r="AJ25" s="115"/>
      <c r="AK25" s="113"/>
      <c r="AL25" s="113"/>
      <c r="AM25" s="113"/>
      <c r="AN25" s="113"/>
      <c r="AO25" s="113"/>
      <c r="AP25" s="113"/>
      <c r="AQ25" s="115"/>
      <c r="AR25" s="113"/>
      <c r="AS25" s="113"/>
      <c r="AT25" s="113"/>
      <c r="AU25" s="113"/>
      <c r="AV25" s="113"/>
      <c r="AW25" s="113"/>
      <c r="AX25" s="115"/>
      <c r="AY25" s="113"/>
      <c r="AZ25" s="113"/>
      <c r="BA25" s="113"/>
      <c r="BB25" s="113"/>
      <c r="BC25" s="113"/>
      <c r="BD25" s="113"/>
      <c r="BE25" s="115"/>
      <c r="BF25" s="106"/>
      <c r="BG25" s="106"/>
      <c r="BH25" s="113"/>
      <c r="BI25" s="106"/>
      <c r="BJ25" s="106"/>
      <c r="BK25" s="113"/>
      <c r="BL25" s="115"/>
    </row>
    <row r="26" spans="1:64" s="116" customFormat="1" ht="30" customHeight="1" thickBot="1">
      <c r="A26" s="95"/>
      <c r="B26" s="117" t="s">
        <v>17</v>
      </c>
      <c r="C26" s="118"/>
      <c r="D26" s="119">
        <v>0</v>
      </c>
      <c r="E26" s="120">
        <f>$E$3+40</f>
        <v>46336</v>
      </c>
      <c r="F26" s="120">
        <f>$E$3+65</f>
        <v>46361</v>
      </c>
      <c r="G26" s="111"/>
      <c r="H26" s="111">
        <f t="shared" si="5"/>
        <v>26</v>
      </c>
      <c r="I26" s="112"/>
      <c r="J26" s="106"/>
      <c r="K26" s="106"/>
      <c r="L26" s="106"/>
      <c r="M26" s="113"/>
      <c r="N26" s="113"/>
      <c r="O26" s="114"/>
      <c r="P26" s="113"/>
      <c r="Q26" s="106"/>
      <c r="R26" s="106"/>
      <c r="S26" s="106"/>
      <c r="T26" s="106"/>
      <c r="U26" s="113"/>
      <c r="V26" s="115"/>
      <c r="W26" s="113"/>
      <c r="X26" s="106"/>
      <c r="Y26" s="106"/>
      <c r="Z26" s="106"/>
      <c r="AA26" s="106"/>
      <c r="AB26" s="106"/>
      <c r="AC26" s="115"/>
      <c r="AD26" s="106"/>
      <c r="AE26" s="113"/>
      <c r="AF26" s="113"/>
      <c r="AG26" s="106"/>
      <c r="AH26" s="106"/>
      <c r="AI26" s="106"/>
      <c r="AJ26" s="115"/>
      <c r="AK26" s="113"/>
      <c r="AL26" s="113"/>
      <c r="AM26" s="113"/>
      <c r="AN26" s="113"/>
      <c r="AO26" s="113"/>
      <c r="AP26" s="113"/>
      <c r="AQ26" s="115"/>
      <c r="AR26" s="113"/>
      <c r="AS26" s="113"/>
      <c r="AT26" s="113"/>
      <c r="AU26" s="113"/>
      <c r="AV26" s="113"/>
      <c r="AW26" s="113"/>
      <c r="AX26" s="115"/>
      <c r="AY26" s="113"/>
      <c r="AZ26" s="113"/>
      <c r="BA26" s="113"/>
      <c r="BB26" s="113"/>
      <c r="BC26" s="113"/>
      <c r="BD26" s="113"/>
      <c r="BE26" s="115"/>
      <c r="BF26" s="106"/>
      <c r="BG26" s="106"/>
      <c r="BH26" s="113"/>
      <c r="BI26" s="106"/>
      <c r="BJ26" s="106"/>
      <c r="BK26" s="113"/>
      <c r="BL26" s="115"/>
    </row>
    <row r="27" spans="1:64" s="116" customFormat="1" ht="30" customHeight="1" thickBot="1">
      <c r="A27" s="95"/>
      <c r="B27" s="117" t="s">
        <v>23</v>
      </c>
      <c r="C27" s="118"/>
      <c r="D27" s="119">
        <v>0</v>
      </c>
      <c r="E27" s="120">
        <f>$E$3+55</f>
        <v>46351</v>
      </c>
      <c r="F27" s="120">
        <f>$E$3+95</f>
        <v>46391</v>
      </c>
      <c r="G27" s="111"/>
      <c r="H27" s="111">
        <f t="shared" si="5"/>
        <v>41</v>
      </c>
      <c r="I27" s="112"/>
      <c r="J27" s="106"/>
      <c r="K27" s="106"/>
      <c r="L27" s="106"/>
      <c r="M27" s="113"/>
      <c r="N27" s="113"/>
      <c r="O27" s="114"/>
      <c r="P27" s="113"/>
      <c r="Q27" s="106"/>
      <c r="R27" s="106"/>
      <c r="S27" s="106"/>
      <c r="T27" s="106"/>
      <c r="U27" s="113"/>
      <c r="V27" s="115"/>
      <c r="W27" s="113"/>
      <c r="X27" s="106"/>
      <c r="Y27" s="106"/>
      <c r="Z27" s="106"/>
      <c r="AA27" s="106"/>
      <c r="AB27" s="106"/>
      <c r="AC27" s="115"/>
      <c r="AD27" s="106"/>
      <c r="AE27" s="113"/>
      <c r="AF27" s="113"/>
      <c r="AG27" s="106"/>
      <c r="AH27" s="106"/>
      <c r="AI27" s="106"/>
      <c r="AJ27" s="115"/>
      <c r="AK27" s="113"/>
      <c r="AL27" s="113"/>
      <c r="AM27" s="113"/>
      <c r="AN27" s="113"/>
      <c r="AO27" s="113"/>
      <c r="AP27" s="113"/>
      <c r="AQ27" s="115"/>
      <c r="AR27" s="113"/>
      <c r="AS27" s="113"/>
      <c r="AT27" s="113"/>
      <c r="AU27" s="113"/>
      <c r="AV27" s="113"/>
      <c r="AW27" s="113"/>
      <c r="AX27" s="115"/>
      <c r="AY27" s="113"/>
      <c r="AZ27" s="113"/>
      <c r="BA27" s="113"/>
      <c r="BB27" s="113"/>
      <c r="BC27" s="113"/>
      <c r="BD27" s="113"/>
      <c r="BE27" s="115"/>
      <c r="BF27" s="106"/>
      <c r="BG27" s="106"/>
      <c r="BH27" s="113"/>
      <c r="BI27" s="106"/>
      <c r="BJ27" s="106"/>
      <c r="BK27" s="113"/>
      <c r="BL27" s="115"/>
    </row>
    <row r="28" spans="1:64" s="116" customFormat="1" ht="30" customHeight="1" thickBot="1">
      <c r="A28" s="95"/>
      <c r="B28" s="117" t="s">
        <v>36</v>
      </c>
      <c r="C28" s="118"/>
      <c r="D28" s="119">
        <v>0</v>
      </c>
      <c r="E28" s="120">
        <f>$E$3+45</f>
        <v>46341</v>
      </c>
      <c r="F28" s="120">
        <f>$E$3+85</f>
        <v>46381</v>
      </c>
      <c r="G28" s="111"/>
      <c r="H28" s="111">
        <f t="shared" si="5"/>
        <v>41</v>
      </c>
      <c r="I28" s="112"/>
      <c r="J28" s="106"/>
      <c r="K28" s="106"/>
      <c r="L28" s="106"/>
      <c r="M28" s="113"/>
      <c r="N28" s="113"/>
      <c r="O28" s="114"/>
      <c r="P28" s="113"/>
      <c r="Q28" s="106"/>
      <c r="R28" s="106"/>
      <c r="S28" s="106"/>
      <c r="T28" s="106"/>
      <c r="U28" s="113"/>
      <c r="V28" s="115"/>
      <c r="W28" s="113"/>
      <c r="X28" s="106"/>
      <c r="Y28" s="106"/>
      <c r="Z28" s="106"/>
      <c r="AA28" s="106"/>
      <c r="AB28" s="106"/>
      <c r="AC28" s="115"/>
      <c r="AD28" s="106"/>
      <c r="AE28" s="113"/>
      <c r="AF28" s="113"/>
      <c r="AG28" s="106"/>
      <c r="AH28" s="106"/>
      <c r="AI28" s="106"/>
      <c r="AJ28" s="115"/>
      <c r="AK28" s="113"/>
      <c r="AL28" s="113"/>
      <c r="AM28" s="113"/>
      <c r="AN28" s="113"/>
      <c r="AO28" s="113"/>
      <c r="AP28" s="113"/>
      <c r="AQ28" s="115"/>
      <c r="AR28" s="113"/>
      <c r="AS28" s="113"/>
      <c r="AT28" s="113"/>
      <c r="AU28" s="113"/>
      <c r="AV28" s="113"/>
      <c r="AW28" s="113"/>
      <c r="AX28" s="115"/>
      <c r="AY28" s="113"/>
      <c r="AZ28" s="113"/>
      <c r="BA28" s="113"/>
      <c r="BB28" s="113"/>
      <c r="BC28" s="113"/>
      <c r="BD28" s="113"/>
      <c r="BE28" s="115"/>
      <c r="BF28" s="106"/>
      <c r="BG28" s="106"/>
      <c r="BH28" s="113"/>
      <c r="BI28" s="106"/>
      <c r="BJ28" s="106"/>
      <c r="BK28" s="113"/>
      <c r="BL28" s="115"/>
    </row>
    <row r="29" spans="1:64" s="116" customFormat="1" ht="30" customHeight="1" thickBot="1">
      <c r="A29" s="95"/>
      <c r="B29" s="117" t="s">
        <v>38</v>
      </c>
      <c r="C29" s="118"/>
      <c r="D29" s="119">
        <v>0</v>
      </c>
      <c r="E29" s="120">
        <f>$E$3+50</f>
        <v>46346</v>
      </c>
      <c r="F29" s="120">
        <f>$E$3+110</f>
        <v>46406</v>
      </c>
      <c r="G29" s="111"/>
      <c r="H29" s="111">
        <f t="shared" si="5"/>
        <v>61</v>
      </c>
      <c r="I29" s="112"/>
      <c r="J29" s="106"/>
      <c r="K29" s="106"/>
      <c r="L29" s="106"/>
      <c r="M29" s="113"/>
      <c r="N29" s="113"/>
      <c r="O29" s="114"/>
      <c r="P29" s="113"/>
      <c r="Q29" s="106"/>
      <c r="R29" s="106"/>
      <c r="S29" s="106"/>
      <c r="T29" s="106"/>
      <c r="U29" s="113"/>
      <c r="V29" s="115"/>
      <c r="W29" s="113"/>
      <c r="X29" s="106"/>
      <c r="Y29" s="106"/>
      <c r="Z29" s="106"/>
      <c r="AA29" s="106"/>
      <c r="AB29" s="106"/>
      <c r="AC29" s="115"/>
      <c r="AD29" s="106"/>
      <c r="AE29" s="113"/>
      <c r="AF29" s="113"/>
      <c r="AG29" s="106"/>
      <c r="AH29" s="106"/>
      <c r="AI29" s="106"/>
      <c r="AJ29" s="115"/>
      <c r="AK29" s="113"/>
      <c r="AL29" s="113"/>
      <c r="AM29" s="113"/>
      <c r="AN29" s="113"/>
      <c r="AO29" s="113"/>
      <c r="AP29" s="113"/>
      <c r="AQ29" s="115"/>
      <c r="AR29" s="113"/>
      <c r="AS29" s="113"/>
      <c r="AT29" s="113"/>
      <c r="AU29" s="113"/>
      <c r="AV29" s="113"/>
      <c r="AW29" s="113"/>
      <c r="AX29" s="115"/>
      <c r="AY29" s="113"/>
      <c r="AZ29" s="113"/>
      <c r="BA29" s="113"/>
      <c r="BB29" s="113"/>
      <c r="BC29" s="113"/>
      <c r="BD29" s="113"/>
      <c r="BE29" s="115"/>
      <c r="BF29" s="106"/>
      <c r="BG29" s="106"/>
      <c r="BH29" s="113"/>
      <c r="BI29" s="106"/>
      <c r="BJ29" s="106"/>
      <c r="BK29" s="113"/>
      <c r="BL29" s="115"/>
    </row>
    <row r="30" spans="1:64" s="116" customFormat="1" ht="30" customHeight="1" thickBot="1">
      <c r="A30" s="95"/>
      <c r="B30" s="117" t="s">
        <v>27</v>
      </c>
      <c r="C30" s="118"/>
      <c r="D30" s="119">
        <v>0</v>
      </c>
      <c r="E30" s="120">
        <f>$E$3+85</f>
        <v>46381</v>
      </c>
      <c r="F30" s="120">
        <f>$E$3+115</f>
        <v>46411</v>
      </c>
      <c r="G30" s="111"/>
      <c r="H30" s="111">
        <f t="shared" si="5"/>
        <v>31</v>
      </c>
      <c r="I30" s="112"/>
      <c r="J30" s="106"/>
      <c r="K30" s="106"/>
      <c r="L30" s="106"/>
      <c r="M30" s="113"/>
      <c r="N30" s="113"/>
      <c r="O30" s="114"/>
      <c r="P30" s="113"/>
      <c r="Q30" s="106"/>
      <c r="R30" s="106"/>
      <c r="S30" s="106"/>
      <c r="T30" s="106"/>
      <c r="U30" s="113"/>
      <c r="V30" s="115"/>
      <c r="W30" s="113"/>
      <c r="X30" s="106"/>
      <c r="Y30" s="106"/>
      <c r="Z30" s="106"/>
      <c r="AA30" s="106"/>
      <c r="AB30" s="106"/>
      <c r="AC30" s="115"/>
      <c r="AD30" s="106"/>
      <c r="AE30" s="113"/>
      <c r="AF30" s="113"/>
      <c r="AG30" s="106"/>
      <c r="AH30" s="106"/>
      <c r="AI30" s="106"/>
      <c r="AJ30" s="115"/>
      <c r="AK30" s="113"/>
      <c r="AL30" s="113"/>
      <c r="AM30" s="113"/>
      <c r="AN30" s="113"/>
      <c r="AO30" s="113"/>
      <c r="AP30" s="113"/>
      <c r="AQ30" s="115"/>
      <c r="AR30" s="113"/>
      <c r="AS30" s="113"/>
      <c r="AT30" s="113"/>
      <c r="AU30" s="113"/>
      <c r="AV30" s="113"/>
      <c r="AW30" s="113"/>
      <c r="AX30" s="115"/>
      <c r="AY30" s="113"/>
      <c r="AZ30" s="113"/>
      <c r="BA30" s="113"/>
      <c r="BB30" s="113"/>
      <c r="BC30" s="113"/>
      <c r="BD30" s="113"/>
      <c r="BE30" s="115"/>
      <c r="BF30" s="106"/>
      <c r="BG30" s="106"/>
      <c r="BH30" s="113"/>
      <c r="BI30" s="106"/>
      <c r="BJ30" s="106"/>
      <c r="BK30" s="113"/>
      <c r="BL30" s="115"/>
    </row>
    <row r="31" spans="1:64" s="116" customFormat="1" ht="30" customHeight="1" thickBot="1">
      <c r="A31" s="95"/>
      <c r="B31" s="117" t="s">
        <v>29</v>
      </c>
      <c r="C31" s="118"/>
      <c r="D31" s="119">
        <v>0</v>
      </c>
      <c r="E31" s="120">
        <f>$E$3+105</f>
        <v>46401</v>
      </c>
      <c r="F31" s="120">
        <f>$E$3+135</f>
        <v>46431</v>
      </c>
      <c r="G31" s="111"/>
      <c r="H31" s="111">
        <f t="shared" si="5"/>
        <v>31</v>
      </c>
      <c r="I31" s="112"/>
      <c r="J31" s="106"/>
      <c r="K31" s="106"/>
      <c r="L31" s="106"/>
      <c r="M31" s="113"/>
      <c r="N31" s="113"/>
      <c r="O31" s="114"/>
      <c r="P31" s="113"/>
      <c r="Q31" s="106"/>
      <c r="R31" s="106"/>
      <c r="S31" s="106"/>
      <c r="T31" s="106"/>
      <c r="U31" s="113"/>
      <c r="V31" s="115"/>
      <c r="W31" s="113"/>
      <c r="X31" s="106"/>
      <c r="Y31" s="106"/>
      <c r="Z31" s="106"/>
      <c r="AA31" s="106"/>
      <c r="AB31" s="106"/>
      <c r="AC31" s="115"/>
      <c r="AD31" s="106"/>
      <c r="AE31" s="113"/>
      <c r="AF31" s="113"/>
      <c r="AG31" s="106"/>
      <c r="AH31" s="106"/>
      <c r="AI31" s="106"/>
      <c r="AJ31" s="115"/>
      <c r="AK31" s="113"/>
      <c r="AL31" s="113"/>
      <c r="AM31" s="113"/>
      <c r="AN31" s="113"/>
      <c r="AO31" s="113"/>
      <c r="AP31" s="113"/>
      <c r="AQ31" s="115"/>
      <c r="AR31" s="113"/>
      <c r="AS31" s="113"/>
      <c r="AT31" s="113"/>
      <c r="AU31" s="113"/>
      <c r="AV31" s="113"/>
      <c r="AW31" s="113"/>
      <c r="AX31" s="115"/>
      <c r="AY31" s="113"/>
      <c r="AZ31" s="113"/>
      <c r="BA31" s="113"/>
      <c r="BB31" s="113"/>
      <c r="BC31" s="113"/>
      <c r="BD31" s="113"/>
      <c r="BE31" s="115"/>
      <c r="BF31" s="106"/>
      <c r="BG31" s="106"/>
      <c r="BH31" s="113"/>
      <c r="BI31" s="106"/>
      <c r="BJ31" s="106"/>
      <c r="BK31" s="113"/>
      <c r="BL31" s="115"/>
    </row>
    <row r="32" spans="1:64" s="116" customFormat="1" ht="30" customHeight="1" thickBot="1">
      <c r="A32" s="95"/>
      <c r="B32" s="117" t="s">
        <v>39</v>
      </c>
      <c r="C32" s="118"/>
      <c r="D32" s="119">
        <v>0</v>
      </c>
      <c r="E32" s="120">
        <f>$E$3+60</f>
        <v>46356</v>
      </c>
      <c r="F32" s="120">
        <f>$E$3+90</f>
        <v>46386</v>
      </c>
      <c r="G32" s="111"/>
      <c r="H32" s="111">
        <f t="shared" si="5"/>
        <v>31</v>
      </c>
      <c r="I32" s="112"/>
      <c r="J32" s="106"/>
      <c r="K32" s="106"/>
      <c r="L32" s="106"/>
      <c r="M32" s="113"/>
      <c r="N32" s="113"/>
      <c r="O32" s="114"/>
      <c r="P32" s="113"/>
      <c r="Q32" s="106"/>
      <c r="R32" s="106"/>
      <c r="S32" s="106"/>
      <c r="T32" s="106"/>
      <c r="U32" s="113"/>
      <c r="V32" s="115"/>
      <c r="W32" s="113"/>
      <c r="X32" s="106"/>
      <c r="Y32" s="106"/>
      <c r="Z32" s="106"/>
      <c r="AA32" s="106"/>
      <c r="AB32" s="106"/>
      <c r="AC32" s="115"/>
      <c r="AD32" s="106"/>
      <c r="AE32" s="113"/>
      <c r="AF32" s="113"/>
      <c r="AG32" s="106"/>
      <c r="AH32" s="106"/>
      <c r="AI32" s="106"/>
      <c r="AJ32" s="115"/>
      <c r="AK32" s="113"/>
      <c r="AL32" s="113"/>
      <c r="AM32" s="113"/>
      <c r="AN32" s="113"/>
      <c r="AO32" s="113"/>
      <c r="AP32" s="113"/>
      <c r="AQ32" s="115"/>
      <c r="AR32" s="113"/>
      <c r="AS32" s="113"/>
      <c r="AT32" s="113"/>
      <c r="AU32" s="113"/>
      <c r="AV32" s="113"/>
      <c r="AW32" s="113"/>
      <c r="AX32" s="115"/>
      <c r="AY32" s="113"/>
      <c r="AZ32" s="113"/>
      <c r="BA32" s="113"/>
      <c r="BB32" s="113"/>
      <c r="BC32" s="113"/>
      <c r="BD32" s="113"/>
      <c r="BE32" s="115"/>
      <c r="BF32" s="106"/>
      <c r="BG32" s="106"/>
      <c r="BH32" s="113"/>
      <c r="BI32" s="106"/>
      <c r="BJ32" s="106"/>
      <c r="BK32" s="113"/>
      <c r="BL32" s="115"/>
    </row>
    <row r="33" spans="1:64" ht="30" customHeight="1" thickBot="1">
      <c r="B33" s="509" t="s">
        <v>1202</v>
      </c>
      <c r="C33" s="510"/>
      <c r="D33" s="510"/>
      <c r="E33" s="510"/>
      <c r="F33" s="511"/>
      <c r="G33" s="121"/>
      <c r="H33" s="127">
        <f>DATEDIF(MIN(E10:E21,E23:E32),MAX(F10:F21,F23:F32)+1,"m")</f>
        <v>5</v>
      </c>
    </row>
    <row r="34" spans="1:64" ht="30" customHeight="1">
      <c r="B34" s="512" t="s">
        <v>1199</v>
      </c>
      <c r="C34" s="513"/>
      <c r="D34" s="513"/>
      <c r="E34" s="513"/>
      <c r="F34" s="513"/>
      <c r="G34" s="513"/>
      <c r="H34" s="514"/>
    </row>
    <row r="35" spans="1:64" s="116" customFormat="1" ht="30" customHeight="1" thickBot="1">
      <c r="A35" s="95"/>
      <c r="B35" s="515"/>
      <c r="C35" s="516"/>
      <c r="D35" s="516"/>
      <c r="E35" s="516"/>
      <c r="F35" s="516"/>
      <c r="G35" s="516"/>
      <c r="H35" s="517"/>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c r="AM35" s="98"/>
      <c r="AN35" s="98"/>
      <c r="AO35" s="98"/>
      <c r="AP35" s="98"/>
      <c r="AQ35" s="98"/>
      <c r="AR35" s="98"/>
      <c r="AS35" s="98"/>
      <c r="AT35" s="98"/>
      <c r="AU35" s="98"/>
      <c r="AV35" s="98"/>
      <c r="AW35" s="98"/>
      <c r="AX35" s="98"/>
      <c r="AY35" s="98"/>
      <c r="AZ35" s="98"/>
      <c r="BA35" s="98"/>
      <c r="BB35" s="98"/>
      <c r="BC35" s="98"/>
      <c r="BD35" s="98"/>
      <c r="BE35" s="98"/>
      <c r="BF35" s="98"/>
      <c r="BG35" s="98"/>
      <c r="BH35" s="98"/>
      <c r="BI35" s="98"/>
      <c r="BJ35" s="98"/>
      <c r="BK35" s="98"/>
      <c r="BL35" s="98"/>
    </row>
    <row r="36" spans="1:64" s="116" customFormat="1" ht="30" customHeight="1">
      <c r="A36" s="95"/>
      <c r="B36" s="98"/>
      <c r="C36" s="98"/>
      <c r="D36" s="98"/>
      <c r="E36" s="122"/>
      <c r="F36" s="98"/>
      <c r="G36" s="98"/>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row>
    <row r="37" spans="1:64" s="116" customFormat="1" ht="48" customHeight="1">
      <c r="A37" s="95"/>
      <c r="B37" s="518"/>
      <c r="C37" s="518"/>
      <c r="D37" s="518"/>
      <c r="E37" s="518"/>
      <c r="F37" s="518"/>
      <c r="G37" s="518"/>
      <c r="H37" s="51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row>
    <row r="38" spans="1:64" s="116" customFormat="1" ht="30" customHeight="1">
      <c r="A38" s="95"/>
      <c r="B38" s="98"/>
      <c r="C38" s="98"/>
      <c r="D38" s="98"/>
      <c r="E38" s="122"/>
      <c r="F38" s="98"/>
      <c r="G38" s="98"/>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row>
    <row r="42" spans="1:64" s="116" customFormat="1" ht="30" customHeight="1">
      <c r="A42" s="95"/>
      <c r="B42" s="98"/>
      <c r="C42" s="98"/>
      <c r="D42" s="98"/>
      <c r="E42" s="122"/>
      <c r="F42" s="98"/>
      <c r="G42" s="98"/>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row>
    <row r="43" spans="1:64" s="116" customFormat="1" ht="30" customHeight="1">
      <c r="A43" s="95"/>
      <c r="B43" s="98"/>
      <c r="C43" s="98"/>
      <c r="D43" s="98"/>
      <c r="E43" s="122"/>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row>
    <row r="44" spans="1:64" s="116" customFormat="1" ht="30" customHeight="1">
      <c r="A44" s="95"/>
      <c r="B44" s="98"/>
      <c r="C44" s="98"/>
      <c r="D44" s="98"/>
      <c r="E44" s="122"/>
      <c r="F44" s="98"/>
      <c r="G44" s="98"/>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row>
    <row r="45" spans="1:64" s="116" customFormat="1" ht="30" customHeight="1">
      <c r="A45" s="95"/>
      <c r="B45" s="98"/>
      <c r="C45" s="98"/>
      <c r="D45" s="98"/>
      <c r="E45" s="122"/>
      <c r="F45" s="98"/>
      <c r="G45" s="98"/>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row>
    <row r="49" spans="1:65" s="116" customFormat="1" ht="30" customHeight="1">
      <c r="A49" s="95"/>
      <c r="B49" s="98"/>
      <c r="C49" s="98"/>
      <c r="D49" s="98"/>
      <c r="E49" s="122"/>
      <c r="F49" s="98"/>
      <c r="G49" s="98"/>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row>
    <row r="50" spans="1:65" s="116" customFormat="1" ht="30" customHeight="1">
      <c r="A50" s="95"/>
      <c r="B50" s="98"/>
      <c r="C50" s="98"/>
      <c r="D50" s="98"/>
      <c r="E50" s="122"/>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row>
    <row r="51" spans="1:65" s="116" customFormat="1" ht="30" customHeight="1">
      <c r="A51" s="95"/>
      <c r="B51" s="98"/>
      <c r="C51" s="98"/>
      <c r="D51" s="98"/>
      <c r="E51" s="122"/>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row>
    <row r="52" spans="1:65" s="116" customFormat="1" ht="30" customHeight="1">
      <c r="A52" s="95"/>
      <c r="B52" s="98"/>
      <c r="C52" s="98"/>
      <c r="D52" s="98"/>
      <c r="E52" s="122"/>
      <c r="F52" s="98"/>
      <c r="G52" s="98"/>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row>
    <row r="56" spans="1:65" s="116" customFormat="1" ht="30" customHeight="1">
      <c r="A56" s="95"/>
      <c r="B56" s="98"/>
      <c r="C56" s="98"/>
      <c r="D56" s="98"/>
      <c r="E56" s="122"/>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P56" s="98"/>
      <c r="AQ56" s="98"/>
      <c r="AR56" s="98"/>
      <c r="AS56" s="98"/>
      <c r="AT56" s="98"/>
      <c r="AU56" s="98"/>
      <c r="AV56" s="98"/>
      <c r="AW56" s="98"/>
      <c r="AX56" s="98"/>
      <c r="AY56" s="98"/>
      <c r="AZ56" s="98"/>
      <c r="BA56" s="98"/>
      <c r="BB56" s="98"/>
      <c r="BC56" s="98"/>
      <c r="BD56" s="98"/>
      <c r="BE56" s="98"/>
      <c r="BF56" s="98"/>
      <c r="BG56" s="98"/>
      <c r="BH56" s="98"/>
      <c r="BI56" s="98"/>
      <c r="BJ56" s="98"/>
      <c r="BK56" s="98"/>
      <c r="BL56" s="98"/>
    </row>
    <row r="57" spans="1:65" s="116" customFormat="1" ht="30" customHeight="1">
      <c r="A57" s="95"/>
      <c r="B57" s="98"/>
      <c r="C57" s="98"/>
      <c r="D57" s="98"/>
      <c r="E57" s="122"/>
      <c r="F57" s="98"/>
      <c r="G57" s="98"/>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c r="AL57" s="98"/>
      <c r="AM57" s="98"/>
      <c r="AN57" s="98"/>
      <c r="AO57" s="98"/>
      <c r="AP57" s="98"/>
      <c r="AQ57" s="98"/>
      <c r="AR57" s="98"/>
      <c r="AS57" s="98"/>
      <c r="AT57" s="98"/>
      <c r="AU57" s="98"/>
      <c r="AV57" s="98"/>
      <c r="AW57" s="98"/>
      <c r="AX57" s="98"/>
      <c r="AY57" s="98"/>
      <c r="AZ57" s="98"/>
      <c r="BA57" s="98"/>
      <c r="BB57" s="98"/>
      <c r="BC57" s="98"/>
      <c r="BD57" s="98"/>
      <c r="BE57" s="98"/>
      <c r="BF57" s="98"/>
      <c r="BG57" s="98"/>
      <c r="BH57" s="98"/>
      <c r="BI57" s="98"/>
      <c r="BJ57" s="98"/>
      <c r="BK57" s="98"/>
      <c r="BL57" s="98"/>
    </row>
    <row r="58" spans="1:65" s="116" customFormat="1" ht="30" customHeight="1">
      <c r="A58" s="95"/>
      <c r="B58" s="98"/>
      <c r="C58" s="98"/>
      <c r="D58" s="98"/>
      <c r="E58" s="122"/>
      <c r="F58" s="98"/>
      <c r="G58" s="98"/>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98"/>
      <c r="BL58" s="98"/>
    </row>
    <row r="59" spans="1:65" s="116" customFormat="1" ht="30" customHeight="1">
      <c r="A59" s="95"/>
      <c r="B59" s="98"/>
      <c r="C59" s="98"/>
      <c r="D59" s="98"/>
      <c r="E59" s="122"/>
      <c r="F59" s="98"/>
      <c r="G59" s="98"/>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c r="AL59" s="98"/>
      <c r="AM59" s="98"/>
      <c r="AN59" s="98"/>
      <c r="AO59" s="98"/>
      <c r="AP59" s="98"/>
      <c r="AQ59" s="98"/>
      <c r="AR59" s="98"/>
      <c r="AS59" s="98"/>
      <c r="AT59" s="98"/>
      <c r="AU59" s="98"/>
      <c r="AV59" s="98"/>
      <c r="AW59" s="98"/>
      <c r="AX59" s="98"/>
      <c r="AY59" s="98"/>
      <c r="AZ59" s="98"/>
      <c r="BA59" s="98"/>
      <c r="BB59" s="98"/>
      <c r="BC59" s="98"/>
      <c r="BD59" s="98"/>
      <c r="BE59" s="98"/>
      <c r="BF59" s="98"/>
      <c r="BG59" s="98"/>
      <c r="BH59" s="98"/>
      <c r="BI59" s="98"/>
      <c r="BJ59" s="98"/>
      <c r="BK59" s="98"/>
      <c r="BL59" s="98"/>
    </row>
    <row r="63" spans="1:65" s="116" customFormat="1" ht="30" customHeight="1">
      <c r="A63" s="95"/>
      <c r="B63" s="98"/>
      <c r="C63" s="98"/>
      <c r="D63" s="98"/>
      <c r="E63" s="122"/>
      <c r="F63" s="98"/>
      <c r="G63" s="98"/>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c r="AL63" s="98"/>
      <c r="AM63" s="98"/>
      <c r="AN63" s="98"/>
      <c r="AO63" s="98"/>
      <c r="AP63" s="98"/>
      <c r="AQ63" s="98"/>
      <c r="AR63" s="98"/>
      <c r="AS63" s="98"/>
      <c r="AT63" s="98"/>
      <c r="AU63" s="98"/>
      <c r="AV63" s="98"/>
      <c r="AW63" s="98"/>
      <c r="AX63" s="98"/>
      <c r="AY63" s="98"/>
      <c r="AZ63" s="98"/>
      <c r="BA63" s="98"/>
      <c r="BB63" s="98"/>
      <c r="BC63" s="98"/>
      <c r="BD63" s="98"/>
      <c r="BE63" s="98"/>
      <c r="BF63" s="98"/>
      <c r="BG63" s="98"/>
      <c r="BH63" s="98"/>
      <c r="BI63" s="98"/>
      <c r="BJ63" s="98"/>
      <c r="BK63" s="98"/>
      <c r="BL63" s="98"/>
    </row>
    <row r="64" spans="1:65" ht="30" customHeight="1">
      <c r="BM64" s="116"/>
    </row>
    <row r="65" spans="65:65" ht="30" customHeight="1">
      <c r="BM65" s="116"/>
    </row>
    <row r="66" spans="65:65" ht="30" customHeight="1">
      <c r="BM66" s="116"/>
    </row>
    <row r="70" spans="65:65" ht="30" customHeight="1">
      <c r="BM70" s="116"/>
    </row>
  </sheetData>
  <mergeCells count="19">
    <mergeCell ref="B33:F33"/>
    <mergeCell ref="B34:H35"/>
    <mergeCell ref="B37:H37"/>
    <mergeCell ref="AD4:AJ4"/>
    <mergeCell ref="AK4:AQ4"/>
    <mergeCell ref="AR4:AX4"/>
    <mergeCell ref="AY4:BE4"/>
    <mergeCell ref="BF4:BL4"/>
    <mergeCell ref="B5:H5"/>
    <mergeCell ref="B1:H1"/>
    <mergeCell ref="J1:BH3"/>
    <mergeCell ref="B2:H2"/>
    <mergeCell ref="B3:D3"/>
    <mergeCell ref="E3:H3"/>
    <mergeCell ref="B4:D4"/>
    <mergeCell ref="E4:H4"/>
    <mergeCell ref="I4:O4"/>
    <mergeCell ref="P4:V4"/>
    <mergeCell ref="W4:AC4"/>
  </mergeCells>
  <conditionalFormatting sqref="D7:D32">
    <cfRule type="dataBar" priority="2">
      <dataBar>
        <cfvo type="num" val="0"/>
        <cfvo type="num" val="1"/>
        <color theme="0" tint="-0.249977111117893"/>
      </dataBar>
      <extLst>
        <ext xmlns:x14="http://schemas.microsoft.com/office/spreadsheetml/2009/9/main" uri="{B025F937-C7B1-47D3-B67F-A62EFF666E3E}">
          <x14:id>{6A6134A0-945E-4D35-9C80-DF045481781F}</x14:id>
        </ext>
      </extLst>
    </cfRule>
  </conditionalFormatting>
  <conditionalFormatting sqref="E8:F8">
    <cfRule type="colorScale" priority="6">
      <colorScale>
        <cfvo type="min"/>
        <cfvo type="percentile" val="50"/>
        <cfvo type="max"/>
        <color rgb="FF63BE7B"/>
        <color rgb="FFFFEB84"/>
        <color rgb="FFF8696B"/>
      </colorScale>
    </cfRule>
  </conditionalFormatting>
  <conditionalFormatting sqref="E9:F32">
    <cfRule type="colorScale" priority="8">
      <colorScale>
        <cfvo type="min"/>
        <cfvo type="percentile" val="50"/>
        <cfvo type="max"/>
        <color rgb="FF63BE7B"/>
        <color rgb="FFFFEB84"/>
        <color rgb="FFF8696B"/>
      </colorScale>
    </cfRule>
  </conditionalFormatting>
  <conditionalFormatting sqref="I5:BL32">
    <cfRule type="expression" dxfId="3" priority="5">
      <formula>AND(TODAY()&gt;=I$5,TODAY()&lt;J$5)</formula>
    </cfRule>
  </conditionalFormatting>
  <conditionalFormatting sqref="I7:BL32">
    <cfRule type="expression" dxfId="2" priority="3">
      <formula>AND(task_start&lt;=I$5,ROUNDDOWN((task_end-task_start+1)*task_progress,0)+task_start-1&gt;=I$5)</formula>
    </cfRule>
    <cfRule type="expression" dxfId="1" priority="4" stopIfTrue="1">
      <formula>AND(task_end&gt;=I$5,task_start&lt;J$5)</formula>
    </cfRule>
  </conditionalFormatting>
  <conditionalFormatting sqref="I9:BL32">
    <cfRule type="expression" dxfId="0" priority="1">
      <formula>AND($E9&lt;&gt;"",$F9&lt;&gt;"",I$5&gt;=$E9,I$5&lt;=$F9)</formula>
    </cfRule>
  </conditionalFormatting>
  <dataValidations count="1">
    <dataValidation type="whole" operator="greaterThanOrEqual" allowBlank="1" showInputMessage="1" promptTitle="Mostrar semana" prompt="Al cambiar este número, se desplazará la vista del diagrama de Gantt." sqref="E4" xr:uid="{0A667E0D-23F7-45E3-BA24-9C09DEAA87DC}">
      <formula1>1</formula1>
    </dataValidation>
  </dataValidations>
  <printOptions horizontalCentered="1"/>
  <pageMargins left="0.35" right="0.35" top="0.35" bottom="0.5" header="0.3" footer="0.3"/>
  <pageSetup paperSize="9" scale="41" fitToHeight="0" orientation="landscape" r:id="rId1"/>
  <headerFooter differentFirst="1" scaleWithDoc="0">
    <oddFooter>Page &amp;P of &amp;N</oddFooter>
  </headerFooter>
  <drawing r:id="rId2"/>
  <extLst>
    <ext xmlns:x14="http://schemas.microsoft.com/office/spreadsheetml/2009/9/main" uri="{78C0D931-6437-407d-A8EE-F0AAD7539E65}">
      <x14:conditionalFormattings>
        <x14:conditionalFormatting xmlns:xm="http://schemas.microsoft.com/office/excel/2006/main">
          <x14:cfRule type="dataBar" id="{6A6134A0-945E-4D35-9C80-DF045481781F}">
            <x14:dataBar minLength="0" maxLength="100" gradient="0">
              <x14:cfvo type="num">
                <xm:f>0</xm:f>
              </x14:cfvo>
              <x14:cfvo type="num">
                <xm:f>1</xm:f>
              </x14:cfvo>
              <x14:negativeFillColor rgb="FFFF0000"/>
              <x14:axisColor rgb="FF000000"/>
            </x14:dataBar>
          </x14:cfRule>
          <xm:sqref>D7:D32</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9672827-c4ea-4b26-9ad3-9f5c063a690e">
      <Terms xmlns="http://schemas.microsoft.com/office/infopath/2007/PartnerControls"/>
    </lcf76f155ced4ddcb4097134ff3c332f>
    <TaxCatchAll xmlns="5c4e73e4-f257-436d-8650-6513aebc42e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600EC81D022604194DC21664C34767E" ma:contentTypeVersion="13" ma:contentTypeDescription="Crear nuevo documento." ma:contentTypeScope="" ma:versionID="5c382256865de2370d2084b2b49d98a9">
  <xsd:schema xmlns:xsd="http://www.w3.org/2001/XMLSchema" xmlns:xs="http://www.w3.org/2001/XMLSchema" xmlns:p="http://schemas.microsoft.com/office/2006/metadata/properties" xmlns:ns2="99672827-c4ea-4b26-9ad3-9f5c063a690e" xmlns:ns3="5c4e73e4-f257-436d-8650-6513aebc42e6" targetNamespace="http://schemas.microsoft.com/office/2006/metadata/properties" ma:root="true" ma:fieldsID="e2ec8c95c1aeb72158833dfdb642bd04" ns2:_="" ns3:_="">
    <xsd:import namespace="99672827-c4ea-4b26-9ad3-9f5c063a690e"/>
    <xsd:import namespace="5c4e73e4-f257-436d-8650-6513aebc42e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672827-c4ea-4b26-9ad3-9f5c063a69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4e73e4-f257-436d-8650-6513aebc42e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09c7367-f9ef-406b-926e-eb25ff0f071f}" ma:internalName="TaxCatchAll" ma:showField="CatchAllData" ma:web="5c4e73e4-f257-436d-8650-6513aebc42e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265DBDD-8975-4339-956C-D596D44372A6}"/>
</file>

<file path=customXml/itemProps2.xml><?xml version="1.0" encoding="utf-8"?>
<ds:datastoreItem xmlns:ds="http://schemas.openxmlformats.org/officeDocument/2006/customXml" ds:itemID="{0BC9AB6E-CCAD-4747-88A5-DE4D42E0B74B}"/>
</file>

<file path=customXml/itemProps3.xml><?xml version="1.0" encoding="utf-8"?>
<ds:datastoreItem xmlns:ds="http://schemas.openxmlformats.org/officeDocument/2006/customXml" ds:itemID="{43CEA92E-49A0-4552-8447-168F67BF092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INFRAESTRUCTURA FISICA EDUCATIVA</cp:lastModifiedBy>
  <cp:revision/>
  <dcterms:created xsi:type="dcterms:W3CDTF">2026-10-08T13:06:57Z</dcterms:created>
  <dcterms:modified xsi:type="dcterms:W3CDTF">2026-10-14T18:52:59Z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0x010100E600EC81D022604194DC21664C34767E</vt:lpwstr>
  </property>
  <property fmtid="{D5CDD505-2E9C-101B-9397-08002B2CF9AE}" pid="3" name="MediaServiceImageTags">
    <vt:lpwstr/>
  </property>
</Properties>
</file>