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C:\Users\stefania.gomez\Desktop\AREA METROPOLITANA\SUBASTA INVERSA\3. aseo y cafeteria\VF\"/>
    </mc:Choice>
  </mc:AlternateContent>
  <xr:revisionPtr revIDLastSave="0" documentId="13_ncr:1_{0B9CBB41-8C14-40F2-9DB1-B24CE78732C9}" xr6:coauthVersionLast="47" xr6:coauthVersionMax="47" xr10:uidLastSave="{00000000-0000-0000-0000-000000000000}"/>
  <bookViews>
    <workbookView xWindow="-120" yWindow="-120" windowWidth="29040" windowHeight="15840" activeTab="2" xr2:uid="{394D5275-8B3C-417B-A5C1-B7C7F8F34081}"/>
  </bookViews>
  <sheets>
    <sheet name="Resumen" sheetId="11" state="hidden" r:id="rId1"/>
    <sheet name="CAJA MENOR Prueba feb 2026" sheetId="49" state="hidden" r:id="rId2"/>
    <sheet name="PRESUP. OFICIAL CONSOL" sheetId="61" r:id="rId3"/>
    <sheet name="POP DETALLADO 2026 " sheetId="64" r:id="rId4"/>
    <sheet name="POE DETALLADO 2027" sheetId="65" r:id="rId5"/>
    <sheet name="Revisión Dominic y Festiv" sheetId="62" r:id="rId6"/>
    <sheet name="NOMINA AGOSTO_14.10" sheetId="47" state="hidden" r:id="rId7"/>
    <sheet name="AGOSTO(23.09)rev05.11" sheetId="48" state="hidden" r:id="rId8"/>
    <sheet name="CAJA MENOR ABRIL 2025" sheetId="29" state="hidden" r:id="rId9"/>
    <sheet name="CAJA MENOR MARZO 2025" sheetId="23" state="hidden" r:id="rId10"/>
    <sheet name="VALOR SALARIOS 2022" sheetId="4" state="hidden" r:id="rId11"/>
    <sheet name="Hoja1" sheetId="7" state="hidden" r:id="rId12"/>
  </sheets>
  <definedNames>
    <definedName name="_______AFC1" localSheetId="7">#REF!</definedName>
    <definedName name="_______AFC1">#REF!</definedName>
    <definedName name="_______AFC3" localSheetId="7">#REF!</definedName>
    <definedName name="_______AFC3">#REF!</definedName>
    <definedName name="_______AFC5" localSheetId="7">#REF!</definedName>
    <definedName name="_______AFC5">#REF!</definedName>
    <definedName name="_______BGC1" localSheetId="7">#REF!</definedName>
    <definedName name="_______BGC1">#REF!</definedName>
    <definedName name="_______BGC3" localSheetId="7">#REF!</definedName>
    <definedName name="_______BGC3">#REF!</definedName>
    <definedName name="_______BGC5" localSheetId="7">#REF!</definedName>
    <definedName name="_______BGC5">#REF!</definedName>
    <definedName name="_______CAC1" localSheetId="7">#REF!</definedName>
    <definedName name="_______CAC1">#REF!</definedName>
    <definedName name="_______CAC3" localSheetId="7">#REF!</definedName>
    <definedName name="_______CAC3">#REF!</definedName>
    <definedName name="_______CAC5" localSheetId="7">#REF!</definedName>
    <definedName name="_______CAC5">#REF!</definedName>
    <definedName name="_______SBC1" localSheetId="7">#REF!</definedName>
    <definedName name="_______SBC1">#REF!</definedName>
    <definedName name="_______SBC3" localSheetId="7">#REF!</definedName>
    <definedName name="_______SBC3">#REF!</definedName>
    <definedName name="_______SBC5" localSheetId="7">#REF!</definedName>
    <definedName name="_______SBC5">#REF!</definedName>
    <definedName name="______AFC1" localSheetId="7">#REF!</definedName>
    <definedName name="______AFC1">#REF!</definedName>
    <definedName name="______AFC3" localSheetId="7">#REF!</definedName>
    <definedName name="______AFC3">#REF!</definedName>
    <definedName name="______AFC5" localSheetId="7">#REF!</definedName>
    <definedName name="______AFC5">#REF!</definedName>
    <definedName name="______BGC1" localSheetId="7">#REF!</definedName>
    <definedName name="______BGC1">#REF!</definedName>
    <definedName name="______BGC3" localSheetId="7">#REF!</definedName>
    <definedName name="______BGC3">#REF!</definedName>
    <definedName name="______BGC5" localSheetId="7">#REF!</definedName>
    <definedName name="______BGC5">#REF!</definedName>
    <definedName name="______CAC1" localSheetId="7">#REF!</definedName>
    <definedName name="______CAC1">#REF!</definedName>
    <definedName name="______CAC3" localSheetId="7">#REF!</definedName>
    <definedName name="______CAC3">#REF!</definedName>
    <definedName name="______CAC5" localSheetId="7">#REF!</definedName>
    <definedName name="______CAC5">#REF!</definedName>
    <definedName name="______SBC1" localSheetId="7">#REF!</definedName>
    <definedName name="______SBC1">#REF!</definedName>
    <definedName name="______SBC3" localSheetId="7">#REF!</definedName>
    <definedName name="______SBC3">#REF!</definedName>
    <definedName name="______SBC5" localSheetId="7">#REF!</definedName>
    <definedName name="______SBC5">#REF!</definedName>
    <definedName name="_____AFC1" localSheetId="7">#REF!</definedName>
    <definedName name="_____AFC1">#REF!</definedName>
    <definedName name="_____AFC3" localSheetId="7">#REF!</definedName>
    <definedName name="_____AFC3">#REF!</definedName>
    <definedName name="_____AFC5" localSheetId="7">#REF!</definedName>
    <definedName name="_____AFC5">#REF!</definedName>
    <definedName name="_____BGC1" localSheetId="7">#REF!</definedName>
    <definedName name="_____BGC1">#REF!</definedName>
    <definedName name="_____BGC3" localSheetId="7">#REF!</definedName>
    <definedName name="_____BGC3">#REF!</definedName>
    <definedName name="_____BGC5" localSheetId="7">#REF!</definedName>
    <definedName name="_____BGC5">#REF!</definedName>
    <definedName name="_____CAC1" localSheetId="7">#REF!</definedName>
    <definedName name="_____CAC1">#REF!</definedName>
    <definedName name="_____CAC3" localSheetId="7">#REF!</definedName>
    <definedName name="_____CAC3">#REF!</definedName>
    <definedName name="_____CAC5" localSheetId="7">#REF!</definedName>
    <definedName name="_____CAC5">#REF!</definedName>
    <definedName name="_____SBC1" localSheetId="7">#REF!</definedName>
    <definedName name="_____SBC1">#REF!</definedName>
    <definedName name="_____SBC3" localSheetId="7">#REF!</definedName>
    <definedName name="_____SBC3">#REF!</definedName>
    <definedName name="_____SBC5" localSheetId="7">#REF!</definedName>
    <definedName name="_____SBC5">#REF!</definedName>
    <definedName name="____AFC1" localSheetId="7">#REF!</definedName>
    <definedName name="____AFC1">#REF!</definedName>
    <definedName name="____AFC3" localSheetId="7">#REF!</definedName>
    <definedName name="____AFC3">#REF!</definedName>
    <definedName name="____AFC5" localSheetId="7">#REF!</definedName>
    <definedName name="____AFC5">#REF!</definedName>
    <definedName name="____BGC1" localSheetId="7">#REF!</definedName>
    <definedName name="____BGC1">#REF!</definedName>
    <definedName name="____BGC3" localSheetId="7">#REF!</definedName>
    <definedName name="____BGC3">#REF!</definedName>
    <definedName name="____BGC5" localSheetId="7">#REF!</definedName>
    <definedName name="____BGC5">#REF!</definedName>
    <definedName name="____CAC1" localSheetId="7">#REF!</definedName>
    <definedName name="____CAC1">#REF!</definedName>
    <definedName name="____CAC3" localSheetId="7">#REF!</definedName>
    <definedName name="____CAC3">#REF!</definedName>
    <definedName name="____CAC5" localSheetId="7">#REF!</definedName>
    <definedName name="____CAC5">#REF!</definedName>
    <definedName name="____SBC1" localSheetId="7">#REF!</definedName>
    <definedName name="____SBC1">#REF!</definedName>
    <definedName name="____SBC3" localSheetId="7">#REF!</definedName>
    <definedName name="____SBC3">#REF!</definedName>
    <definedName name="____SBC5" localSheetId="7">#REF!</definedName>
    <definedName name="____SBC5">#REF!</definedName>
    <definedName name="___ACT1" localSheetId="7">#REF!</definedName>
    <definedName name="___ACT1">#REF!</definedName>
    <definedName name="___ACT2" localSheetId="7">#REF!</definedName>
    <definedName name="___ACT2">#REF!</definedName>
    <definedName name="___AFC1" localSheetId="7">#REF!</definedName>
    <definedName name="___AFC1">#REF!</definedName>
    <definedName name="___AFC3" localSheetId="7">#REF!</definedName>
    <definedName name="___AFC3">#REF!</definedName>
    <definedName name="___AFC5" localSheetId="7">#REF!</definedName>
    <definedName name="___AFC5">#REF!</definedName>
    <definedName name="___BGC1" localSheetId="7">#REF!</definedName>
    <definedName name="___BGC1">#REF!</definedName>
    <definedName name="___BGC3" localSheetId="7">#REF!</definedName>
    <definedName name="___BGC3">#REF!</definedName>
    <definedName name="___BGC5" localSheetId="7">#REF!</definedName>
    <definedName name="___BGC5">#REF!</definedName>
    <definedName name="___CAC1" localSheetId="7">#REF!</definedName>
    <definedName name="___CAC1">#REF!</definedName>
    <definedName name="___CAC3" localSheetId="7">#REF!</definedName>
    <definedName name="___CAC3">#REF!</definedName>
    <definedName name="___CAC5" localSheetId="7">#REF!</definedName>
    <definedName name="___CAC5">#REF!</definedName>
    <definedName name="___SBC1" localSheetId="7">#REF!</definedName>
    <definedName name="___SBC1">#REF!</definedName>
    <definedName name="___SBC3" localSheetId="7">#REF!</definedName>
    <definedName name="___SBC3">#REF!</definedName>
    <definedName name="___SBC5" localSheetId="7">#REF!</definedName>
    <definedName name="___SBC5">#REF!</definedName>
    <definedName name="___VLR1" localSheetId="7">(#REF!)</definedName>
    <definedName name="___VLR1">(#REF!)</definedName>
    <definedName name="__123Graph_A" localSheetId="7" hidden="1">#REF!</definedName>
    <definedName name="__123Graph_A" hidden="1">#REF!</definedName>
    <definedName name="__123Graph_Acaja" localSheetId="7" hidden="1">#REF!</definedName>
    <definedName name="__123Graph_Acaja" hidden="1">#REF!</definedName>
    <definedName name="__123Graph_ACart_AnticAdic" localSheetId="7" hidden="1">#REF!</definedName>
    <definedName name="__123Graph_ACart_AnticAdic" hidden="1">#REF!</definedName>
    <definedName name="__123Graph_AFACTURAC" localSheetId="7" hidden="1">#REF!</definedName>
    <definedName name="__123Graph_AFACTURAC" hidden="1">#REF!</definedName>
    <definedName name="__123Graph_AGraph2" localSheetId="7" hidden="1">#REF!</definedName>
    <definedName name="__123Graph_AGraph2" hidden="1">#REF!</definedName>
    <definedName name="__123Graph_Bcaja" localSheetId="7" hidden="1">#REF!</definedName>
    <definedName name="__123Graph_Bcaja" hidden="1">#REF!</definedName>
    <definedName name="__123Graph_BCart_AnticAdic" localSheetId="7" hidden="1">#REF!</definedName>
    <definedName name="__123Graph_BCart_AnticAdic" hidden="1">#REF!</definedName>
    <definedName name="__123Graph_Ccaja" localSheetId="7" hidden="1">#REF!</definedName>
    <definedName name="__123Graph_Ccaja" hidden="1">#REF!</definedName>
    <definedName name="__123Graph_CCart_AnticAdic" localSheetId="7" hidden="1">#REF!</definedName>
    <definedName name="__123Graph_CCart_AnticAdic" hidden="1">#REF!</definedName>
    <definedName name="__123Graph_Dcaja" localSheetId="7" hidden="1">#REF!</definedName>
    <definedName name="__123Graph_Dcaja" hidden="1">#REF!</definedName>
    <definedName name="__123Graph_DCart_AnticAdic" localSheetId="7" hidden="1">#REF!</definedName>
    <definedName name="__123Graph_DCart_AnticAdic" hidden="1">#REF!</definedName>
    <definedName name="__123Graph_ECart_AnticAdic" localSheetId="7" hidden="1">#REF!</definedName>
    <definedName name="__123Graph_ECart_AnticAdic" hidden="1">#REF!</definedName>
    <definedName name="__123Graph_LBL_ACart_AnticAdic" localSheetId="7" hidden="1">#REF!</definedName>
    <definedName name="__123Graph_LBL_ACart_AnticAdic" hidden="1">#REF!</definedName>
    <definedName name="__123Graph_LBL_Ccaja" localSheetId="7" hidden="1">#REF!</definedName>
    <definedName name="__123Graph_LBL_Ccaja" hidden="1">#REF!</definedName>
    <definedName name="__123Graph_LBL_DCart_AnticAdic" localSheetId="7" hidden="1">#REF!</definedName>
    <definedName name="__123Graph_LBL_DCart_AnticAdic" hidden="1">#REF!</definedName>
    <definedName name="__123Graph_X" localSheetId="7" hidden="1">#REF!</definedName>
    <definedName name="__123Graph_X" hidden="1">#REF!</definedName>
    <definedName name="__123Graph_Xcaja" localSheetId="7" hidden="1">#REF!</definedName>
    <definedName name="__123Graph_Xcaja" hidden="1">#REF!</definedName>
    <definedName name="__a1" localSheetId="7" hidden="1">{"TAB1",#N/A,TRUE,"GENERAL";"TAB2",#N/A,TRUE,"GENERAL";"TAB3",#N/A,TRUE,"GENERAL";"TAB4",#N/A,TRUE,"GENERAL";"TAB5",#N/A,TRUE,"GENERAL"}</definedName>
    <definedName name="__a1" localSheetId="4" hidden="1">{"TAB1",#N/A,TRUE,"GENERAL";"TAB2",#N/A,TRUE,"GENERAL";"TAB3",#N/A,TRUE,"GENERAL";"TAB4",#N/A,TRUE,"GENERAL";"TAB5",#N/A,TRUE,"GENERAL"}</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localSheetId="4"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localSheetId="4" hidden="1">{"via1",#N/A,TRUE,"general";"via2",#N/A,TRUE,"general";"via3",#N/A,TRUE,"general"}</definedName>
    <definedName name="__a4" localSheetId="3"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localSheetId="4" hidden="1">{"TAB1",#N/A,TRUE,"GENERAL";"TAB2",#N/A,TRUE,"GENERAL";"TAB3",#N/A,TRUE,"GENERAL";"TAB4",#N/A,TRUE,"GENERAL";"TAB5",#N/A,TRUE,"GENERAL"}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localSheetId="4"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CT1" localSheetId="7">#REF!</definedName>
    <definedName name="__ACT1">#REF!</definedName>
    <definedName name="__ACT2" localSheetId="7">#REF!</definedName>
    <definedName name="__ACT2">#REF!</definedName>
    <definedName name="__AFC1" localSheetId="7">#REF!</definedName>
    <definedName name="__AFC1">#REF!</definedName>
    <definedName name="__AFC3" localSheetId="7">#REF!</definedName>
    <definedName name="__AFC3">#REF!</definedName>
    <definedName name="__AFC5" localSheetId="7">#REF!</definedName>
    <definedName name="__AFC5">#REF!</definedName>
    <definedName name="__b2" localSheetId="7" hidden="1">{"TAB1",#N/A,TRUE,"GENERAL";"TAB2",#N/A,TRUE,"GENERAL";"TAB3",#N/A,TRUE,"GENERAL";"TAB4",#N/A,TRUE,"GENERAL";"TAB5",#N/A,TRUE,"GENERAL"}</definedName>
    <definedName name="__b2" localSheetId="4" hidden="1">{"TAB1",#N/A,TRUE,"GENERAL";"TAB2",#N/A,TRUE,"GENERAL";"TAB3",#N/A,TRUE,"GENERAL";"TAB4",#N/A,TRUE,"GENERAL";"TAB5",#N/A,TRUE,"GENERAL"}</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localSheetId="4"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localSheetId="4"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localSheetId="4"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localSheetId="4"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localSheetId="4" hidden="1">{"via1",#N/A,TRUE,"general";"via2",#N/A,TRUE,"general";"via3",#N/A,TRUE,"general"}</definedName>
    <definedName name="__b7" localSheetId="3"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localSheetId="4"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localSheetId="4" hidden="1">{"TAB1",#N/A,TRUE,"GENERAL";"TAB2",#N/A,TRUE,"GENERAL";"TAB3",#N/A,TRUE,"GENERAL";"TAB4",#N/A,TRUE,"GENERAL";"TAB5",#N/A,TRUE,"GENERAL"}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 localSheetId="7">#REF!</definedName>
    <definedName name="__BGC1">#REF!</definedName>
    <definedName name="__BGC3" localSheetId="7">#REF!</definedName>
    <definedName name="__BGC3">#REF!</definedName>
    <definedName name="__BGC5" localSheetId="7">#REF!</definedName>
    <definedName name="__BGC5">#REF!</definedName>
    <definedName name="__CAC1" localSheetId="7">#REF!</definedName>
    <definedName name="__CAC1">#REF!</definedName>
    <definedName name="__CAC3" localSheetId="7">#REF!</definedName>
    <definedName name="__CAC3">#REF!</definedName>
    <definedName name="__CAC5" localSheetId="7">#REF!</definedName>
    <definedName name="__CAC5">#REF!</definedName>
    <definedName name="__g2" localSheetId="7" hidden="1">{"TAB1",#N/A,TRUE,"GENERAL";"TAB2",#N/A,TRUE,"GENERAL";"TAB3",#N/A,TRUE,"GENERAL";"TAB4",#N/A,TRUE,"GENERAL";"TAB5",#N/A,TRUE,"GENERAL"}</definedName>
    <definedName name="__g2" localSheetId="4" hidden="1">{"TAB1",#N/A,TRUE,"GENERAL";"TAB2",#N/A,TRUE,"GENERAL";"TAB3",#N/A,TRUE,"GENERAL";"TAB4",#N/A,TRUE,"GENERAL";"TAB5",#N/A,TRUE,"GENERAL"}</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localSheetId="4" hidden="1">{"via1",#N/A,TRUE,"general";"via2",#N/A,TRUE,"general";"via3",#N/A,TRUE,"general"}</definedName>
    <definedName name="__g3" localSheetId="3"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localSheetId="4"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localSheetId="4"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localSheetId="4"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localSheetId="4" hidden="1">{"TAB1",#N/A,TRUE,"GENERAL";"TAB2",#N/A,TRUE,"GENERAL";"TAB3",#N/A,TRUE,"GENERAL";"TAB4",#N/A,TRUE,"GENERAL";"TAB5",#N/A,TRUE,"GENERAL"}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localSheetId="4"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localSheetId="4" hidden="1">{"via1",#N/A,TRUE,"general";"via2",#N/A,TRUE,"general";"via3",#N/A,TRUE,"general"}</definedName>
    <definedName name="__gtr4" localSheetId="3"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localSheetId="4"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localSheetId="4"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localSheetId="4" hidden="1">{"TAB1",#N/A,TRUE,"GENERAL";"TAB2",#N/A,TRUE,"GENERAL";"TAB3",#N/A,TRUE,"GENERAL";"TAB4",#N/A,TRUE,"GENERAL";"TAB5",#N/A,TRUE,"GENERAL"}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localSheetId="4"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localSheetId="4" hidden="1">{"via1",#N/A,TRUE,"general";"via2",#N/A,TRUE,"general";"via3",#N/A,TRUE,"general"}</definedName>
    <definedName name="__h6" localSheetId="3"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localSheetId="4" hidden="1">{"TAB1",#N/A,TRUE,"GENERAL";"TAB2",#N/A,TRUE,"GENERAL";"TAB3",#N/A,TRUE,"GENERAL";"TAB4",#N/A,TRUE,"GENERAL";"TAB5",#N/A,TRUE,"GENERAL"}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localSheetId="4" hidden="1">{"via1",#N/A,TRUE,"general";"via2",#N/A,TRUE,"general";"via3",#N/A,TRUE,"general"}</definedName>
    <definedName name="__h8" localSheetId="3"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localSheetId="4"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localSheetId="4"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localSheetId="4" hidden="1">{"TAB1",#N/A,TRUE,"GENERAL";"TAB2",#N/A,TRUE,"GENERAL";"TAB3",#N/A,TRUE,"GENERAL";"TAB4",#N/A,TRUE,"GENERAL";"TAB5",#N/A,TRUE,"GENERAL"}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localSheetId="4"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localSheetId="4" hidden="1">{"via1",#N/A,TRUE,"general";"via2",#N/A,TRUE,"general";"via3",#N/A,TRUE,"general"}</definedName>
    <definedName name="__i7" localSheetId="3"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localSheetId="4" hidden="1">{"TAB1",#N/A,TRUE,"GENERAL";"TAB2",#N/A,TRUE,"GENERAL";"TAB3",#N/A,TRUE,"GENERAL";"TAB4",#N/A,TRUE,"GENERAL";"TAB5",#N/A,TRUE,"GENERAL"}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localSheetId="4" hidden="1">{"via1",#N/A,TRUE,"general";"via2",#N/A,TRUE,"general";"via3",#N/A,TRUE,"general"}</definedName>
    <definedName name="__i8" localSheetId="3"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localSheetId="4" hidden="1">{"TAB1",#N/A,TRUE,"GENERAL";"TAB2",#N/A,TRUE,"GENERAL";"TAB3",#N/A,TRUE,"GENERAL";"TAB4",#N/A,TRUE,"GENERAL";"TAB5",#N/A,TRUE,"GENERAL"}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k3" localSheetId="7" hidden="1">{"TAB1",#N/A,TRUE,"GENERAL";"TAB2",#N/A,TRUE,"GENERAL";"TAB3",#N/A,TRUE,"GENERAL";"TAB4",#N/A,TRUE,"GENERAL";"TAB5",#N/A,TRUE,"GENERAL"}</definedName>
    <definedName name="__k3" localSheetId="4"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localSheetId="4" hidden="1">{"via1",#N/A,TRUE,"general";"via2",#N/A,TRUE,"general";"via3",#N/A,TRUE,"general"}</definedName>
    <definedName name="__k4" localSheetId="3"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localSheetId="4"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localSheetId="4" hidden="1">{"TAB1",#N/A,TRUE,"GENERAL";"TAB2",#N/A,TRUE,"GENERAL";"TAB3",#N/A,TRUE,"GENERAL";"TAB4",#N/A,TRUE,"GENERAL";"TAB5",#N/A,TRUE,"GENERAL"}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localSheetId="4" hidden="1">{"via1",#N/A,TRUE,"general";"via2",#N/A,TRUE,"general";"via3",#N/A,TRUE,"general"}</definedName>
    <definedName name="__k7" localSheetId="3"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localSheetId="4"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localSheetId="4" hidden="1">{"TAB1",#N/A,TRUE,"GENERAL";"TAB2",#N/A,TRUE,"GENERAL";"TAB3",#N/A,TRUE,"GENERAL";"TAB4",#N/A,TRUE,"GENERAL";"TAB5",#N/A,TRUE,"GENERAL"}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localSheetId="4" hidden="1">{"via1",#N/A,TRUE,"general";"via2",#N/A,TRUE,"general";"via3",#N/A,TRUE,"general"}</definedName>
    <definedName name="__m3" localSheetId="3"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localSheetId="4" hidden="1">{"TAB1",#N/A,TRUE,"GENERAL";"TAB2",#N/A,TRUE,"GENERAL";"TAB3",#N/A,TRUE,"GENERAL";"TAB4",#N/A,TRUE,"GENERAL";"TAB5",#N/A,TRUE,"GENERAL"}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localSheetId="4" hidden="1">{"via1",#N/A,TRUE,"general";"via2",#N/A,TRUE,"general";"via3",#N/A,TRUE,"general"}</definedName>
    <definedName name="__m5" localSheetId="3"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localSheetId="4" hidden="1">{"TAB1",#N/A,TRUE,"GENERAL";"TAB2",#N/A,TRUE,"GENERAL";"TAB3",#N/A,TRUE,"GENERAL";"TAB4",#N/A,TRUE,"GENERAL";"TAB5",#N/A,TRUE,"GENERAL"}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localSheetId="4"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localSheetId="4" hidden="1">{"via1",#N/A,TRUE,"general";"via2",#N/A,TRUE,"general";"via3",#N/A,TRUE,"general"}</definedName>
    <definedName name="__m8" localSheetId="3"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localSheetId="4"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n3" localSheetId="7" hidden="1">{"TAB1",#N/A,TRUE,"GENERAL";"TAB2",#N/A,TRUE,"GENERAL";"TAB3",#N/A,TRUE,"GENERAL";"TAB4",#N/A,TRUE,"GENERAL";"TAB5",#N/A,TRUE,"GENERAL"}</definedName>
    <definedName name="__n3" localSheetId="4" hidden="1">{"TAB1",#N/A,TRUE,"GENERAL";"TAB2",#N/A,TRUE,"GENERAL";"TAB3",#N/A,TRUE,"GENERAL";"TAB4",#N/A,TRUE,"GENERAL";"TAB5",#N/A,TRUE,"GENERAL"}</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localSheetId="4" hidden="1">{"via1",#N/A,TRUE,"general";"via2",#N/A,TRUE,"general";"via3",#N/A,TRUE,"general"}</definedName>
    <definedName name="__n4" localSheetId="3"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localSheetId="4" hidden="1">{"TAB1",#N/A,TRUE,"GENERAL";"TAB2",#N/A,TRUE,"GENERAL";"TAB3",#N/A,TRUE,"GENERAL";"TAB4",#N/A,TRUE,"GENERAL";"TAB5",#N/A,TRUE,"GENERAL"}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yn7" localSheetId="7" hidden="1">{"via1",#N/A,TRUE,"general";"via2",#N/A,TRUE,"general";"via3",#N/A,TRUE,"general"}</definedName>
    <definedName name="__nyn7" localSheetId="4" hidden="1">{"via1",#N/A,TRUE,"general";"via2",#N/A,TRUE,"general";"via3",#N/A,TRUE,"general"}</definedName>
    <definedName name="__nyn7" localSheetId="3"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localSheetId="4"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localSheetId="4" hidden="1">{"TAB1",#N/A,TRUE,"GENERAL";"TAB2",#N/A,TRUE,"GENERAL";"TAB3",#N/A,TRUE,"GENERAL";"TAB4",#N/A,TRUE,"GENERAL";"TAB5",#N/A,TRUE,"GENERAL"}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localSheetId="4"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localSheetId="4"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localSheetId="4" hidden="1">{"via1",#N/A,TRUE,"general";"via2",#N/A,TRUE,"general";"via3",#N/A,TRUE,"general"}</definedName>
    <definedName name="__o8" localSheetId="3"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localSheetId="4" hidden="1">{"TAB1",#N/A,TRUE,"GENERAL";"TAB2",#N/A,TRUE,"GENERAL";"TAB3",#N/A,TRUE,"GENERAL";"TAB4",#N/A,TRUE,"GENERAL";"TAB5",#N/A,TRUE,"GENERAL"}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p6" localSheetId="7" hidden="1">{"via1",#N/A,TRUE,"general";"via2",#N/A,TRUE,"general";"via3",#N/A,TRUE,"general"}</definedName>
    <definedName name="__p6" localSheetId="4" hidden="1">{"via1",#N/A,TRUE,"general";"via2",#N/A,TRUE,"general";"via3",#N/A,TRUE,"general"}</definedName>
    <definedName name="__p6" localSheetId="3"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localSheetId="4"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localSheetId="4" hidden="1">{"TAB1",#N/A,TRUE,"GENERAL";"TAB2",#N/A,TRUE,"GENERAL";"TAB3",#N/A,TRUE,"GENERAL";"TAB4",#N/A,TRUE,"GENERAL";"TAB5",#N/A,TRUE,"GENERAL"}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r" localSheetId="7" hidden="1">{"TAB1",#N/A,TRUE,"GENERAL";"TAB2",#N/A,TRUE,"GENERAL";"TAB3",#N/A,TRUE,"GENERAL";"TAB4",#N/A,TRUE,"GENERAL";"TAB5",#N/A,TRUE,"GENERAL"}</definedName>
    <definedName name="__r" localSheetId="4" hidden="1">{"TAB1",#N/A,TRUE,"GENERAL";"TAB2",#N/A,TRUE,"GENERAL";"TAB3",#N/A,TRUE,"GENERAL";"TAB4",#N/A,TRUE,"GENERAL";"TAB5",#N/A,TRUE,"GENERAL"}</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localSheetId="4" hidden="1">{"via1",#N/A,TRUE,"general";"via2",#N/A,TRUE,"general";"via3",#N/A,TRUE,"general"}</definedName>
    <definedName name="__r4r" localSheetId="3" hidden="1">{"via1",#N/A,TRUE,"general";"via2",#N/A,TRUE,"general";"via3",#N/A,TRUE,"general"}</definedName>
    <definedName name="__r4r" hidden="1">{"via1",#N/A,TRUE,"general";"via2",#N/A,TRUE,"general";"via3",#N/A,TRUE,"general"}</definedName>
    <definedName name="__rtu6" localSheetId="7" hidden="1">{"via1",#N/A,TRUE,"general";"via2",#N/A,TRUE,"general";"via3",#N/A,TRUE,"general"}</definedName>
    <definedName name="__rtu6" localSheetId="4" hidden="1">{"via1",#N/A,TRUE,"general";"via2",#N/A,TRUE,"general";"via3",#N/A,TRUE,"general"}</definedName>
    <definedName name="__rtu6" localSheetId="3"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localSheetId="4"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localSheetId="4" hidden="1">{"TAB1",#N/A,TRUE,"GENERAL";"TAB2",#N/A,TRUE,"GENERAL";"TAB3",#N/A,TRUE,"GENERAL";"TAB4",#N/A,TRUE,"GENERAL";"TAB5",#N/A,TRUE,"GENERAL"}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localSheetId="4"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localSheetId="4" hidden="1">{"via1",#N/A,TRUE,"general";"via2",#N/A,TRUE,"general";"via3",#N/A,TRUE,"general"}</definedName>
    <definedName name="__s4" localSheetId="3"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localSheetId="4"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localSheetId="4" hidden="1">{"TAB1",#N/A,TRUE,"GENERAL";"TAB2",#N/A,TRUE,"GENERAL";"TAB3",#N/A,TRUE,"GENERAL";"TAB4",#N/A,TRUE,"GENERAL";"TAB5",#N/A,TRUE,"GENERAL"}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localSheetId="4" hidden="1">{"via1",#N/A,TRUE,"general";"via2",#N/A,TRUE,"general";"via3",#N/A,TRUE,"general"}</definedName>
    <definedName name="__s7" localSheetId="3" hidden="1">{"via1",#N/A,TRUE,"general";"via2",#N/A,TRUE,"general";"via3",#N/A,TRUE,"general"}</definedName>
    <definedName name="__s7" hidden="1">{"via1",#N/A,TRUE,"general";"via2",#N/A,TRUE,"general";"via3",#N/A,TRUE,"general"}</definedName>
    <definedName name="__SBC1" localSheetId="7">#REF!</definedName>
    <definedName name="__SBC1">#REF!</definedName>
    <definedName name="__SBC3" localSheetId="7">#REF!</definedName>
    <definedName name="__SBC3">#REF!</definedName>
    <definedName name="__SBC5" localSheetId="7">#REF!</definedName>
    <definedName name="__SBC5">#REF!</definedName>
    <definedName name="__t3" localSheetId="7" hidden="1">{"TAB1",#N/A,TRUE,"GENERAL";"TAB2",#N/A,TRUE,"GENERAL";"TAB3",#N/A,TRUE,"GENERAL";"TAB4",#N/A,TRUE,"GENERAL";"TAB5",#N/A,TRUE,"GENERAL"}</definedName>
    <definedName name="__t3" localSheetId="4" hidden="1">{"TAB1",#N/A,TRUE,"GENERAL";"TAB2",#N/A,TRUE,"GENERAL";"TAB3",#N/A,TRUE,"GENERAL";"TAB4",#N/A,TRUE,"GENERAL";"TAB5",#N/A,TRUE,"GENERAL"}</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localSheetId="4" hidden="1">{"via1",#N/A,TRUE,"general";"via2",#N/A,TRUE,"general";"via3",#N/A,TRUE,"general"}</definedName>
    <definedName name="__t4" localSheetId="3"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localSheetId="4" hidden="1">{"TAB1",#N/A,TRUE,"GENERAL";"TAB2",#N/A,TRUE,"GENERAL";"TAB3",#N/A,TRUE,"GENERAL";"TAB4",#N/A,TRUE,"GENERAL";"TAB5",#N/A,TRUE,"GENERAL"}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localSheetId="4" hidden="1">{"via1",#N/A,TRUE,"general";"via2",#N/A,TRUE,"general";"via3",#N/A,TRUE,"general"}</definedName>
    <definedName name="__t6" localSheetId="3"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localSheetId="4" hidden="1">{"TAB1",#N/A,TRUE,"GENERAL";"TAB2",#N/A,TRUE,"GENERAL";"TAB3",#N/A,TRUE,"GENERAL";"TAB4",#N/A,TRUE,"GENERAL";"TAB5",#N/A,TRUE,"GENERAL"}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localSheetId="4" hidden="1">{"via1",#N/A,TRUE,"general";"via2",#N/A,TRUE,"general";"via3",#N/A,TRUE,"general"}</definedName>
    <definedName name="__t7" localSheetId="3"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localSheetId="4" hidden="1">{"TAB1",#N/A,TRUE,"GENERAL";"TAB2",#N/A,TRUE,"GENERAL";"TAB3",#N/A,TRUE,"GENERAL";"TAB4",#N/A,TRUE,"GENERAL";"TAB5",#N/A,TRUE,"GENERAL"}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localSheetId="4"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localSheetId="4" hidden="1">{"via1",#N/A,TRUE,"general";"via2",#N/A,TRUE,"general";"via3",#N/A,TRUE,"general"}</definedName>
    <definedName name="__t88" localSheetId="3"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localSheetId="4" hidden="1">{"TAB1",#N/A,TRUE,"GENERAL";"TAB2",#N/A,TRUE,"GENERAL";"TAB3",#N/A,TRUE,"GENERAL";"TAB4",#N/A,TRUE,"GENERAL";"TAB5",#N/A,TRUE,"GENERAL"}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localSheetId="4" hidden="1">{"via1",#N/A,TRUE,"general";"via2",#N/A,TRUE,"general";"via3",#N/A,TRUE,"general"}</definedName>
    <definedName name="__t99" localSheetId="3" hidden="1">{"via1",#N/A,TRUE,"general";"via2",#N/A,TRUE,"general";"via3",#N/A,TRUE,"general"}</definedName>
    <definedName name="__t99" hidden="1">{"via1",#N/A,TRUE,"general";"via2",#N/A,TRUE,"general";"via3",#N/A,TRUE,"general"}</definedName>
    <definedName name="__u4" localSheetId="7" hidden="1">{"TAB1",#N/A,TRUE,"GENERAL";"TAB2",#N/A,TRUE,"GENERAL";"TAB3",#N/A,TRUE,"GENERAL";"TAB4",#N/A,TRUE,"GENERAL";"TAB5",#N/A,TRUE,"GENERAL"}</definedName>
    <definedName name="__u4" localSheetId="4" hidden="1">{"TAB1",#N/A,TRUE,"GENERAL";"TAB2",#N/A,TRUE,"GENERAL";"TAB3",#N/A,TRUE,"GENERAL";"TAB4",#N/A,TRUE,"GENERAL";"TAB5",#N/A,TRUE,"GENERAL"}</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localSheetId="4"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localSheetId="4"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localSheetId="4" hidden="1">{"via1",#N/A,TRUE,"general";"via2",#N/A,TRUE,"general";"via3",#N/A,TRUE,"general"}</definedName>
    <definedName name="__u7" localSheetId="3"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localSheetId="4" hidden="1">{"TAB1",#N/A,TRUE,"GENERAL";"TAB2",#N/A,TRUE,"GENERAL";"TAB3",#N/A,TRUE,"GENERAL";"TAB4",#N/A,TRUE,"GENERAL";"TAB5",#N/A,TRUE,"GENERAL"}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localSheetId="4"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localSheetId="4"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localSheetId="4" hidden="1">{"via1",#N/A,TRUE,"general";"via2",#N/A,TRUE,"general";"via3",#N/A,TRUE,"general"}</definedName>
    <definedName name="__v2" localSheetId="3"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localSheetId="4" hidden="1">{"TAB1",#N/A,TRUE,"GENERAL";"TAB2",#N/A,TRUE,"GENERAL";"TAB3",#N/A,TRUE,"GENERAL";"TAB4",#N/A,TRUE,"GENERAL";"TAB5",#N/A,TRUE,"GENERAL"}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localSheetId="4"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localSheetId="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localSheetId="4"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localSheetId="4" hidden="1">{"via1",#N/A,TRUE,"general";"via2",#N/A,TRUE,"general";"via3",#N/A,TRUE,"general"}</definedName>
    <definedName name="__v7" localSheetId="3"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localSheetId="4" hidden="1">{"TAB1",#N/A,TRUE,"GENERAL";"TAB2",#N/A,TRUE,"GENERAL";"TAB3",#N/A,TRUE,"GENERAL";"TAB4",#N/A,TRUE,"GENERAL";"TAB5",#N/A,TRUE,"GENERAL"}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localSheetId="4"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localSheetId="4" hidden="1">{"via1",#N/A,TRUE,"general";"via2",#N/A,TRUE,"general";"via3",#N/A,TRUE,"general"}</definedName>
    <definedName name="__vfv4" localSheetId="3" hidden="1">{"via1",#N/A,TRUE,"general";"via2",#N/A,TRUE,"general";"via3",#N/A,TRUE,"general"}</definedName>
    <definedName name="__vfv4" hidden="1">{"via1",#N/A,TRUE,"general";"via2",#N/A,TRUE,"general";"via3",#N/A,TRUE,"general"}</definedName>
    <definedName name="__VLR1" localSheetId="7">(#REF!)</definedName>
    <definedName name="__VLR1">(#REF!)</definedName>
    <definedName name="__x1" localSheetId="7" hidden="1">{"TAB1",#N/A,TRUE,"GENERAL";"TAB2",#N/A,TRUE,"GENERAL";"TAB3",#N/A,TRUE,"GENERAL";"TAB4",#N/A,TRUE,"GENERAL";"TAB5",#N/A,TRUE,"GENERAL"}</definedName>
    <definedName name="__x1" localSheetId="4" hidden="1">{"TAB1",#N/A,TRUE,"GENERAL";"TAB2",#N/A,TRUE,"GENERAL";"TAB3",#N/A,TRUE,"GENERAL";"TAB4",#N/A,TRUE,"GENERAL";"TAB5",#N/A,TRUE,"GENERAL"}</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localSheetId="4" hidden="1">{"via1",#N/A,TRUE,"general";"via2",#N/A,TRUE,"general";"via3",#N/A,TRUE,"general"}</definedName>
    <definedName name="__x2" localSheetId="3"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localSheetId="4"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localSheetId="4"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localSheetId="4" hidden="1">{"TAB1",#N/A,TRUE,"GENERAL";"TAB2",#N/A,TRUE,"GENERAL";"TAB3",#N/A,TRUE,"GENERAL";"TAB4",#N/A,TRUE,"GENERAL";"TAB5",#N/A,TRUE,"GENERAL"}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localSheetId="4"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localSheetId="4"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localSheetId="4" hidden="1">{"via1",#N/A,TRUE,"general";"via2",#N/A,TRUE,"general";"via3",#N/A,TRUE,"general"}</definedName>
    <definedName name="__x8" localSheetId="3"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localSheetId="4" hidden="1">{"TAB1",#N/A,TRUE,"GENERAL";"TAB2",#N/A,TRUE,"GENERAL";"TAB3",#N/A,TRUE,"GENERAL";"TAB4",#N/A,TRUE,"GENERAL";"TAB5",#N/A,TRUE,"GENERAL"}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y2" localSheetId="7" hidden="1">{"TAB1",#N/A,TRUE,"GENERAL";"TAB2",#N/A,TRUE,"GENERAL";"TAB3",#N/A,TRUE,"GENERAL";"TAB4",#N/A,TRUE,"GENERAL";"TAB5",#N/A,TRUE,"GENERAL"}</definedName>
    <definedName name="__y2" localSheetId="4" hidden="1">{"TAB1",#N/A,TRUE,"GENERAL";"TAB2",#N/A,TRUE,"GENERAL";"TAB3",#N/A,TRUE,"GENERAL";"TAB4",#N/A,TRUE,"GENERAL";"TAB5",#N/A,TRUE,"GENERAL"}</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localSheetId="4" hidden="1">{"via1",#N/A,TRUE,"general";"via2",#N/A,TRUE,"general";"via3",#N/A,TRUE,"general"}</definedName>
    <definedName name="__y3" localSheetId="3"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localSheetId="4"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localSheetId="4" hidden="1">{"TAB1",#N/A,TRUE,"GENERAL";"TAB2",#N/A,TRUE,"GENERAL";"TAB3",#N/A,TRUE,"GENERAL";"TAB4",#N/A,TRUE,"GENERAL";"TAB5",#N/A,TRUE,"GENERAL"}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localSheetId="4" hidden="1">{"via1",#N/A,TRUE,"general";"via2",#N/A,TRUE,"general";"via3",#N/A,TRUE,"general"}</definedName>
    <definedName name="__y6" localSheetId="3"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localSheetId="4"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localSheetId="4"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localSheetId="4" hidden="1">{"TAB1",#N/A,TRUE,"GENERAL";"TAB2",#N/A,TRUE,"GENERAL";"TAB3",#N/A,TRUE,"GENERAL";"TAB4",#N/A,TRUE,"GENERAL";"TAB5",#N/A,TRUE,"GENERAL"}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localSheetId="4"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localSheetId="4" hidden="1">{"via1",#N/A,TRUE,"general";"via2",#N/A,TRUE,"general";"via3",#N/A,TRUE,"general"}</definedName>
    <definedName name="__z2" localSheetId="3"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localSheetId="4"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localSheetId="4" hidden="1">{"TAB1",#N/A,TRUE,"GENERAL";"TAB2",#N/A,TRUE,"GENERAL";"TAB3",#N/A,TRUE,"GENERAL";"TAB4",#N/A,TRUE,"GENERAL";"TAB5",#N/A,TRUE,"GENERAL"}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localSheetId="4" hidden="1">{"via1",#N/A,TRUE,"general";"via2",#N/A,TRUE,"general";"via3",#N/A,TRUE,"general"}</definedName>
    <definedName name="__z5" localSheetId="3"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localSheetId="4" hidden="1">{"TAB1",#N/A,TRUE,"GENERAL";"TAB2",#N/A,TRUE,"GENERAL";"TAB3",#N/A,TRUE,"GENERAL";"TAB4",#N/A,TRUE,"GENERAL";"TAB5",#N/A,TRUE,"GENERAL"}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Sin_nombre" localSheetId="7">#REF!</definedName>
    <definedName name="_1Sin_nombre">#REF!</definedName>
    <definedName name="_2Sin_nombre" localSheetId="7">#REF!</definedName>
    <definedName name="_2Sin_nombre">#REF!</definedName>
    <definedName name="_3" localSheetId="7">#REF!</definedName>
    <definedName name="_3">#REF!</definedName>
    <definedName name="_4" localSheetId="7">#REF!</definedName>
    <definedName name="_4">#REF!</definedName>
    <definedName name="_42C" localSheetId="7">#REF!</definedName>
    <definedName name="_42C">#REF!</definedName>
    <definedName name="_42D" localSheetId="7">#REF!</definedName>
    <definedName name="_42D">#REF!</definedName>
    <definedName name="_42E" localSheetId="7">#REF!</definedName>
    <definedName name="_42E">#REF!</definedName>
    <definedName name="_44" localSheetId="7">#REF!</definedName>
    <definedName name="_44">#REF!</definedName>
    <definedName name="_6" localSheetId="7">#REF!</definedName>
    <definedName name="_6">#REF!</definedName>
    <definedName name="_a1" localSheetId="7" hidden="1">{"TAB1",#N/A,TRUE,"GENERAL";"TAB2",#N/A,TRUE,"GENERAL";"TAB3",#N/A,TRUE,"GENERAL";"TAB4",#N/A,TRUE,"GENERAL";"TAB5",#N/A,TRUE,"GENERAL"}</definedName>
    <definedName name="_a1" localSheetId="4"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localSheetId="4"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localSheetId="4"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4"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4"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CT1" localSheetId="7">#REF!</definedName>
    <definedName name="_ACT1">#REF!</definedName>
    <definedName name="_ACT2" localSheetId="7">#REF!</definedName>
    <definedName name="_ACT2">#REF!</definedName>
    <definedName name="_AFC1" localSheetId="7">#REF!</definedName>
    <definedName name="_AFC1">#REF!</definedName>
    <definedName name="_AFC3" localSheetId="7">#REF!</definedName>
    <definedName name="_AFC3">#REF!</definedName>
    <definedName name="_AFC5" localSheetId="7">#REF!</definedName>
    <definedName name="_AFC5">#REF!</definedName>
    <definedName name="_b2" localSheetId="7" hidden="1">{"TAB1",#N/A,TRUE,"GENERAL";"TAB2",#N/A,TRUE,"GENERAL";"TAB3",#N/A,TRUE,"GENERAL";"TAB4",#N/A,TRUE,"GENERAL";"TAB5",#N/A,TRUE,"GENERAL"}</definedName>
    <definedName name="_b2" localSheetId="4"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229177" localSheetId="7">#REF!</definedName>
    <definedName name="_B229177">#REF!</definedName>
    <definedName name="_b3" localSheetId="7" hidden="1">{"TAB1",#N/A,TRUE,"GENERAL";"TAB2",#N/A,TRUE,"GENERAL";"TAB3",#N/A,TRUE,"GENERAL";"TAB4",#N/A,TRUE,"GENERAL";"TAB5",#N/A,TRUE,"GENERAL"}</definedName>
    <definedName name="_b3" localSheetId="4"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4"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4"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4"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4"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4"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 localSheetId="7">#REF!</definedName>
    <definedName name="_BGC1">#REF!</definedName>
    <definedName name="_BGC3" localSheetId="7">#REF!</definedName>
    <definedName name="_BGC3">#REF!</definedName>
    <definedName name="_BGC5" localSheetId="7">#REF!</definedName>
    <definedName name="_BGC5">#REF!</definedName>
    <definedName name="_c111172" localSheetId="7">#REF!</definedName>
    <definedName name="_c111172">#REF!</definedName>
    <definedName name="_CAC1" localSheetId="7">#REF!</definedName>
    <definedName name="_CAC1">#REF!</definedName>
    <definedName name="_CAC3" localSheetId="7">#REF!</definedName>
    <definedName name="_CAC3">#REF!</definedName>
    <definedName name="_CAC5" localSheetId="7">#REF!</definedName>
    <definedName name="_CAC5">#REF!</definedName>
    <definedName name="_Cod1" localSheetId="7">#REF!</definedName>
    <definedName name="_Cod1">#REF!</definedName>
    <definedName name="_Cos1" localSheetId="7">#REF!</definedName>
    <definedName name="_Cos1">#REF!</definedName>
    <definedName name="_EST1" localSheetId="7">#REF!</definedName>
    <definedName name="_EST1">#REF!</definedName>
    <definedName name="_EST10" localSheetId="7">#REF!</definedName>
    <definedName name="_EST10">#REF!</definedName>
    <definedName name="_EST11" localSheetId="7">#REF!</definedName>
    <definedName name="_EST11">#REF!</definedName>
    <definedName name="_EST12" localSheetId="7">#REF!</definedName>
    <definedName name="_EST12">#REF!</definedName>
    <definedName name="_EST13" localSheetId="7">#REF!</definedName>
    <definedName name="_EST13">#REF!</definedName>
    <definedName name="_EST14" localSheetId="7">#REF!</definedName>
    <definedName name="_EST14">#REF!</definedName>
    <definedName name="_EST15" localSheetId="7">#REF!</definedName>
    <definedName name="_EST15">#REF!</definedName>
    <definedName name="_EST16" localSheetId="7">#REF!</definedName>
    <definedName name="_EST16">#REF!</definedName>
    <definedName name="_EST17" localSheetId="7">#REF!</definedName>
    <definedName name="_EST17">#REF!</definedName>
    <definedName name="_EST18" localSheetId="7">#REF!</definedName>
    <definedName name="_EST18">#REF!</definedName>
    <definedName name="_EST19" localSheetId="7">#REF!</definedName>
    <definedName name="_EST19">#REF!</definedName>
    <definedName name="_EST2" localSheetId="7">#REF!</definedName>
    <definedName name="_EST2">#REF!</definedName>
    <definedName name="_EST3" localSheetId="7">#REF!</definedName>
    <definedName name="_EST3">#REF!</definedName>
    <definedName name="_EST4" localSheetId="7">#REF!</definedName>
    <definedName name="_EST4">#REF!</definedName>
    <definedName name="_EST5" localSheetId="7">#REF!</definedName>
    <definedName name="_EST5">#REF!</definedName>
    <definedName name="_EST6" localSheetId="7">#REF!</definedName>
    <definedName name="_EST6">#REF!</definedName>
    <definedName name="_EST7" localSheetId="7">#REF!</definedName>
    <definedName name="_EST7">#REF!</definedName>
    <definedName name="_EST8" localSheetId="7">#REF!</definedName>
    <definedName name="_EST8">#REF!</definedName>
    <definedName name="_EST9" localSheetId="7">#REF!</definedName>
    <definedName name="_EST9">#REF!</definedName>
    <definedName name="_EXC1" localSheetId="7">#REF!</definedName>
    <definedName name="_EXC1">#REF!</definedName>
    <definedName name="_EXC10" localSheetId="7">#REF!</definedName>
    <definedName name="_EXC10">#REF!</definedName>
    <definedName name="_EXC11" localSheetId="7">#REF!</definedName>
    <definedName name="_EXC11">#REF!</definedName>
    <definedName name="_EXC12" localSheetId="7">#REF!</definedName>
    <definedName name="_EXC12">#REF!</definedName>
    <definedName name="_EXC2" localSheetId="7">#REF!</definedName>
    <definedName name="_EXC2">#REF!</definedName>
    <definedName name="_EXC3" localSheetId="7">#REF!</definedName>
    <definedName name="_EXC3">#REF!</definedName>
    <definedName name="_EXC4" localSheetId="7">#REF!</definedName>
    <definedName name="_EXC4">#REF!</definedName>
    <definedName name="_EXC5" localSheetId="7">#REF!</definedName>
    <definedName name="_EXC5">#REF!</definedName>
    <definedName name="_EXC6" localSheetId="7">#REF!</definedName>
    <definedName name="_EXC6">#REF!</definedName>
    <definedName name="_EXC7" localSheetId="7">#REF!</definedName>
    <definedName name="_EXC7">#REF!</definedName>
    <definedName name="_EXC8" localSheetId="7">#REF!</definedName>
    <definedName name="_EXC8">#REF!</definedName>
    <definedName name="_EXC9" localSheetId="7">#REF!</definedName>
    <definedName name="_EXC9">#REF!</definedName>
    <definedName name="_FC">#N/A</definedName>
    <definedName name="_FEC5" localSheetId="7">#REF!,#REF!</definedName>
    <definedName name="_FEC5">#REF!,#REF!</definedName>
    <definedName name="_Fill" localSheetId="7" hidden="1">#REF!</definedName>
    <definedName name="_Fill" hidden="1">#REF!</definedName>
    <definedName name="_xlnm._FilterDatabase" localSheetId="7" hidden="1">'AGOSTO(23.09)rev05.11'!$A$7:$AX$109</definedName>
    <definedName name="_xlnm._FilterDatabase" localSheetId="6" hidden="1">'NOMINA AGOSTO_14.10'!$A$3:$AC$96</definedName>
    <definedName name="_xlnm._FilterDatabase" localSheetId="4" hidden="1">'POE DETALLADO 2027'!$B$11:$AE$42</definedName>
    <definedName name="_xlnm._FilterDatabase" localSheetId="3" hidden="1">'POP DETALLADO 2026 '!$B$11:$AE$42</definedName>
    <definedName name="_xlnm._FilterDatabase" hidden="1">#REF!</definedName>
    <definedName name="_FOR1" localSheetId="7">#REF!</definedName>
    <definedName name="_FOR1">#REF!</definedName>
    <definedName name="_g2" localSheetId="7" hidden="1">{"TAB1",#N/A,TRUE,"GENERAL";"TAB2",#N/A,TRUE,"GENERAL";"TAB3",#N/A,TRUE,"GENERAL";"TAB4",#N/A,TRUE,"GENERAL";"TAB5",#N/A,TRUE,"GENERAL"}</definedName>
    <definedName name="_g2" localSheetId="4"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4"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4"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4"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4"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localSheetId="4"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localSheetId="4"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4"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4"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4"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4"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4"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localSheetId="4"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UM1" localSheetId="7">#REF!</definedName>
    <definedName name="_HUM1">#REF!</definedName>
    <definedName name="_HUM2" localSheetId="7">#REF!</definedName>
    <definedName name="_HUM2">#REF!</definedName>
    <definedName name="_i126554" localSheetId="7">#REF!</definedName>
    <definedName name="_i126554">#REF!</definedName>
    <definedName name="_i4" localSheetId="7" hidden="1">{"via1",#N/A,TRUE,"general";"via2",#N/A,TRUE,"general";"via3",#N/A,TRUE,"general"}</definedName>
    <definedName name="_i4" localSheetId="4"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4"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4"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4"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4"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4"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4"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mp1" localSheetId="7">#REF!</definedName>
    <definedName name="_imp1">#REF!</definedName>
    <definedName name="_imp2" localSheetId="7">#REF!</definedName>
    <definedName name="_imp2">#REF!</definedName>
    <definedName name="_k3" localSheetId="7" hidden="1">{"TAB1",#N/A,TRUE,"GENERAL";"TAB2",#N/A,TRUE,"GENERAL";"TAB3",#N/A,TRUE,"GENERAL";"TAB4",#N/A,TRUE,"GENERAL";"TAB5",#N/A,TRUE,"GENERAL"}</definedName>
    <definedName name="_k3" localSheetId="4"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4"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4"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4"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4"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4"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hidden="1">#N/A</definedName>
    <definedName name="_Key2" localSheetId="7" hidden="1">#REF!</definedName>
    <definedName name="_Key2" hidden="1">#REF!</definedName>
    <definedName name="_kjk6" localSheetId="7" hidden="1">{"TAB1",#N/A,TRUE,"GENERAL";"TAB2",#N/A,TRUE,"GENERAL";"TAB3",#N/A,TRUE,"GENERAL";"TAB4",#N/A,TRUE,"GENERAL";"TAB5",#N/A,TRUE,"GENERAL"}</definedName>
    <definedName name="_kjk6" localSheetId="4"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localSheetId="4"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4"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4"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4"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4"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4"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4"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7">#REF!</definedName>
    <definedName name="_MA2">#REF!</definedName>
    <definedName name="_mes1" localSheetId="7">#REF!</definedName>
    <definedName name="_mes1">#REF!</definedName>
    <definedName name="_Mes2" localSheetId="7">#REF!</definedName>
    <definedName name="_Mes2">#REF!</definedName>
    <definedName name="_Mes3" localSheetId="7">#REF!</definedName>
    <definedName name="_Mes3">#REF!</definedName>
    <definedName name="_n3" localSheetId="7" hidden="1">{"TAB1",#N/A,TRUE,"GENERAL";"TAB2",#N/A,TRUE,"GENERAL";"TAB3",#N/A,TRUE,"GENERAL";"TAB4",#N/A,TRUE,"GENERAL";"TAB5",#N/A,TRUE,"GENERAL"}</definedName>
    <definedName name="_n3" localSheetId="4"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4"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4"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localSheetId="4"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4"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4"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4"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4"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4"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4"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7" hidden="1">{"via1",#N/A,TRUE,"general";"via2",#N/A,TRUE,"general";"via3",#N/A,TRUE,"general"}</definedName>
    <definedName name="_p6" localSheetId="4"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4"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4"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 localSheetId="7">#REF!</definedName>
    <definedName name="_Pa1">#REF!</definedName>
    <definedName name="_Pa2" localSheetId="7">#REF!</definedName>
    <definedName name="_Pa2">#REF!</definedName>
    <definedName name="_Pa3" localSheetId="7">#REF!</definedName>
    <definedName name="_Pa3">#REF!</definedName>
    <definedName name="_Pa4" localSheetId="7">#REF!</definedName>
    <definedName name="_Pa4">#REF!</definedName>
    <definedName name="_PRE1">#N/A</definedName>
    <definedName name="_r" localSheetId="7" hidden="1">{"TAB1",#N/A,TRUE,"GENERAL";"TAB2",#N/A,TRUE,"GENERAL";"TAB3",#N/A,TRUE,"GENERAL";"TAB4",#N/A,TRUE,"GENERAL";"TAB5",#N/A,TRUE,"GENERAL"}</definedName>
    <definedName name="_r" localSheetId="4"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4"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localSheetId="4"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 localSheetId="7" hidden="1">#REF!</definedName>
    <definedName name="_s" hidden="1">#REF!</definedName>
    <definedName name="_s1" localSheetId="7" hidden="1">{"via1",#N/A,TRUE,"general";"via2",#N/A,TRUE,"general";"via3",#N/A,TRUE,"general"}</definedName>
    <definedName name="_s1" localSheetId="4"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4"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4"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4"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4"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4"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 localSheetId="7">#REF!</definedName>
    <definedName name="_SBC1">#REF!</definedName>
    <definedName name="_SBC3" localSheetId="7">#REF!</definedName>
    <definedName name="_SBC3">#REF!</definedName>
    <definedName name="_SBC5" localSheetId="7">#REF!</definedName>
    <definedName name="_SBC5">#REF!</definedName>
    <definedName name="_Sort" hidden="1">#N/A</definedName>
    <definedName name="_Sort1" localSheetId="7" hidden="1">#REF!</definedName>
    <definedName name="_Sort1" hidden="1">#REF!</definedName>
    <definedName name="_t3" localSheetId="7" hidden="1">{"TAB1",#N/A,TRUE,"GENERAL";"TAB2",#N/A,TRUE,"GENERAL";"TAB3",#N/A,TRUE,"GENERAL";"TAB4",#N/A,TRUE,"GENERAL";"TAB5",#N/A,TRUE,"GENERAL"}</definedName>
    <definedName name="_t3" localSheetId="4"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4"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4"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4"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4"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4"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4"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4"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4"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4"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4"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1" localSheetId="7">#REF!</definedName>
    <definedName name="_TA1">#REF!</definedName>
    <definedName name="_TA2" localSheetId="7">#REF!</definedName>
    <definedName name="_TA2">#REF!</definedName>
    <definedName name="_TA3" localSheetId="7">#REF!</definedName>
    <definedName name="_TA3">#REF!</definedName>
    <definedName name="_TA4" localSheetId="7">#REF!</definedName>
    <definedName name="_TA4">#REF!</definedName>
    <definedName name="_TA5" localSheetId="7">#REF!</definedName>
    <definedName name="_TA5">#REF!</definedName>
    <definedName name="_TA6" localSheetId="7">#REF!</definedName>
    <definedName name="_TA6">#REF!</definedName>
    <definedName name="_TA7" localSheetId="7">#REF!</definedName>
    <definedName name="_TA7">#REF!</definedName>
    <definedName name="_TA8" localSheetId="7">#REF!</definedName>
    <definedName name="_TA8">#REF!</definedName>
    <definedName name="_TA9" localSheetId="7">#REF!</definedName>
    <definedName name="_TA9">#REF!</definedName>
    <definedName name="_u4" localSheetId="7" hidden="1">{"TAB1",#N/A,TRUE,"GENERAL";"TAB2",#N/A,TRUE,"GENERAL";"TAB3",#N/A,TRUE,"GENERAL";"TAB4",#N/A,TRUE,"GENERAL";"TAB5",#N/A,TRUE,"GENERAL"}</definedName>
    <definedName name="_u4" localSheetId="4"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4"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4"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4"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4"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7" hidden="1">{"TAB1",#N/A,TRUE,"GENERAL";"TAB2",#N/A,TRUE,"GENERAL";"TAB3",#N/A,TRUE,"GENERAL";"TAB4",#N/A,TRUE,"GENERAL";"TAB5",#N/A,TRUE,"GENERAL"}</definedName>
    <definedName name="_ur7" localSheetId="4"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4"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4"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4"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4"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4"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4"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4"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localSheetId="4"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LR1" localSheetId="7">(#REF!)</definedName>
    <definedName name="_VLR1">(#REF!)</definedName>
    <definedName name="_x1" localSheetId="7" hidden="1">{"TAB1",#N/A,TRUE,"GENERAL";"TAB2",#N/A,TRUE,"GENERAL";"TAB3",#N/A,TRUE,"GENERAL";"TAB4",#N/A,TRUE,"GENERAL";"TAB5",#N/A,TRUE,"GENERAL"}</definedName>
    <definedName name="_x1" localSheetId="4"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4"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4"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4"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4"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4"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4"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4"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4"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4"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4"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4"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4"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4"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4"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4"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4"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localSheetId="4"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4"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4"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4"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4"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4"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7">#REF!</definedName>
    <definedName name="a">#REF!</definedName>
    <definedName name="A.I.U" localSheetId="7">#REF!</definedName>
    <definedName name="A.I.U">#REF!</definedName>
    <definedName name="A.PVC" localSheetId="7">#REF!</definedName>
    <definedName name="A.PVC">#REF!</definedName>
    <definedName name="A_ANT" localSheetId="7">#REF!</definedName>
    <definedName name="A_ANT">#REF!</definedName>
    <definedName name="A_HOY" localSheetId="7">#REF!</definedName>
    <definedName name="A_HOY">#REF!</definedName>
    <definedName name="A_IMPRESIÓN_IM" localSheetId="7">#REF!</definedName>
    <definedName name="A_IMPRESIÓN_IM">#REF!</definedName>
    <definedName name="A_IMPRESIÚN_IM" localSheetId="7">#REF!</definedName>
    <definedName name="A_IMPRESIÚN_IM">#REF!</definedName>
    <definedName name="a1..056" localSheetId="7">#REF!</definedName>
    <definedName name="a1..056">#REF!</definedName>
    <definedName name="A13.68" localSheetId="7">#REF!</definedName>
    <definedName name="A13.68">#REF!</definedName>
    <definedName name="A1S" localSheetId="7">#REF!</definedName>
    <definedName name="A1S">#REF!</definedName>
    <definedName name="A1XO56" localSheetId="7">#REF!</definedName>
    <definedName name="A1XO56">#REF!</definedName>
    <definedName name="a2a" localSheetId="7" hidden="1">{"TAB1",#N/A,TRUE,"GENERAL";"TAB2",#N/A,TRUE,"GENERAL";"TAB3",#N/A,TRUE,"GENERAL";"TAB4",#N/A,TRUE,"GENERAL";"TAB5",#N/A,TRUE,"GENERAL"}</definedName>
    <definedName name="a2a" localSheetId="4"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2S" localSheetId="7">#REF!</definedName>
    <definedName name="A2S">#REF!</definedName>
    <definedName name="aa" localSheetId="7">#REF!</definedName>
    <definedName name="aa">#REF!</definedName>
    <definedName name="aaa" localSheetId="7">#REF!</definedName>
    <definedName name="aaa">#REF!</definedName>
    <definedName name="AAAA" localSheetId="7">#REF!</definedName>
    <definedName name="AAAA">#REF!</definedName>
    <definedName name="AAAAAA" localSheetId="7">#REF!</definedName>
    <definedName name="AAAAAA">#REF!</definedName>
    <definedName name="aaaaas" localSheetId="7"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 localSheetId="7">#REF!</definedName>
    <definedName name="AAC">#REF!</definedName>
    <definedName name="aas" localSheetId="7" hidden="1">{"TAB1",#N/A,TRUE,"GENERAL";"TAB2",#N/A,TRUE,"GENERAL";"TAB3",#N/A,TRUE,"GENERAL";"TAB4",#N/A,TRUE,"GENERAL";"TAB5",#N/A,TRUE,"GENERAL"}</definedName>
    <definedName name="aas" localSheetId="4"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FIN" localSheetId="7">#REF!</definedName>
    <definedName name="ABFIN">#REF!</definedName>
    <definedName name="ABG" localSheetId="7">#REF!</definedName>
    <definedName name="ABG">#REF!</definedName>
    <definedName name="ABIN" localSheetId="7">#REF!</definedName>
    <definedName name="ABIN">#REF!</definedName>
    <definedName name="absc" localSheetId="7">#REF!</definedName>
    <definedName name="absc" localSheetId="4">#REF!</definedName>
    <definedName name="absc" localSheetId="3">#REF!</definedName>
    <definedName name="absc">#REF!</definedName>
    <definedName name="absc1" localSheetId="7">#REF!</definedName>
    <definedName name="absc1" localSheetId="4">#REF!</definedName>
    <definedName name="absc1" localSheetId="3">#REF!</definedName>
    <definedName name="absc1">#REF!</definedName>
    <definedName name="ABSCF" localSheetId="7">#REF!</definedName>
    <definedName name="ABSCF">#REF!</definedName>
    <definedName name="ABSCI" localSheetId="7">#REF!</definedName>
    <definedName name="ABSCI">#REF!</definedName>
    <definedName name="AC" localSheetId="7">#REF!</definedName>
    <definedName name="AC">#REF!</definedName>
    <definedName name="ACA" localSheetId="7">#REF!</definedName>
    <definedName name="ACA">#REF!</definedName>
    <definedName name="AccessDatabase" hidden="1">"C:\C-314\VOLUMENES\volfin4.mdb"</definedName>
    <definedName name="ACEITES" localSheetId="7">#REF!,#REF!,#REF!,#REF!,#REF!</definedName>
    <definedName name="ACEITES">#REF!,#REF!,#REF!,#REF!,#REF!</definedName>
    <definedName name="ACER" localSheetId="7">#REF!</definedName>
    <definedName name="ACER">#REF!</definedName>
    <definedName name="Acero" localSheetId="7">#REF!</definedName>
    <definedName name="Acero">#REF!</definedName>
    <definedName name="ACTA" localSheetId="7">#REF!</definedName>
    <definedName name="ACTA">#REF!</definedName>
    <definedName name="actas" localSheetId="7">#REF!</definedName>
    <definedName name="actas">#REF!</definedName>
    <definedName name="ACUM" localSheetId="7">#REF!</definedName>
    <definedName name="ACUM">#REF!</definedName>
    <definedName name="ACUM1" localSheetId="7">(#REF!)</definedName>
    <definedName name="ACUM1">(#REF!)</definedName>
    <definedName name="ACUM2" localSheetId="7">#REF!</definedName>
    <definedName name="ACUM2">#REF!</definedName>
    <definedName name="Acumulado" localSheetId="7">#REF!</definedName>
    <definedName name="Acumulado">#REF!</definedName>
    <definedName name="Adecueinstalacion" localSheetId="7">#REF!</definedName>
    <definedName name="Adecueinstalacion">#REF!</definedName>
    <definedName name="ADFGSDB" localSheetId="7" hidden="1">{"via1",#N/A,TRUE,"general";"via2",#N/A,TRUE,"general";"via3",#N/A,TRUE,"general"}</definedName>
    <definedName name="ADFGSDB" localSheetId="4"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in" localSheetId="7">#REF!</definedName>
    <definedName name="Admin">#REF!</definedName>
    <definedName name="ADMINISTRACION" localSheetId="7">#REF!</definedName>
    <definedName name="ADMINISTRACION">#REF!</definedName>
    <definedName name="administrador" localSheetId="7">#REF!</definedName>
    <definedName name="administrador">#REF!</definedName>
    <definedName name="admon" localSheetId="7">#REF!</definedName>
    <definedName name="admon">#REF!</definedName>
    <definedName name="adoc1" localSheetId="7">#REF!</definedName>
    <definedName name="adoc1" localSheetId="4">#REF!</definedName>
    <definedName name="adoc1" localSheetId="3">#REF!</definedName>
    <definedName name="adoc1">#REF!</definedName>
    <definedName name="adoq" localSheetId="7">#REF!</definedName>
    <definedName name="adoq" localSheetId="4">#REF!</definedName>
    <definedName name="adoq" localSheetId="3">#REF!</definedName>
    <definedName name="adoq">#REF!</definedName>
    <definedName name="ADSAD" localSheetId="7" hidden="1">{"TAB1",#N/A,TRUE,"GENERAL";"TAB2",#N/A,TRUE,"GENERAL";"TAB3",#N/A,TRUE,"GENERAL";"TAB4",#N/A,TRUE,"GENERAL";"TAB5",#N/A,TRUE,"GENERAL"}</definedName>
    <definedName name="ADSAD" localSheetId="4"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4"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localSheetId="4"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localSheetId="4"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regados" localSheetId="7">#REF!</definedName>
    <definedName name="Agregados">#REF!</definedName>
    <definedName name="AGUA" localSheetId="7">#REF!</definedName>
    <definedName name="AGUA">#REF!</definedName>
    <definedName name="AIRE" localSheetId="7">#REF!</definedName>
    <definedName name="AIRE">#REF!</definedName>
    <definedName name="aiu" localSheetId="7">#REF!</definedName>
    <definedName name="aiu">#REF!</definedName>
    <definedName name="Ajizal" localSheetId="7">#REF!</definedName>
    <definedName name="Ajizal">#REF!</definedName>
    <definedName name="AjustDelAIU" localSheetId="7">#REF!</definedName>
    <definedName name="AjustDelAIU">#REF!</definedName>
    <definedName name="ajuste" localSheetId="7">#REF!</definedName>
    <definedName name="ajuste">#REF!</definedName>
    <definedName name="alc" localSheetId="7">#REF!</definedName>
    <definedName name="alc" localSheetId="4">#REF!</definedName>
    <definedName name="alc" localSheetId="3">#REF!</definedName>
    <definedName name="alc">#REF!</definedName>
    <definedName name="alquiler" localSheetId="7">#REF!</definedName>
    <definedName name="alquiler">#REF!</definedName>
    <definedName name="AMBIEN" localSheetId="7">#REF!</definedName>
    <definedName name="AMBIEN">#REF!</definedName>
    <definedName name="analequipo" localSheetId="7">#REF!</definedName>
    <definedName name="analequipo">#REF!</definedName>
    <definedName name="AnsermaCartago" localSheetId="7">#REF!</definedName>
    <definedName name="AnsermaCartago">#REF!</definedName>
    <definedName name="AntCach" localSheetId="7">#REF!</definedName>
    <definedName name="AntCach">#REF!</definedName>
    <definedName name="Antic" localSheetId="7">#REF!</definedName>
    <definedName name="Antic">#REF!</definedName>
    <definedName name="AnticAdic" localSheetId="7">#REF!</definedName>
    <definedName name="AnticAdic">#REF!</definedName>
    <definedName name="ANTICIPO" localSheetId="7">#REF!</definedName>
    <definedName name="ANTICIPO">#REF!</definedName>
    <definedName name="Apar.Sanitarios" localSheetId="7">#REF!</definedName>
    <definedName name="Apar.Sanitarios">#REF!</definedName>
    <definedName name="APU" localSheetId="7">#REF!</definedName>
    <definedName name="APU">#REF!</definedName>
    <definedName name="APUFEB" localSheetId="7">#REF!</definedName>
    <definedName name="APUFEB">#REF!</definedName>
    <definedName name="aqaq" localSheetId="7" hidden="1">{"TAB1",#N/A,TRUE,"GENERAL";"TAB2",#N/A,TRUE,"GENERAL";"TAB3",#N/A,TRUE,"GENERAL";"TAB4",#N/A,TRUE,"GENERAL";"TAB5",#N/A,TRUE,"GENERAL"}</definedName>
    <definedName name="aqaq" localSheetId="4"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R" localSheetId="7">#REF!</definedName>
    <definedName name="AR">#REF!</definedName>
    <definedName name="AREA" localSheetId="7">#REF!</definedName>
    <definedName name="AREA">#REF!</definedName>
    <definedName name="_xlnm.Print_Area" localSheetId="7">'AGOSTO(23.09)rev05.11'!$A$1:$AP$143</definedName>
    <definedName name="_xlnm.Print_Area" localSheetId="8">'CAJA MENOR ABRIL 2025'!$A$1:$S$14</definedName>
    <definedName name="_xlnm.Print_Area" localSheetId="9">'CAJA MENOR MARZO 2025'!$A$1:$R$20</definedName>
    <definedName name="_xlnm.Print_Area" localSheetId="4">'POE DETALLADO 2027'!$B$9:$AD$162</definedName>
    <definedName name="_xlnm.Print_Area" localSheetId="3">'POP DETALLADO 2026 '!$B$9:$AD$163</definedName>
    <definedName name="_xlnm.Print_Area" localSheetId="2">'PRESUP. OFICIAL CONSOL'!$A$1:$E$43</definedName>
    <definedName name="_xlnm.Print_Area" localSheetId="0">Resumen!$A$5:$T$14</definedName>
    <definedName name="_xlnm.Print_Area">#REF!</definedName>
    <definedName name="Arrendamientos" localSheetId="7">#REF!</definedName>
    <definedName name="Arrendamientos">#REF!</definedName>
    <definedName name="ARTE" localSheetId="7">#REF!</definedName>
    <definedName name="ARTE">#REF!</definedName>
    <definedName name="asa" localSheetId="7">#REF!</definedName>
    <definedName name="asa">#REF!</definedName>
    <definedName name="asas" localSheetId="7">#REF!</definedName>
    <definedName name="asas">#REF!</definedName>
    <definedName name="asasasa" localSheetId="7">#REF!</definedName>
    <definedName name="asasasa">#REF!</definedName>
    <definedName name="asasasas" localSheetId="7">#REF!</definedName>
    <definedName name="asasasas">#REF!</definedName>
    <definedName name="asasasasa" localSheetId="7">#REF!</definedName>
    <definedName name="asasasasa">#REF!</definedName>
    <definedName name="asasasasas" localSheetId="7">#REF!</definedName>
    <definedName name="asasasasas">#REF!</definedName>
    <definedName name="ASB" localSheetId="7">#REF!</definedName>
    <definedName name="ASB">#REF!</definedName>
    <definedName name="ASD" localSheetId="7" hidden="1">{"via1",#N/A,TRUE,"general";"via2",#N/A,TRUE,"general";"via3",#N/A,TRUE,"general"}</definedName>
    <definedName name="ASD" localSheetId="4"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4"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 localSheetId="7">#REF!</definedName>
    <definedName name="ASDAS">#REF!</definedName>
    <definedName name="asdasd" localSheetId="7"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4"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4"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eguracalidad" localSheetId="7">#REF!</definedName>
    <definedName name="Aseguracalidad">#REF!</definedName>
    <definedName name="asfasd" localSheetId="7" hidden="1">{"via1",#N/A,TRUE,"general";"via2",#N/A,TRUE,"general";"via3",#N/A,TRUE,"general"}</definedName>
    <definedName name="asfasd" localSheetId="4"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4"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7" hidden="1">{"TAB1",#N/A,TRUE,"GENERAL";"TAB2",#N/A,TRUE,"GENERAL";"TAB3",#N/A,TRUE,"GENERAL";"TAB4",#N/A,TRUE,"GENERAL";"TAB5",#N/A,TRUE,"GENERAL"}</definedName>
    <definedName name="asff" localSheetId="4"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4"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B" localSheetId="7">#REF!</definedName>
    <definedName name="ATB">#REF!</definedName>
    <definedName name="azaz" localSheetId="7" hidden="1">{"TAB1",#N/A,TRUE,"GENERAL";"TAB2",#N/A,TRUE,"GENERAL";"TAB3",#N/A,TRUE,"GENERAL";"TAB4",#N/A,TRUE,"GENERAL";"TAB5",#N/A,TRUE,"GENERAL"}</definedName>
    <definedName name="azaz" localSheetId="4"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4" hidden="1">{"via1",#N/A,TRUE,"general";"via2",#N/A,TRUE,"general";"via3",#N/A,TRUE,"general"}</definedName>
    <definedName name="B" localSheetId="3" hidden="1">{"via1",#N/A,TRUE,"general";"via2",#N/A,TRUE,"general";"via3",#N/A,TRUE,"general"}</definedName>
    <definedName name="B" hidden="1">{"via1",#N/A,TRUE,"general";"via2",#N/A,TRUE,"general";"via3",#N/A,TRUE,"general"}</definedName>
    <definedName name="B.T1" localSheetId="7">#REF!</definedName>
    <definedName name="B.T1">#REF!</definedName>
    <definedName name="B_T1" localSheetId="7">#REF!</definedName>
    <definedName name="B_T1">#REF!</definedName>
    <definedName name="Base" localSheetId="7">#REF!</definedName>
    <definedName name="Base">#REF!</definedName>
    <definedName name="base_datos_t45" localSheetId="7">#REF!</definedName>
    <definedName name="base_datos_t45">#REF!</definedName>
    <definedName name="BaseDatos_Ore1" localSheetId="7">#REF!</definedName>
    <definedName name="BaseDatos_Ore1">#REF!</definedName>
    <definedName name="BaseDatos_T831" localSheetId="7">#REF!</definedName>
    <definedName name="BaseDatos_T831">#REF!</definedName>
    <definedName name="_xlnm.Database">#REF!</definedName>
    <definedName name="BASEQUI" localSheetId="7">#REF!</definedName>
    <definedName name="BASEQUI">#REF!</definedName>
    <definedName name="BASMANO" localSheetId="7">#REF!</definedName>
    <definedName name="BASMANO">#REF!</definedName>
    <definedName name="BASMATE" localSheetId="7">#REF!</definedName>
    <definedName name="BASMATE">#REF!</definedName>
    <definedName name="bbbbbb" localSheetId="7" hidden="1">{"via1",#N/A,TRUE,"general";"via2",#N/A,TRUE,"general";"via3",#N/A,TRUE,"general"}</definedName>
    <definedName name="bbbbbb" localSheetId="4"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4"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 localSheetId="7">#REF!</definedName>
    <definedName name="Bd">#REF!</definedName>
    <definedName name="Bd__2" localSheetId="7">#REF!</definedName>
    <definedName name="Bd__2">#REF!</definedName>
    <definedName name="Bd_2" localSheetId="7">#REF!</definedName>
    <definedName name="Bd_2">#REF!</definedName>
    <definedName name="BDFB" localSheetId="7" hidden="1">{"via1",#N/A,TRUE,"general";"via2",#N/A,TRUE,"general";"via3",#N/A,TRUE,"general"}</definedName>
    <definedName name="BDFB" localSheetId="4"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4"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B" localSheetId="7">#REF!</definedName>
    <definedName name="BEB">#REF!</definedName>
    <definedName name="bfnfv" localSheetId="7" hidden="1">{"TAB1",#N/A,TRUE,"GENERAL";"TAB2",#N/A,TRUE,"GENERAL";"TAB3",#N/A,TRUE,"GENERAL";"TAB4",#N/A,TRUE,"GENERAL";"TAB5",#N/A,TRUE,"GENERAL"}</definedName>
    <definedName name="bfnfv" localSheetId="4"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localSheetId="4"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4"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4"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localSheetId="4"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r" localSheetId="7" hidden="1">{"TAB1",#N/A,TRUE,"GENERAL";"TAB2",#N/A,TRUE,"GENERAL";"TAB3",#N/A,TRUE,"GENERAL";"TAB4",#N/A,TRUE,"GENERAL";"TAB5",#N/A,TRUE,"GENERAL"}</definedName>
    <definedName name="br" localSheetId="4"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Q" localSheetId="7">#REF!</definedName>
    <definedName name="BRIQ">#REF!</definedName>
    <definedName name="bsb" localSheetId="7" hidden="1">{"via1",#N/A,TRUE,"general";"via2",#N/A,TRUE,"general";"via3",#N/A,TRUE,"general"}</definedName>
    <definedName name="bsb" localSheetId="4"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4"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localSheetId="4"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DGET" localSheetId="7">#REF!</definedName>
    <definedName name="BUDGET">#REF!</definedName>
    <definedName name="BUDGETNORTE" localSheetId="7">#REF!</definedName>
    <definedName name="BUDGETNORTE">#REF!</definedName>
    <definedName name="BUDGETSUR" localSheetId="7">#REF!</definedName>
    <definedName name="BUDGETSUR">#REF!</definedName>
    <definedName name="BuiltIn_Print_Area" localSheetId="7">#REF!</definedName>
    <definedName name="BuiltIn_Print_Area">#REF!</definedName>
    <definedName name="BuiltIn_Print_Area___0" localSheetId="7">#REF!</definedName>
    <definedName name="BuiltIn_Print_Area___0">#REF!</definedName>
    <definedName name="BuiltIn_Print_Area___0___0" localSheetId="7">#REF!</definedName>
    <definedName name="BuiltIn_Print_Area___0___0">#REF!</definedName>
    <definedName name="BuiltIn_Print_Area___0___0___0" localSheetId="7">#REF!</definedName>
    <definedName name="BuiltIn_Print_Area___0___0___0">#REF!</definedName>
    <definedName name="BuiltIn_Print_Titles" localSheetId="7">#REF!</definedName>
    <definedName name="BuiltIn_Print_Titles">#REF!</definedName>
    <definedName name="bvbc" localSheetId="7" hidden="1">{"TAB1",#N/A,TRUE,"GENERAL";"TAB2",#N/A,TRUE,"GENERAL";"TAB3",#N/A,TRUE,"GENERAL";"TAB4",#N/A,TRUE,"GENERAL";"TAB5",#N/A,TRUE,"GENERAL"}</definedName>
    <definedName name="bvbc" localSheetId="4"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4"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4"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localSheetId="4"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CLAV" localSheetId="7">#REF!</definedName>
    <definedName name="C.CLAV">#REF!</definedName>
    <definedName name="C.FON" localSheetId="7">#REF!</definedName>
    <definedName name="C.FON">#REF!</definedName>
    <definedName name="C.LOM" localSheetId="7">#REF!</definedName>
    <definedName name="C.LOM">#REF!</definedName>
    <definedName name="C.RAS" localSheetId="7">#REF!</definedName>
    <definedName name="C.RAS">#REF!</definedName>
    <definedName name="C.TERR" localSheetId="7">#REF!</definedName>
    <definedName name="C.TERR">#REF!</definedName>
    <definedName name="C_">#N/A</definedName>
    <definedName name="C_grupo1" localSheetId="7">#REF!</definedName>
    <definedName name="C_grupo1">#REF!</definedName>
    <definedName name="C_LOM" localSheetId="7">#REF!</definedName>
    <definedName name="C_LOM">#REF!</definedName>
    <definedName name="cabina" localSheetId="7">#REF!</definedName>
    <definedName name="cabina">#REF!</definedName>
    <definedName name="CALEND" localSheetId="7">#REF!</definedName>
    <definedName name="CALEND">#REF!</definedName>
    <definedName name="CALENDARIO" localSheetId="7">#REF!</definedName>
    <definedName name="CALENDARIO">#REF!</definedName>
    <definedName name="CALENDARIO1" localSheetId="7">#REF!</definedName>
    <definedName name="CALENDARIO1">#REF!</definedName>
    <definedName name="calidad" localSheetId="7">#REF!</definedName>
    <definedName name="calidad">#REF!</definedName>
    <definedName name="CAM_CAIDA" localSheetId="7">#REF!</definedName>
    <definedName name="CAM_CAIDA">#REF!</definedName>
    <definedName name="CANT">#N/A</definedName>
    <definedName name="Cantidad" localSheetId="7">#REF!</definedName>
    <definedName name="Cantidad">#REF!</definedName>
    <definedName name="CAP" localSheetId="7">#REF!</definedName>
    <definedName name="CAP">#REF!</definedName>
    <definedName name="CAPIT" localSheetId="7">#REF!</definedName>
    <definedName name="CAPIT">#REF!</definedName>
    <definedName name="CAPITULO" localSheetId="7">#REF!</definedName>
    <definedName name="CAPITULO">#REF!</definedName>
    <definedName name="caro">#N/A</definedName>
    <definedName name="caro2">#N/A</definedName>
    <definedName name="Carp.Aluminio" localSheetId="7">#REF!</definedName>
    <definedName name="Carp.Aluminio">#REF!</definedName>
    <definedName name="Carp.Metalica" localSheetId="7">#REF!</definedName>
    <definedName name="Carp.Metalica">#REF!</definedName>
    <definedName name="CASQ" localSheetId="7">#REF!</definedName>
    <definedName name="CASQ">#REF!</definedName>
    <definedName name="ccccc" localSheetId="7" hidden="1">{"TAB1",#N/A,TRUE,"GENERAL";"TAB2",#N/A,TRUE,"GENERAL";"TAB3",#N/A,TRUE,"GENERAL";"TAB4",#N/A,TRUE,"GENERAL";"TAB5",#N/A,TRUE,"GENERAL"}</definedName>
    <definedName name="ccccc" localSheetId="4"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d" localSheetId="7">#REF!</definedName>
    <definedName name="cd">#REF!</definedName>
    <definedName name="cdcdc" localSheetId="7" hidden="1">{"via1",#N/A,TRUE,"general";"via2",#N/A,TRUE,"general";"via3",#N/A,TRUE,"general"}</definedName>
    <definedName name="cdcdc" localSheetId="4"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 localSheetId="7">#REF!</definedName>
    <definedName name="CDctrl">#REF!</definedName>
    <definedName name="CDO" localSheetId="7">#REF!</definedName>
    <definedName name="CDO">#REF!</definedName>
    <definedName name="ceerf" localSheetId="7" hidden="1">{"TAB1",#N/A,TRUE,"GENERAL";"TAB2",#N/A,TRUE,"GENERAL";"TAB3",#N/A,TRUE,"GENERAL";"TAB4",#N/A,TRUE,"GENERAL";"TAB5",#N/A,TRUE,"GENERAL"}</definedName>
    <definedName name="ceerf" localSheetId="4"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rrajeria" localSheetId="7">#REF!</definedName>
    <definedName name="Cerrajeria">#REF!</definedName>
    <definedName name="ChequeoCantidades" localSheetId="7">#REF!</definedName>
    <definedName name="ChequeoCantidades">#REF!</definedName>
    <definedName name="ci" localSheetId="7">#REF!</definedName>
    <definedName name="ci">#REF!</definedName>
    <definedName name="CILIND" localSheetId="7">#REF!</definedName>
    <definedName name="CILIND">#REF!</definedName>
    <definedName name="Ciudades" localSheetId="7">#REF!</definedName>
    <definedName name="Ciudades">#REF!</definedName>
    <definedName name="CL" localSheetId="7">#REF!</definedName>
    <definedName name="CL">#REF!</definedName>
    <definedName name="clcl" localSheetId="7">#REF!</definedName>
    <definedName name="clcl">#REF!</definedName>
    <definedName name="Cod" localSheetId="7">#REF!</definedName>
    <definedName name="Cod">#REF!</definedName>
    <definedName name="CODOS" localSheetId="7">#REF!</definedName>
    <definedName name="CODOS">#REF!</definedName>
    <definedName name="codos2" localSheetId="7">#REF!</definedName>
    <definedName name="codos2">#REF!</definedName>
    <definedName name="ColTap" localSheetId="7">#REF!</definedName>
    <definedName name="ColTap">#REF!</definedName>
    <definedName name="COM.LIM" localSheetId="7">#REF!</definedName>
    <definedName name="COM.LIM">#REF!</definedName>
    <definedName name="Combustible" localSheetId="7">#REF!</definedName>
    <definedName name="Combustible">#REF!</definedName>
    <definedName name="COMP" localSheetId="7">#REF!</definedName>
    <definedName name="COMP">#REF!</definedName>
    <definedName name="CON.FUN" localSheetId="7">#REF!</definedName>
    <definedName name="CON.FUN">#REF!</definedName>
    <definedName name="CON.LIM" localSheetId="7">#REF!</definedName>
    <definedName name="CON.LIM">#REF!</definedName>
    <definedName name="CON.POZ" localSheetId="7">#REF!</definedName>
    <definedName name="CON.POZ">#REF!</definedName>
    <definedName name="CON.TUB" localSheetId="7">#REF!</definedName>
    <definedName name="CON.TUB">#REF!</definedName>
    <definedName name="CONC" localSheetId="7">#REF!</definedName>
    <definedName name="CONC">#REF!</definedName>
    <definedName name="CONCRETO" localSheetId="7">#REF!</definedName>
    <definedName name="CONCRETO">#REF!</definedName>
    <definedName name="CONCRETO_F.C_4" localSheetId="7">#REF!</definedName>
    <definedName name="CONCRETO_F.C_4">#REF!</definedName>
    <definedName name="concreto_FC_2.2" localSheetId="7">#REF!</definedName>
    <definedName name="concreto_FC_2.2">#REF!</definedName>
    <definedName name="Concretos" localSheetId="7">#REF!</definedName>
    <definedName name="Concretos">#REF!</definedName>
    <definedName name="constante" localSheetId="7">#REF!</definedName>
    <definedName name="constante">#REF!</definedName>
    <definedName name="CONSUMO" localSheetId="7">#REF!</definedName>
    <definedName name="CONSUMO">#REF!</definedName>
    <definedName name="copia1" localSheetId="7">#REF!</definedName>
    <definedName name="copia1">#REF!</definedName>
    <definedName name="COSTO" localSheetId="7">#REF!</definedName>
    <definedName name="COSTO">#REF!</definedName>
    <definedName name="COSTO1" localSheetId="7">#REF!</definedName>
    <definedName name="COSTO1">#REF!</definedName>
    <definedName name="CostoAnsermaCartago" localSheetId="7">#REF!</definedName>
    <definedName name="CostoAnsermaCartago">#REF!</definedName>
    <definedName name="CostoMediacanoaAnserma" localSheetId="7">#REF!</definedName>
    <definedName name="CostoMediacanoaAnserma">#REF!</definedName>
    <definedName name="COSTOS_DIRECTOS" localSheetId="7">#REF!</definedName>
    <definedName name="COSTOS_DIRECTOS">#REF!</definedName>
    <definedName name="credito_completa" localSheetId="7">#REF!</definedName>
    <definedName name="credito_completa">#REF!</definedName>
    <definedName name="Cuadrillas" localSheetId="7">#REF!</definedName>
    <definedName name="Cuadrillas">#REF!</definedName>
    <definedName name="Cubierta" localSheetId="7">#REF!</definedName>
    <definedName name="Cubierta">#REF!</definedName>
    <definedName name="CUE" localSheetId="7">#REF!</definedName>
    <definedName name="CUE">#REF!</definedName>
    <definedName name="CUER" localSheetId="7">#REF!</definedName>
    <definedName name="CUER">#REF!</definedName>
    <definedName name="CUERDA" localSheetId="7">#REF!</definedName>
    <definedName name="CUERDA">#REF!</definedName>
    <definedName name="CUNET" localSheetId="7" hidden="1">{"via1",#N/A,TRUE,"general";"via2",#N/A,TRUE,"general";"via3",#N/A,TRUE,"general"}</definedName>
    <definedName name="CUNET" localSheetId="4"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v" localSheetId="7" hidden="1">{"TAB1",#N/A,TRUE,"GENERAL";"TAB2",#N/A,TRUE,"GENERAL";"TAB3",#N/A,TRUE,"GENERAL";"TAB4",#N/A,TRUE,"GENERAL";"TAB5",#N/A,TRUE,"GENERAL"}</definedName>
    <definedName name="cv" localSheetId="4" hidden="1">{"TAB1",#N/A,TRUE,"GENERAL";"TAB2",#N/A,TRUE,"GENERAL";"TAB3",#N/A,TRUE,"GENERAL";"TAB4",#N/A,TRUE,"GENERAL";"TAB5",#N/A,TRUE,"GENERAL"}</definedName>
    <definedName name="cv" localSheetId="3" hidden="1">{"TAB1",#N/A,TRUE,"GENERAL";"TAB2",#N/A,TRUE,"GENERAL";"TAB3",#N/A,TRUE,"GENERAL";"TAB4",#N/A,TRUE,"GENERAL";"TAB5",#N/A,TRUE,"GENERAL"}</definedName>
    <definedName name="cv" hidden="1">{"TAB1",#N/A,TRUE,"GENERAL";"TAB2",#N/A,TRUE,"GENERAL";"TAB3",#N/A,TRUE,"GENERAL";"TAB4",#N/A,TRUE,"GENERAL";"TAB5",#N/A,TRUE,"GENERAL"}</definedName>
    <definedName name="CVa" localSheetId="7">#REF!</definedName>
    <definedName name="CVa">#REF!</definedName>
    <definedName name="cvfvd" localSheetId="7" hidden="1">{"via1",#N/A,TRUE,"general";"via2",#N/A,TRUE,"general";"via3",#N/A,TRUE,"general"}</definedName>
    <definedName name="cvfvd" localSheetId="4"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4"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4"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localSheetId="4"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0" localSheetId="7">#REF!</definedName>
    <definedName name="D_10">#REF!</definedName>
    <definedName name="D_EXT" localSheetId="7">#REF!</definedName>
    <definedName name="D_EXT">#REF!</definedName>
    <definedName name="D_INT" localSheetId="7">#REF!</definedName>
    <definedName name="D_INT">#REF!</definedName>
    <definedName name="D1S" localSheetId="7">#REF!</definedName>
    <definedName name="D1S">#REF!</definedName>
    <definedName name="D2S" localSheetId="7">#REF!</definedName>
    <definedName name="D2S">#REF!</definedName>
    <definedName name="D6.PVC" localSheetId="7">#REF!</definedName>
    <definedName name="D6.PVC">#REF!</definedName>
    <definedName name="D61S" localSheetId="7">#REF!</definedName>
    <definedName name="D61S">#REF!</definedName>
    <definedName name="D62S" localSheetId="7">#REF!</definedName>
    <definedName name="D62S">#REF!</definedName>
    <definedName name="D6R" localSheetId="7">#REF!</definedName>
    <definedName name="D6R">#REF!</definedName>
    <definedName name="D81S" localSheetId="7">#REF!</definedName>
    <definedName name="D81S">#REF!</definedName>
    <definedName name="D82S" localSheetId="7">#REF!</definedName>
    <definedName name="D82S">#REF!</definedName>
    <definedName name="D8R" localSheetId="7">#REF!</definedName>
    <definedName name="D8R">#REF!</definedName>
    <definedName name="da" localSheetId="7">#REF!</definedName>
    <definedName name="da">#REF!</definedName>
    <definedName name="DASD" localSheetId="7" hidden="1">{"TAB1",#N/A,TRUE,"GENERAL";"TAB2",#N/A,TRUE,"GENERAL";"TAB3",#N/A,TRUE,"GENERAL";"TAB4",#N/A,TRUE,"GENERAL";"TAB5",#N/A,TRUE,"GENERAL"}</definedName>
    <definedName name="DASD" localSheetId="4"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base" localSheetId="7">#REF!</definedName>
    <definedName name="Database">#REF!</definedName>
    <definedName name="Database1">#REF!</definedName>
    <definedName name="datos" localSheetId="7">#REF!</definedName>
    <definedName name="datos">#REF!</definedName>
    <definedName name="datos2" localSheetId="7">#REF!</definedName>
    <definedName name="datos2">#REF!</definedName>
    <definedName name="datoseq" localSheetId="7">#REF!</definedName>
    <definedName name="datoseq">#REF!</definedName>
    <definedName name="dbfdfbi" localSheetId="7"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localSheetId="4"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localSheetId="4"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t" localSheetId="7" hidden="1">{"via1",#N/A,TRUE,"general";"via2",#N/A,TRUE,"general";"via3",#N/A,TRUE,"general"}</definedName>
    <definedName name="ddddt" localSheetId="4"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 localSheetId="7">#REF!</definedName>
    <definedName name="De">#REF!</definedName>
    <definedName name="De_6" localSheetId="7">#REF!</definedName>
    <definedName name="De_6">#REF!</definedName>
    <definedName name="De_8" localSheetId="7">#REF!</definedName>
    <definedName name="De_8">#REF!</definedName>
    <definedName name="deded" localSheetId="7" hidden="1">{"TAB1",#N/A,TRUE,"GENERAL";"TAB2",#N/A,TRUE,"GENERAL";"TAB3",#N/A,TRUE,"GENERAL";"TAB4",#N/A,TRUE,"GENERAL";"TAB5",#N/A,TRUE,"GENERAL"}</definedName>
    <definedName name="deded" localSheetId="4"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4"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pav" localSheetId="7">#REF!</definedName>
    <definedName name="dem.pav">#REF!</definedName>
    <definedName name="deriv" localSheetId="7">#REF!</definedName>
    <definedName name="deriv">#REF!</definedName>
    <definedName name="descapote" localSheetId="7" hidden="1">{"TAB1",#N/A,TRUE,"GENERAL";"TAB2",#N/A,TRUE,"GENERAL";"TAB3",#N/A,TRUE,"GENERAL";"TAB4",#N/A,TRUE,"GENERAL";"TAB5",#N/A,TRUE,"GENERAL"}</definedName>
    <definedName name="descapote" localSheetId="4" hidden="1">{"TAB1",#N/A,TRUE,"GENERAL";"TAB2",#N/A,TRUE,"GENERAL";"TAB3",#N/A,TRUE,"GENERAL";"TAB4",#N/A,TRUE,"GENERAL";"TAB5",#N/A,TRUE,"GENERAL"}</definedName>
    <definedName name="descapote" localSheetId="3" hidden="1">{"TAB1",#N/A,TRUE,"GENERAL";"TAB2",#N/A,TRUE,"GENERAL";"TAB3",#N/A,TRUE,"GENERAL";"TAB4",#N/A,TRUE,"GENERAL";"TAB5",#N/A,TRUE,"GENERAL"}</definedName>
    <definedName name="descapote" hidden="1">{"TAB1",#N/A,TRUE,"GENERAL";"TAB2",#N/A,TRUE,"GENERAL";"TAB3",#N/A,TRUE,"GENERAL";"TAB4",#N/A,TRUE,"GENERAL";"TAB5",#N/A,TRUE,"GENERAL"}</definedName>
    <definedName name="DescripcionVenta" localSheetId="7">#REF!</definedName>
    <definedName name="DescripcionVenta">#REF!</definedName>
    <definedName name="dfa" localSheetId="7" hidden="1">{"TAB1",#N/A,TRUE,"GENERAL";"TAB2",#N/A,TRUE,"GENERAL";"TAB3",#N/A,TRUE,"GENERAL";"TAB4",#N/A,TRUE,"GENERAL";"TAB5",#N/A,TRUE,"GENERAL"}</definedName>
    <definedName name="dfa" localSheetId="4"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localSheetId="4"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4"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localSheetId="4"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4"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localSheetId="4"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localSheetId="4"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 localSheetId="7">#REF!</definedName>
    <definedName name="dfgdf">#REF!</definedName>
    <definedName name="DFGDFG" localSheetId="7" hidden="1">{"via1",#N/A,TRUE,"general";"via2",#N/A,TRUE,"general";"via3",#N/A,TRUE,"general"}</definedName>
    <definedName name="DFGDFG" localSheetId="4"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4"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4"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4"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4"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4"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4"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localSheetId="4"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localSheetId="4"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4"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localSheetId="4"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4"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4"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4"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localSheetId="4"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4"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localSheetId="4"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4"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4"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4hr" localSheetId="7">#REF!</definedName>
    <definedName name="dia24hr">#REF!</definedName>
    <definedName name="diametros" localSheetId="7">#REF!</definedName>
    <definedName name="diametros">#REF!</definedName>
    <definedName name="dias" localSheetId="7">#REF!</definedName>
    <definedName name="dias">#REF!</definedName>
    <definedName name="DIAS_DEL_MES" localSheetId="7">#REF!</definedName>
    <definedName name="DIAS_DEL_MES">#REF!</definedName>
    <definedName name="dias_semana" localSheetId="7">#REF!</definedName>
    <definedName name="dias_semana">#REF!</definedName>
    <definedName name="Dias_semanales" localSheetId="7">#REF!</definedName>
    <definedName name="Dias_semanales">#REF!</definedName>
    <definedName name="DIAS_SEMANAS" localSheetId="7">#REF!</definedName>
    <definedName name="DIAS_SEMANAS">#REF!</definedName>
    <definedName name="DIASDELMES" localSheetId="7">#REF!</definedName>
    <definedName name="DIASDELMES">#REF!</definedName>
    <definedName name="DIN" localSheetId="7">#REF!</definedName>
    <definedName name="DIN">#REF!</definedName>
    <definedName name="DIRECTOS" localSheetId="7">#REF!</definedName>
    <definedName name="DIRECTOS">#REF!</definedName>
    <definedName name="DISP" localSheetId="7">#REF!</definedName>
    <definedName name="DISP">#REF!</definedName>
    <definedName name="DISPONIBILIDAD" localSheetId="7">#REF!</definedName>
    <definedName name="DISPONIBILIDAD">#REF!</definedName>
    <definedName name="Diversos" localSheetId="7">#REF!</definedName>
    <definedName name="Diversos">#REF!</definedName>
    <definedName name="DIVISION">#N/A</definedName>
    <definedName name="djdytj" localSheetId="7"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olar" localSheetId="7">#REF!</definedName>
    <definedName name="dolar">#REF!</definedName>
    <definedName name="dos" localSheetId="7">#REF!</definedName>
    <definedName name="dos">#REF!</definedName>
    <definedName name="DR" localSheetId="7">#REF!</definedName>
    <definedName name="DR">#REF!</definedName>
    <definedName name="dry" localSheetId="7" hidden="1">{"via1",#N/A,TRUE,"general";"via2",#N/A,TRUE,"general";"via3",#N/A,TRUE,"general"}</definedName>
    <definedName name="dry" localSheetId="4"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rywall" localSheetId="7">#REF!</definedName>
    <definedName name="Drywall">#REF!</definedName>
    <definedName name="DSAD" localSheetId="7" hidden="1">{"via1",#N/A,TRUE,"general";"via2",#N/A,TRUE,"general";"via3",#N/A,TRUE,"general"}</definedName>
    <definedName name="DSAD" localSheetId="4"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localSheetId="4"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localSheetId="4"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localSheetId="4"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4"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4"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localSheetId="4"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localSheetId="4"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7">#REF!</definedName>
    <definedName name="e">#REF!</definedName>
    <definedName name="e3e33" localSheetId="7" hidden="1">{"via1",#N/A,TRUE,"general";"via2",#N/A,TRUE,"general";"via3",#N/A,TRUE,"general"}</definedName>
    <definedName name="e3e33" localSheetId="4"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7"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localSheetId="4"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7">#REF!</definedName>
    <definedName name="ee">#REF!</definedName>
    <definedName name="eeedfr" localSheetId="7"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4"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localSheetId="4"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4"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localSheetId="4"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LECTRICA" localSheetId="7">#REF!</definedName>
    <definedName name="ELECTRICA">#REF!</definedName>
    <definedName name="ELECTRICAS" localSheetId="7">#REF!</definedName>
    <definedName name="ELECTRICAS">#REF!</definedName>
    <definedName name="elementos" localSheetId="7">#REF!</definedName>
    <definedName name="elementos">#REF!</definedName>
    <definedName name="ENE">#N/A</definedName>
    <definedName name="ENT.A1" localSheetId="7">#REF!</definedName>
    <definedName name="ENT.A1">#REF!</definedName>
    <definedName name="ENT.ESP" localSheetId="7">#REF!</definedName>
    <definedName name="ENT.ESP">#REF!</definedName>
    <definedName name="ENTIB" localSheetId="7">#REF!</definedName>
    <definedName name="ENTIB">#REF!</definedName>
    <definedName name="ENTIBADO" localSheetId="7">#REF!</definedName>
    <definedName name="ENTIBADO">#REF!</definedName>
    <definedName name="EQ" localSheetId="7">#REF!</definedName>
    <definedName name="EQ">#REF!</definedName>
    <definedName name="EQUI" localSheetId="7">#REF!</definedName>
    <definedName name="EQUI">#REF!</definedName>
    <definedName name="equip" localSheetId="7">#REF!</definedName>
    <definedName name="equip">#REF!</definedName>
    <definedName name="equipo" localSheetId="7">#REF!</definedName>
    <definedName name="equipo">#REF!</definedName>
    <definedName name="equipo2" localSheetId="7">#REF!</definedName>
    <definedName name="equipo2">#REF!</definedName>
    <definedName name="EQUIPOS" localSheetId="7">#REF!</definedName>
    <definedName name="EQUIPOS">#REF!</definedName>
    <definedName name="EquiposEspeciales" localSheetId="7">#REF!</definedName>
    <definedName name="EquiposEspeciales">#REF!</definedName>
    <definedName name="eqw" localSheetId="7" hidden="1">{"via1",#N/A,TRUE,"general";"via2",#N/A,TRUE,"general";"via3",#N/A,TRUE,"general"}</definedName>
    <definedName name="eqw" localSheetId="4"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 localSheetId="7">#REF!</definedName>
    <definedName name="er">#REF!</definedName>
    <definedName name="erg" localSheetId="7" hidden="1">{"TAB1",#N/A,TRUE,"GENERAL";"TAB2",#N/A,TRUE,"GENERAL";"TAB3",#N/A,TRUE,"GENERAL";"TAB4",#N/A,TRUE,"GENERAL";"TAB5",#N/A,TRUE,"GENERAL"}</definedName>
    <definedName name="erg" localSheetId="4"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4"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4"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4"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4"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4"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4"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4"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4"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7" hidden="1">{"TAB1",#N/A,TRUE,"GENERAL";"TAB2",#N/A,TRUE,"GENERAL";"TAB3",#N/A,TRUE,"GENERAL";"TAB4",#N/A,TRUE,"GENERAL";"TAB5",#N/A,TRUE,"GENERAL"}</definedName>
    <definedName name="err" localSheetId="4"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t" localSheetId="7" hidden="1">{"via1",#N/A,TRUE,"general";"via2",#N/A,TRUE,"general";"via3",#N/A,TRUE,"general"}</definedName>
    <definedName name="ert" localSheetId="4"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4"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4"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4"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4"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4"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localSheetId="4"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localSheetId="4"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4"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4"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4"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4"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4"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4"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4"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4"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4"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4"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P_PAV" localSheetId="7">#REF!</definedName>
    <definedName name="ESP_PAV">#REF!</definedName>
    <definedName name="ESP1S" localSheetId="7">#REF!</definedName>
    <definedName name="ESP1S">#REF!</definedName>
    <definedName name="ESP2S" localSheetId="7">#REF!</definedName>
    <definedName name="ESP2S">#REF!</definedName>
    <definedName name="ESPESOR" localSheetId="7">#REF!</definedName>
    <definedName name="ESPESOR">#REF!</definedName>
    <definedName name="ESPR" localSheetId="7">#REF!</definedName>
    <definedName name="ESPR">#REF!</definedName>
    <definedName name="Estabilidad" localSheetId="7">#REF!</definedName>
    <definedName name="Estabilidad">#REF!</definedName>
    <definedName name="Estabilidad2" localSheetId="7">#REF!</definedName>
    <definedName name="Estabilidad2">#REF!</definedName>
    <definedName name="Estabilidad3" localSheetId="7">#REF!</definedName>
    <definedName name="Estabilidad3">#REF!</definedName>
    <definedName name="etertgg" localSheetId="7" hidden="1">{"via1",#N/A,TRUE,"general";"via2",#N/A,TRUE,"general";"via3",#N/A,TRUE,"general"}</definedName>
    <definedName name="etertgg" localSheetId="4"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7" hidden="1">{"TAB1",#N/A,TRUE,"GENERAL";"TAB2",#N/A,TRUE,"GENERAL";"TAB3",#N/A,TRUE,"GENERAL";"TAB4",#N/A,TRUE,"GENERAL";"TAB5",#N/A,TRUE,"GENERAL"}</definedName>
    <definedName name="etewt" localSheetId="4"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4"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4"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4"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4"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4"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4"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4"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localSheetId="4"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localSheetId="4"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4"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4"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POZ" localSheetId="7">#REF!</definedName>
    <definedName name="EXC.POZ">#REF!</definedName>
    <definedName name="EXC.ZAN" localSheetId="7">#REF!</definedName>
    <definedName name="EXC.ZAN">#REF!</definedName>
    <definedName name="Excel_BuiltIn__FilterDatabase" localSheetId="7">#REF!</definedName>
    <definedName name="Excel_BuiltIn__FilterDatabase">#REF!</definedName>
    <definedName name="Excel_BuiltIn_Print_Area" localSheetId="7">#REF!</definedName>
    <definedName name="Excel_BuiltIn_Print_Area">#REF!</definedName>
    <definedName name="Excel_BuiltIn_Print_Titles" localSheetId="7">#REF!</definedName>
    <definedName name="Excel_BuiltIn_Print_Titles">#REF!</definedName>
    <definedName name="EXTRA" localSheetId="7">#REF!</definedName>
    <definedName name="EXTRA">#REF!</definedName>
    <definedName name="FACTOR" localSheetId="7">#REF!</definedName>
    <definedName name="FACTOR">#REF!</definedName>
    <definedName name="FACTOR1" localSheetId="7">#REF!</definedName>
    <definedName name="FACTOR1">#REF!</definedName>
    <definedName name="FACTOR3" localSheetId="7">#REF!</definedName>
    <definedName name="FACTOR3">#REF!</definedName>
    <definedName name="FACTORE" localSheetId="7">#REF!</definedName>
    <definedName name="FACTORE">#REF!</definedName>
    <definedName name="FACTORH" localSheetId="7">#REF!</definedName>
    <definedName name="FACTORH">#REF!</definedName>
    <definedName name="factura" localSheetId="7">#REF!</definedName>
    <definedName name="factura">#REF!</definedName>
    <definedName name="fda" localSheetId="7" hidden="1">{"TAB1",#N/A,TRUE,"GENERAL";"TAB2",#N/A,TRUE,"GENERAL";"TAB3",#N/A,TRUE,"GENERAL";"TAB4",#N/A,TRUE,"GENERAL";"TAB5",#N/A,TRUE,"GENERAL"}</definedName>
    <definedName name="fda" localSheetId="4"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localSheetId="4"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localSheetId="4"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localSheetId="4"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ASDFASD" localSheetId="7">#REF!</definedName>
    <definedName name="FDGASDFASD">#REF!</definedName>
    <definedName name="FDGD" localSheetId="7" hidden="1">{"TAB1",#N/A,TRUE,"GENERAL";"TAB2",#N/A,TRUE,"GENERAL";"TAB3",#N/A,TRUE,"GENERAL";"TAB4",#N/A,TRUE,"GENERAL";"TAB5",#N/A,TRUE,"GENERAL"}</definedName>
    <definedName name="FDGD" localSheetId="4"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localSheetId="4"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afd" localSheetId="7">#REF!</definedName>
    <definedName name="fdsafd">#REF!</definedName>
    <definedName name="fdsf" localSheetId="7" hidden="1">{"TAB1",#N/A,TRUE,"GENERAL";"TAB2",#N/A,TRUE,"GENERAL";"TAB3",#N/A,TRUE,"GENERAL";"TAB4",#N/A,TRUE,"GENERAL";"TAB5",#N/A,TRUE,"GENERAL"}</definedName>
    <definedName name="fdsf" localSheetId="4"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localSheetId="4"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4"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 localSheetId="7">#REF!</definedName>
    <definedName name="FEC">#REF!</definedName>
    <definedName name="FECH" localSheetId="7">#REF!</definedName>
    <definedName name="FECH">#REF!</definedName>
    <definedName name="Fecha" localSheetId="7">#REF!</definedName>
    <definedName name="Fecha">#REF!</definedName>
    <definedName name="FECHA5" localSheetId="7">#REF!,#REF!</definedName>
    <definedName name="FECHA5">#REF!,#REF!</definedName>
    <definedName name="ferfer" localSheetId="7" hidden="1">{"via1",#N/A,TRUE,"general";"via2",#N/A,TRUE,"general";"via3",#N/A,TRUE,"general"}</definedName>
    <definedName name="ferfer" localSheetId="4"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reteria" localSheetId="7">#REF!</definedName>
    <definedName name="Ferreteria">#REF!</definedName>
    <definedName name="fff" localSheetId="7" hidden="1">{"via1",#N/A,TRUE,"general";"via2",#N/A,TRUE,"general";"via3",#N/A,TRUE,"general"}</definedName>
    <definedName name="fff" localSheetId="4"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localSheetId="4"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4"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4"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4"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localSheetId="4"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4"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4"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4"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localSheetId="4"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4"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4"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4"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4"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4"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4"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localSheetId="4"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4"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7" hidden="1">{"via1",#N/A,TRUE,"general";"via2",#N/A,TRUE,"general";"via3",#N/A,TRUE,"general"}</definedName>
    <definedName name="fhgh" localSheetId="4"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4"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N_1" localSheetId="7">#REF!</definedName>
    <definedName name="FIN_1">#REF!</definedName>
    <definedName name="FIN_10" localSheetId="7">#REF!</definedName>
    <definedName name="FIN_10">#REF!</definedName>
    <definedName name="FIN_11" localSheetId="7">#REF!</definedName>
    <definedName name="FIN_11">#REF!</definedName>
    <definedName name="FIN_12" localSheetId="7">#REF!</definedName>
    <definedName name="FIN_12">#REF!</definedName>
    <definedName name="FIN_13" localSheetId="7">#REF!</definedName>
    <definedName name="FIN_13">#REF!</definedName>
    <definedName name="FIN_14" localSheetId="7">#REF!</definedName>
    <definedName name="FIN_14">#REF!</definedName>
    <definedName name="FIN_15" localSheetId="7">#REF!</definedName>
    <definedName name="FIN_15">#REF!</definedName>
    <definedName name="FIN_16" localSheetId="7">#REF!</definedName>
    <definedName name="FIN_16">#REF!</definedName>
    <definedName name="FIN_17" localSheetId="7">#REF!</definedName>
    <definedName name="FIN_17">#REF!</definedName>
    <definedName name="FIN_18" localSheetId="7">#REF!</definedName>
    <definedName name="FIN_18">#REF!</definedName>
    <definedName name="FIN_19" localSheetId="7">#REF!</definedName>
    <definedName name="FIN_19">#REF!</definedName>
    <definedName name="FIN_2" localSheetId="7">#REF!</definedName>
    <definedName name="FIN_2">#REF!</definedName>
    <definedName name="FIN_20" localSheetId="7">#REF!</definedName>
    <definedName name="FIN_20">#REF!</definedName>
    <definedName name="FIN_21" localSheetId="7">#REF!</definedName>
    <definedName name="FIN_21">#REF!</definedName>
    <definedName name="FIN_22" localSheetId="7">#REF!</definedName>
    <definedName name="FIN_22">#REF!</definedName>
    <definedName name="FIN_23" localSheetId="7">#REF!</definedName>
    <definedName name="FIN_23">#REF!</definedName>
    <definedName name="FIN_24" localSheetId="7">#REF!</definedName>
    <definedName name="FIN_24">#REF!</definedName>
    <definedName name="FIN_3" localSheetId="7">#REF!</definedName>
    <definedName name="FIN_3">#REF!</definedName>
    <definedName name="FIN_4" localSheetId="7">#REF!</definedName>
    <definedName name="FIN_4">#REF!</definedName>
    <definedName name="FIN_5" localSheetId="7">#REF!</definedName>
    <definedName name="FIN_5">#REF!</definedName>
    <definedName name="FIN_6" localSheetId="7">#REF!</definedName>
    <definedName name="FIN_6">#REF!</definedName>
    <definedName name="FIN_7" localSheetId="7">#REF!</definedName>
    <definedName name="FIN_7">#REF!</definedName>
    <definedName name="FIN_8" localSheetId="7">#REF!</definedName>
    <definedName name="FIN_8">#REF!</definedName>
    <definedName name="FIN_9" localSheetId="7">#REF!</definedName>
    <definedName name="FIN_9">#REF!</definedName>
    <definedName name="final" localSheetId="7">#REF!</definedName>
    <definedName name="final">#REF!</definedName>
    <definedName name="Flujo" localSheetId="7">#REF!</definedName>
    <definedName name="Flujo">#REF!</definedName>
    <definedName name="Flujo2" localSheetId="7">#REF!</definedName>
    <definedName name="Flujo2">#REF!</definedName>
    <definedName name="Flujo3" localSheetId="7">#REF!</definedName>
    <definedName name="Flujo3">#REF!</definedName>
    <definedName name="Fondo" localSheetId="7">#REF!</definedName>
    <definedName name="Fondo">#REF!</definedName>
    <definedName name="Formaletas" localSheetId="7">#REF!</definedName>
    <definedName name="Formaletas">#REF!</definedName>
    <definedName name="formularioCantidades" localSheetId="7">#REF!</definedName>
    <definedName name="formularioCantidades">#REF!</definedName>
    <definedName name="frbgsd" localSheetId="7"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4"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4"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4"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ue" localSheetId="7">#REF!</definedName>
    <definedName name="fue">#REF!</definedName>
    <definedName name="Fuente" localSheetId="7">#REF!</definedName>
    <definedName name="Fuente">#REF!</definedName>
    <definedName name="fwff" localSheetId="7" hidden="1">{"via1",#N/A,TRUE,"general";"via2",#N/A,TRUE,"general";"via3",#N/A,TRUE,"general"}</definedName>
    <definedName name="fwff" localSheetId="4"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4"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7">#REF!</definedName>
    <definedName name="g">#REF!</definedName>
    <definedName name="Gastosbancarios" localSheetId="7">#REF!</definedName>
    <definedName name="Gastosbancarios">#REF!</definedName>
    <definedName name="Gastoslegales" localSheetId="7">#REF!</definedName>
    <definedName name="Gastoslegales">#REF!</definedName>
    <definedName name="Gastosviaje" localSheetId="7">#REF!</definedName>
    <definedName name="Gastosviaje">#REF!</definedName>
    <definedName name="gbbfghghj" localSheetId="7"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localSheetId="4"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localSheetId="4"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osinteticos" localSheetId="7">#REF!</definedName>
    <definedName name="Geosinteticos">#REF!</definedName>
    <definedName name="gerg" localSheetId="7" hidden="1">{"TAB1",#N/A,TRUE,"GENERAL";"TAB2",#N/A,TRUE,"GENERAL";"TAB3",#N/A,TRUE,"GENERAL";"TAB4",#N/A,TRUE,"GENERAL";"TAB5",#N/A,TRUE,"GENERAL"}</definedName>
    <definedName name="gerg" localSheetId="4"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4"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localSheetId="4"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4"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7" hidden="1">{"via1",#N/A,TRUE,"general";"via2",#N/A,TRUE,"general";"via3",#N/A,TRUE,"general"}</definedName>
    <definedName name="gfgfgr" localSheetId="4"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4"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4"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localSheetId="4"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4"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4"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4"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localSheetId="4"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4"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4"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4"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4"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7" hidden="1">{"via1",#N/A,TRUE,"general";"via2",#N/A,TRUE,"general";"via3",#N/A,TRUE,"general"}</definedName>
    <definedName name="ggtgt" localSheetId="4"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localSheetId="4"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4"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localSheetId="4"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4"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R_1" localSheetId="7">#REF!</definedName>
    <definedName name="GR_1">#REF!</definedName>
    <definedName name="GR_10" localSheetId="7">#REF!</definedName>
    <definedName name="GR_10">#REF!</definedName>
    <definedName name="GR_11" localSheetId="7">#REF!</definedName>
    <definedName name="GR_11">#REF!</definedName>
    <definedName name="GR_12" localSheetId="7">#REF!</definedName>
    <definedName name="GR_12">#REF!</definedName>
    <definedName name="GR_13" localSheetId="7">#REF!</definedName>
    <definedName name="GR_13">#REF!</definedName>
    <definedName name="GR_14" localSheetId="7">#REF!</definedName>
    <definedName name="GR_14">#REF!</definedName>
    <definedName name="GR_15" localSheetId="7">#REF!</definedName>
    <definedName name="GR_15">#REF!</definedName>
    <definedName name="GR_16" localSheetId="7">#REF!</definedName>
    <definedName name="GR_16">#REF!</definedName>
    <definedName name="GR_17" localSheetId="7">#REF!</definedName>
    <definedName name="GR_17">#REF!</definedName>
    <definedName name="GR_18" localSheetId="7">#REF!</definedName>
    <definedName name="GR_18">#REF!</definedName>
    <definedName name="GR_19" localSheetId="7">#REF!</definedName>
    <definedName name="GR_19">#REF!</definedName>
    <definedName name="GR_2" localSheetId="7">#REF!</definedName>
    <definedName name="GR_2">#REF!</definedName>
    <definedName name="GR_20" localSheetId="7">#REF!</definedName>
    <definedName name="GR_20">#REF!</definedName>
    <definedName name="GR_21" localSheetId="7">#REF!</definedName>
    <definedName name="GR_21">#REF!</definedName>
    <definedName name="GR_22" localSheetId="7">#REF!</definedName>
    <definedName name="GR_22">#REF!</definedName>
    <definedName name="GR_23" localSheetId="7">#REF!</definedName>
    <definedName name="GR_23">#REF!</definedName>
    <definedName name="GR_24" localSheetId="7">#REF!</definedName>
    <definedName name="GR_24">#REF!</definedName>
    <definedName name="GR_3" localSheetId="7">#REF!</definedName>
    <definedName name="GR_3">#REF!</definedName>
    <definedName name="GR_4" localSheetId="7">#REF!</definedName>
    <definedName name="GR_4">#REF!</definedName>
    <definedName name="GR_5" localSheetId="7">#REF!</definedName>
    <definedName name="GR_5">#REF!</definedName>
    <definedName name="GR_6" localSheetId="7">#REF!</definedName>
    <definedName name="GR_6">#REF!</definedName>
    <definedName name="GR_7" localSheetId="7">#REF!</definedName>
    <definedName name="GR_7">#REF!</definedName>
    <definedName name="GR_8" localSheetId="7">#REF!</definedName>
    <definedName name="GR_8">#REF!</definedName>
    <definedName name="GR_9" localSheetId="7">#REF!</definedName>
    <definedName name="GR_9">#REF!</definedName>
    <definedName name="GRAD" localSheetId="7">#REF!</definedName>
    <definedName name="GRAD">#REF!</definedName>
    <definedName name="GRADA" localSheetId="7">#REF!</definedName>
    <definedName name="GRADA">#REF!</definedName>
    <definedName name="gradacion" localSheetId="7">#REF!</definedName>
    <definedName name="gradacion">#REF!</definedName>
    <definedName name="GRAF1ANO" localSheetId="7" hidden="1">{"via1",#N/A,TRUE,"general";"via2",#N/A,TRUE,"general";"via3",#N/A,TRUE,"general"}</definedName>
    <definedName name="GRAF1ANO" localSheetId="4"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7">#REF!</definedName>
    <definedName name="GRAF2">#REF!</definedName>
    <definedName name="GRAF3" localSheetId="7">#REF!</definedName>
    <definedName name="GRAF3">#REF!</definedName>
    <definedName name="graNo" localSheetId="7">#REF!</definedName>
    <definedName name="graNo">#REF!</definedName>
    <definedName name="gregds" localSheetId="7"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F_RUBROS" localSheetId="7">#REF!</definedName>
    <definedName name="GRF_RUBROS">#REF!</definedName>
    <definedName name="grggwero" localSheetId="7" hidden="1">{"via1",#N/A,TRUE,"general";"via2",#N/A,TRUE,"general";"via3",#N/A,TRUE,"general"}</definedName>
    <definedName name="grggwero" localSheetId="4"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localSheetId="4"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4"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localSheetId="4"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4"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4"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#N/A</definedName>
    <definedName name="h.EXC" localSheetId="7">#REF!</definedName>
    <definedName name="h.EXC">#REF!</definedName>
    <definedName name="h.LOM" localSheetId="7">#REF!</definedName>
    <definedName name="h.LOM">#REF!</definedName>
    <definedName name="H.LOMO" localSheetId="7">#REF!</definedName>
    <definedName name="H.LOMO">#REF!</definedName>
    <definedName name="h.POZ" localSheetId="7">#REF!</definedName>
    <definedName name="h.POZ">#REF!</definedName>
    <definedName name="h754f6" localSheetId="7">#REF!</definedName>
    <definedName name="h754f6">#REF!</definedName>
    <definedName name="h9h" localSheetId="7" hidden="1">{"via1",#N/A,TRUE,"general";"via2",#N/A,TRUE,"general";"via3",#N/A,TRUE,"general"}</definedName>
    <definedName name="h9h" localSheetId="4"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CER" localSheetId="7">#REF!</definedName>
    <definedName name="HACER">#REF!</definedName>
    <definedName name="hbfdhrw" localSheetId="7"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4"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4"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4"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4"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RRADURA" localSheetId="7">#REF!</definedName>
    <definedName name="HERRADURA">#REF!</definedName>
    <definedName name="hfgh" localSheetId="7" hidden="1">{"via1",#N/A,TRUE,"general";"via2",#N/A,TRUE,"general";"via3",#N/A,TRUE,"general"}</definedName>
    <definedName name="hfgh" localSheetId="4"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4"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4"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4"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4"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localSheetId="4"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4"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4"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4"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4"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h" localSheetId="7" hidden="1">{"TAB1",#N/A,TRUE,"GENERAL";"TAB2",#N/A,TRUE,"GENERAL";"TAB3",#N/A,TRUE,"GENERAL";"TAB4",#N/A,TRUE,"GENERAL";"TAB5",#N/A,TRUE,"GENERAL"}</definedName>
    <definedName name="hhh" localSheetId="4"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localSheetId="4"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4"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4"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 localSheetId="7">#REF!</definedName>
    <definedName name="Hid">#REF!</definedName>
    <definedName name="hjfg" localSheetId="7" hidden="1">{"via1",#N/A,TRUE,"general";"via2",#N/A,TRUE,"general";"via3",#N/A,TRUE,"general"}</definedName>
    <definedName name="hjfg" localSheetId="4"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4"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localSheetId="4"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4"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localSheetId="4"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#N/A</definedName>
    <definedName name="Honorarios" localSheetId="7">#REF!</definedName>
    <definedName name="Honorarios">#REF!</definedName>
    <definedName name="HOR" localSheetId="7">#REF!</definedName>
    <definedName name="HOR">#REF!</definedName>
    <definedName name="HORA" localSheetId="7">#REF!</definedName>
    <definedName name="HORA">#REF!</definedName>
    <definedName name="HORALL" localSheetId="7">#REF!</definedName>
    <definedName name="HORALL">#REF!</definedName>
    <definedName name="HORAS" localSheetId="7">#REF!</definedName>
    <definedName name="HORAS">#REF!</definedName>
    <definedName name="HORAS_DIAS" localSheetId="7">#REF!</definedName>
    <definedName name="HORAS_DIAS">#REF!</definedName>
    <definedName name="horas_lluvia" localSheetId="7">#REF!</definedName>
    <definedName name="horas_lluvia">#REF!</definedName>
    <definedName name="HORAS_LLUVIAS" localSheetId="7">#REF!</definedName>
    <definedName name="HORAS_LLUVIAS">#REF!</definedName>
    <definedName name="HORASLLUVIA" localSheetId="7">#REF!</definedName>
    <definedName name="HORASLLUVIA">#REF!</definedName>
    <definedName name="horat" localSheetId="7">#REF!</definedName>
    <definedName name="horat">#REF!</definedName>
    <definedName name="HPROCESOS" localSheetId="7">#REF!</definedName>
    <definedName name="HPROCESOS">#REF!</definedName>
    <definedName name="hreer" localSheetId="7" hidden="1">{"TAB1",#N/A,TRUE,"GENERAL";"TAB2",#N/A,TRUE,"GENERAL";"TAB3",#N/A,TRUE,"GENERAL";"TAB4",#N/A,TRUE,"GENERAL";"TAB5",#N/A,TRUE,"GENERAL"}</definedName>
    <definedName name="hreer" localSheetId="4"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localSheetId="4"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7" hidden="1">{"via1",#N/A,TRUE,"general";"via2",#N/A,TRUE,"general";"via3",#N/A,TRUE,"general"}</definedName>
    <definedName name="htryrt7" localSheetId="4"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localSheetId="4"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#N/A</definedName>
    <definedName name="I57644686" localSheetId="7">#REF!</definedName>
    <definedName name="I57644686">#REF!</definedName>
    <definedName name="i8i" localSheetId="7" hidden="1">{"TAB1",#N/A,TRUE,"GENERAL";"TAB2",#N/A,TRUE,"GENERAL";"TAB3",#N/A,TRUE,"GENERAL";"TAB4",#N/A,TRUE,"GENERAL";"TAB5",#N/A,TRUE,"GENERAL"}</definedName>
    <definedName name="i8i" localSheetId="4"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AU" localSheetId="7">#REF!</definedName>
    <definedName name="IAU">#REF!</definedName>
    <definedName name="iccp" localSheetId="7">#REF!</definedName>
    <definedName name="iccp">#REF!</definedName>
    <definedName name="ii" localSheetId="7" hidden="1">{"TAB1",#N/A,TRUE,"GENERAL";"TAB2",#N/A,TRUE,"GENERAL";"TAB3",#N/A,TRUE,"GENERAL";"TAB4",#N/A,TRUE,"GENERAL";"TAB5",#N/A,TRUE,"GENERAL"}</definedName>
    <definedName name="ii" localSheetId="4"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4"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4"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4"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permeabilizantes" localSheetId="7">#REF!</definedName>
    <definedName name="Impermeabilizantes">#REF!</definedName>
    <definedName name="imprev" localSheetId="7">#REF!</definedName>
    <definedName name="imprev">#REF!</definedName>
    <definedName name="IMPREVISTO" localSheetId="7">#REF!</definedName>
    <definedName name="IMPREVISTO">#REF!</definedName>
    <definedName name="imprevistos" localSheetId="7">#REF!</definedName>
    <definedName name="imprevistos">#REF!</definedName>
    <definedName name="Incremento_2027" localSheetId="4">'POE DETALLADO 2027'!$AH$3</definedName>
    <definedName name="Incremento_2027">#REF!</definedName>
    <definedName name="INDI" localSheetId="7">#REF!</definedName>
    <definedName name="INDI">#REF!</definedName>
    <definedName name="INDICE" localSheetId="7">#REF!</definedName>
    <definedName name="INDICE">#REF!</definedName>
    <definedName name="INDICES" localSheetId="7">#REF!</definedName>
    <definedName name="INDICES">#REF!</definedName>
    <definedName name="indirectos" localSheetId="7">#REF!</definedName>
    <definedName name="indirectos">#REF!</definedName>
    <definedName name="inf">#N/A</definedName>
    <definedName name="inicial" localSheetId="7">#REF!</definedName>
    <definedName name="inicial">#REF!</definedName>
    <definedName name="Inicio" localSheetId="7">#REF!</definedName>
    <definedName name="Inicio">#REF!</definedName>
    <definedName name="INMEL" localSheetId="7">#REF!</definedName>
    <definedName name="INMEL">#REF!</definedName>
    <definedName name="Inst.Electricas" localSheetId="7">#REF!</definedName>
    <definedName name="Inst.Electricas">#REF!</definedName>
    <definedName name="Inst.Hidrosanitarias" localSheetId="7">#REF!</definedName>
    <definedName name="Inst.Hidrosanitarias">#REF!</definedName>
    <definedName name="INSU" localSheetId="7">#REF!</definedName>
    <definedName name="INSU">#REF!</definedName>
    <definedName name="INSUMOS" localSheetId="7">#REF!</definedName>
    <definedName name="INSUMOS">#REF!</definedName>
    <definedName name="InTap" localSheetId="7">#REF!</definedName>
    <definedName name="InTap">#REF!</definedName>
    <definedName name="IntVal" localSheetId="7">#REF!</definedName>
    <definedName name="IntVal">#REF!</definedName>
    <definedName name="INV_11" localSheetId="7">#REF!</definedName>
    <definedName name="INV_11">#REF!</definedName>
    <definedName name="item" localSheetId="7">#REF!</definedName>
    <definedName name="item">#REF!</definedName>
    <definedName name="ITEM1" localSheetId="7">#REF!</definedName>
    <definedName name="ITEM1">#REF!</definedName>
    <definedName name="ITEM15">#N/A</definedName>
    <definedName name="item1a" localSheetId="7">#REF!</definedName>
    <definedName name="item1a">#REF!</definedName>
    <definedName name="ITEM2" localSheetId="7">#REF!</definedName>
    <definedName name="ITEM2">#REF!</definedName>
    <definedName name="item2a" localSheetId="7">#REF!</definedName>
    <definedName name="item2a">#REF!</definedName>
    <definedName name="ITEM3" localSheetId="7">#REF!</definedName>
    <definedName name="ITEM3">#REF!</definedName>
    <definedName name="item5" localSheetId="7">#REF!</definedName>
    <definedName name="item5">#REF!</definedName>
    <definedName name="ItemCodos" localSheetId="7">#REF!</definedName>
    <definedName name="ItemCodos">#REF!</definedName>
    <definedName name="ITEMES" localSheetId="7">#REF!</definedName>
    <definedName name="ITEMES">#REF!</definedName>
    <definedName name="ITEMS" localSheetId="7">#REF!</definedName>
    <definedName name="ITEMS">#REF!</definedName>
    <definedName name="IUI" localSheetId="7" hidden="1">{"TAB1",#N/A,TRUE,"GENERAL";"TAB2",#N/A,TRUE,"GENERAL";"TAB3",#N/A,TRUE,"GENERAL";"TAB4",#N/A,TRUE,"GENERAL";"TAB5",#N/A,TRUE,"GENERAL"}</definedName>
    <definedName name="IUI" localSheetId="4"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4"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4"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4"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4"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UTIL" localSheetId="7">#REF!</definedName>
    <definedName name="IVAUTIL">#REF!</definedName>
    <definedName name="iyuiuyi" localSheetId="7" hidden="1">{"via1",#N/A,TRUE,"general";"via2",#N/A,TRUE,"general";"via3",#N/A,TRUE,"general"}</definedName>
    <definedName name="iyuiuyi" localSheetId="4"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4"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localSheetId="4"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4"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localSheetId="4"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4"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localSheetId="4"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4"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localSheetId="4"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4"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4"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localSheetId="4" hidden="1">{"via1",#N/A,TRUE,"general";"via2",#N/A,TRUE,"general";"via3",#N/A,TRUE,"general"}</definedName>
    <definedName name="jj" localSheetId="3" hidden="1">{"via1",#N/A,TRUE,"general";"via2",#N/A,TRUE,"general";"via3",#N/A,TRUE,"general"}</definedName>
    <definedName name="jj" hidden="1">{"via1",#N/A,TRUE,"general";"via2",#N/A,TRUE,"general";"via3",#N/A,TRUE,"general"}</definedName>
    <definedName name="jjfq" localSheetId="7" hidden="1">{"via1",#N/A,TRUE,"general";"via2",#N/A,TRUE,"general";"via3",#N/A,TRUE,"general"}</definedName>
    <definedName name="jjfq" localSheetId="4"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7" hidden="1">{"via1",#N/A,TRUE,"general";"via2",#N/A,TRUE,"general";"via3",#N/A,TRUE,"general"}</definedName>
    <definedName name="jjjhjddfg" localSheetId="4"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localSheetId="4"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4"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localSheetId="4"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localSheetId="4"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OTA">#N/A</definedName>
    <definedName name="JRYJ" localSheetId="7" hidden="1">{"via1",#N/A,TRUE,"general";"via2",#N/A,TRUE,"general";"via3",#N/A,TRUE,"general"}</definedName>
    <definedName name="JRYJ" localSheetId="4"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localSheetId="4"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4"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localSheetId="4"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4"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4"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localSheetId="4"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4"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4"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4"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4"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7">#REF!</definedName>
    <definedName name="K0F1">#REF!</definedName>
    <definedName name="K0F2" localSheetId="7">#REF!</definedName>
    <definedName name="K0F2">#REF!</definedName>
    <definedName name="K10ALO" localSheetId="7">#REF!</definedName>
    <definedName name="K10ALO">#REF!</definedName>
    <definedName name="K11ALO" localSheetId="7">#REF!</definedName>
    <definedName name="K11ALO">#REF!</definedName>
    <definedName name="K1F1" localSheetId="7">#REF!</definedName>
    <definedName name="K1F1">#REF!</definedName>
    <definedName name="K1F2" localSheetId="7">#REF!</definedName>
    <definedName name="K1F2">#REF!</definedName>
    <definedName name="K2F1" localSheetId="7">#REF!</definedName>
    <definedName name="K2F1">#REF!</definedName>
    <definedName name="K2F2" localSheetId="7">#REF!</definedName>
    <definedName name="K2F2">#REF!</definedName>
    <definedName name="K3F1" localSheetId="7">#REF!</definedName>
    <definedName name="K3F1">#REF!</definedName>
    <definedName name="K3F2" localSheetId="7">#REF!</definedName>
    <definedName name="K3F2">#REF!</definedName>
    <definedName name="K4F1" localSheetId="7">#REF!</definedName>
    <definedName name="K4F1">#REF!</definedName>
    <definedName name="K4F2" localSheetId="7">#REF!</definedName>
    <definedName name="K4F2">#REF!</definedName>
    <definedName name="K5F1" localSheetId="7">#REF!</definedName>
    <definedName name="K5F1">#REF!</definedName>
    <definedName name="K5F2" localSheetId="7">#REF!</definedName>
    <definedName name="K5F2">#REF!</definedName>
    <definedName name="K6F1" localSheetId="7">#REF!</definedName>
    <definedName name="K6F1">#REF!</definedName>
    <definedName name="K6F2" localSheetId="7">#REF!</definedName>
    <definedName name="K6F2">#REF!</definedName>
    <definedName name="K7F1" localSheetId="7">#REF!</definedName>
    <definedName name="K7F1">#REF!</definedName>
    <definedName name="K7F2" localSheetId="7">#REF!</definedName>
    <definedName name="K7F2">#REF!</definedName>
    <definedName name="K8ALO" localSheetId="7">#REF!</definedName>
    <definedName name="K8ALO">#REF!</definedName>
    <definedName name="K8F1" localSheetId="7">#REF!</definedName>
    <definedName name="K8F1">#REF!</definedName>
    <definedName name="K8F2" localSheetId="7">#REF!</definedName>
    <definedName name="K8F2">#REF!</definedName>
    <definedName name="K9ALO" localSheetId="7">#REF!</definedName>
    <definedName name="K9ALO">#REF!</definedName>
    <definedName name="KHGGH" localSheetId="7" hidden="1">{"via1",#N/A,TRUE,"general";"via2",#N/A,TRUE,"general";"via3",#N/A,TRUE,"general"}</definedName>
    <definedName name="KHGGH" localSheetId="4"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4"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localSheetId="4"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localSheetId="4"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localSheetId="4"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4"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7" hidden="1">{"via1",#N/A,TRUE,"general";"via2",#N/A,TRUE,"general";"via3",#N/A,TRUE,"general"}</definedName>
    <definedName name="kkkki" localSheetId="4"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rtrk" localSheetId="7" hidden="1">{"via1",#N/A,TRUE,"general";"via2",#N/A,TRUE,"general";"via3",#N/A,TRUE,"general"}</definedName>
    <definedName name="krtrk" localSheetId="4"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localSheetId="4"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CARCAMO" localSheetId="7">#REF!</definedName>
    <definedName name="L.CARCAMO">#REF!</definedName>
    <definedName name="L.CIL" localSheetId="7">#REF!</definedName>
    <definedName name="L.CIL">#REF!</definedName>
    <definedName name="L_" localSheetId="7">#REF!</definedName>
    <definedName name="L_">#REF!</definedName>
    <definedName name="L_TUB" localSheetId="7">#REF!</definedName>
    <definedName name="L_TUB">#REF!</definedName>
    <definedName name="LAD" localSheetId="7">#REF!</definedName>
    <definedName name="LAD">#REF!</definedName>
    <definedName name="LADO" localSheetId="7">#REF!</definedName>
    <definedName name="LADO">#REF!</definedName>
    <definedName name="Ladrillos" localSheetId="7">#REF!</definedName>
    <definedName name="Ladrillos">#REF!</definedName>
    <definedName name="LIMPIO" localSheetId="7">#REF!</definedName>
    <definedName name="LIMPIO">#REF!</definedName>
    <definedName name="lista" localSheetId="7">#REF!</definedName>
    <definedName name="lista">#REF!</definedName>
    <definedName name="lista_cualitativa" localSheetId="7">#REF!</definedName>
    <definedName name="lista_cualitativa">#REF!</definedName>
    <definedName name="listaaguas" localSheetId="7">#REF!</definedName>
    <definedName name="listaaguas">#REF!</definedName>
    <definedName name="ListaCantidad" localSheetId="7">#REF!</definedName>
    <definedName name="ListaCantidad">#REF!</definedName>
    <definedName name="listado" localSheetId="7">#REF!</definedName>
    <definedName name="listado">#REF!</definedName>
    <definedName name="listados" localSheetId="7">#REF!</definedName>
    <definedName name="listados">#REF!</definedName>
    <definedName name="listaelec" localSheetId="7">#REF!</definedName>
    <definedName name="listaelec">#REF!</definedName>
    <definedName name="ListaItem" localSheetId="7">#REF!</definedName>
    <definedName name="ListaItem">#REF!</definedName>
    <definedName name="ListaUni" localSheetId="7">#REF!</definedName>
    <definedName name="ListaUni">#REF!</definedName>
    <definedName name="liuoo" localSheetId="7" hidden="1">{"TAB1",#N/A,TRUE,"GENERAL";"TAB2",#N/A,TRUE,"GENERAL";"TAB3",#N/A,TRUE,"GENERAL";"TAB4",#N/A,TRUE,"GENERAL";"TAB5",#N/A,TRUE,"GENERAL"}</definedName>
    <definedName name="liuoo" localSheetId="4"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localSheetId="4"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lllh" localSheetId="7" hidden="1">{"via1",#N/A,TRUE,"general";"via2",#N/A,TRUE,"general";"via3",#N/A,TRUE,"general"}</definedName>
    <definedName name="lllllh" localSheetId="4"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4"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UVIA" localSheetId="7">#REF!</definedName>
    <definedName name="LLUVIA">#REF!</definedName>
    <definedName name="LOCA" localSheetId="7">#REF!</definedName>
    <definedName name="LOCA" localSheetId="4">#REF!</definedName>
    <definedName name="LOCA" localSheetId="3">#REF!</definedName>
    <definedName name="LOCA">#REF!</definedName>
    <definedName name="lolol" localSheetId="7" hidden="1">{"TAB1",#N/A,TRUE,"GENERAL";"TAB2",#N/A,TRUE,"GENERAL";"TAB3",#N/A,TRUE,"GENERAL";"TAB4",#N/A,TRUE,"GENERAL";"TAB5",#N/A,TRUE,"GENERAL"}</definedName>
    <definedName name="lolol" localSheetId="4"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Tramo" localSheetId="7">#REF!</definedName>
    <definedName name="LongTramo">#REF!</definedName>
    <definedName name="lplpl" localSheetId="7" hidden="1">{"via1",#N/A,TRUE,"general";"via2",#N/A,TRUE,"general";"via3",#N/A,TRUE,"general"}</definedName>
    <definedName name="lplpl" localSheetId="4"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MA" localSheetId="7">#REF!</definedName>
    <definedName name="MA">#REF!</definedName>
    <definedName name="Maderas" localSheetId="7">#REF!</definedName>
    <definedName name="Maderas">#REF!</definedName>
    <definedName name="mafdsf" localSheetId="7" hidden="1">{"via1",#N/A,TRUE,"general";"via2",#N/A,TRUE,"general";"via3",#N/A,TRUE,"general"}</definedName>
    <definedName name="mafdsf" localSheetId="4"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OBRA" localSheetId="7">#REF!</definedName>
    <definedName name="MANOBRA">#REF!</definedName>
    <definedName name="Mantenyreparacion" localSheetId="7">#REF!</definedName>
    <definedName name="Mantenyreparacion">#REF!</definedName>
    <definedName name="mao" localSheetId="7" hidden="1">{"TAB1",#N/A,TRUE,"GENERAL";"TAB2",#N/A,TRUE,"GENERAL";"TAB3",#N/A,TRUE,"GENERAL";"TAB4",#N/A,TRUE,"GENERAL";"TAB5",#N/A,TRUE,"GENERAL"}</definedName>
    <definedName name="mao" localSheetId="4"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4"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rgen" localSheetId="7">#REF!</definedName>
    <definedName name="margen">#REF!</definedName>
    <definedName name="masor" localSheetId="7" hidden="1">{"via1",#N/A,TRUE,"general";"via2",#N/A,TRUE,"general";"via3",#N/A,TRUE,"general"}</definedName>
    <definedName name="masor" localSheetId="4"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#N/A</definedName>
    <definedName name="materiales" localSheetId="7">#REF!</definedName>
    <definedName name="materiales">#REF!</definedName>
    <definedName name="MaterialTub" localSheetId="7">#REF!</definedName>
    <definedName name="MaterialTub">#REF!</definedName>
    <definedName name="matriz" localSheetId="7">#REF!,#REF!</definedName>
    <definedName name="matriz">#REF!,#REF!</definedName>
    <definedName name="mdd" localSheetId="7" hidden="1">{"via1",#N/A,TRUE,"general";"via2",#N/A,TRUE,"general";"via3",#N/A,TRUE,"general"}</definedName>
    <definedName name="mdd" localSheetId="4"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canoaAnserma" localSheetId="7">#REF!</definedName>
    <definedName name="MediacanoaAnserma">#REF!</definedName>
    <definedName name="meg" localSheetId="7" hidden="1">{"TAB1",#N/A,TRUE,"GENERAL";"TAB2",#N/A,TRUE,"GENERAL";"TAB3",#N/A,TRUE,"GENERAL";"TAB4",#N/A,TRUE,"GENERAL";"TAB5",#N/A,TRUE,"GENERAL"}</definedName>
    <definedName name="meg" localSheetId="4"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sIn" localSheetId="7">#REF!</definedName>
    <definedName name="MesIn">#REF!</definedName>
    <definedName name="MEZCLA" localSheetId="7">#REF!</definedName>
    <definedName name="MEZCLA">#REF!</definedName>
    <definedName name="mfgjrdt" localSheetId="7"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4"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nimo" localSheetId="7">#REF!</definedName>
    <definedName name="Minimo">#REF!</definedName>
    <definedName name="mjmj" localSheetId="7" hidden="1">{"via1",#N/A,TRUE,"general";"via2",#N/A,TRUE,"general";"via3",#N/A,TRUE,"general"}</definedName>
    <definedName name="mjmj" localSheetId="4"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4"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4"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 localSheetId="7">#REF!</definedName>
    <definedName name="mm">#REF!</definedName>
    <definedName name="mmjmjh" localSheetId="7"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4"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4"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4"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4"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 localSheetId="7">#REF!</definedName>
    <definedName name="MO">#REF!</definedName>
    <definedName name="MUEST" localSheetId="7">#REF!</definedName>
    <definedName name="MUEST">#REF!</definedName>
    <definedName name="MuestNo" localSheetId="7">#REF!</definedName>
    <definedName name="MuestNo">#REF!</definedName>
    <definedName name="muestra" localSheetId="7">#REF!</definedName>
    <definedName name="muestra">#REF!</definedName>
    <definedName name="MuestraNo" localSheetId="7">#REF!</definedName>
    <definedName name="MuestraNo">#REF!</definedName>
    <definedName name="Muros" localSheetId="7">#REF!</definedName>
    <definedName name="Muros">#REF!</definedName>
    <definedName name="n" localSheetId="7" hidden="1">{"via1",#N/A,TRUE,"general";"via2",#N/A,TRUE,"general";"via3",#N/A,TRUE,"general"}</definedName>
    <definedName name="n" localSheetId="4" hidden="1">{"via1",#N/A,TRUE,"general";"via2",#N/A,TRUE,"general";"via3",#N/A,TRUE,"general"}</definedName>
    <definedName name="n" localSheetId="3" hidden="1">{"via1",#N/A,TRUE,"general";"via2",#N/A,TRUE,"general";"via3",#N/A,TRUE,"general"}</definedName>
    <definedName name="n" hidden="1">{"via1",#N/A,TRUE,"general";"via2",#N/A,TRUE,"general";"via3",#N/A,TRUE,"general"}</definedName>
    <definedName name="nbvnv" localSheetId="7" hidden="1">{"via1",#N/A,TRUE,"general";"via2",#N/A,TRUE,"general";"via3",#N/A,TRUE,"general"}</definedName>
    <definedName name="nbvnv" localSheetId="4"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4"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localSheetId="4"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4"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4"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localSheetId="4"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4"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localSheetId="4"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4"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localSheetId="4"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4"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4"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4"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4"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4"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4"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rte" localSheetId="7">#REF!</definedName>
    <definedName name="Norte">#REF!</definedName>
    <definedName name="NUCLEO" localSheetId="7">#REF!</definedName>
    <definedName name="NUCLEO">#REF!</definedName>
    <definedName name="NUCNUM" localSheetId="7">#REF!</definedName>
    <definedName name="NUCNUM">#REF!</definedName>
    <definedName name="NUEVO" localSheetId="7">#REF!</definedName>
    <definedName name="NUEVO">#REF!</definedName>
    <definedName name="NÚM" localSheetId="7">#REF!</definedName>
    <definedName name="NÚM">#REF!</definedName>
    <definedName name="NUMERAL" localSheetId="7">#REF!</definedName>
    <definedName name="NUMERAL">#REF!</definedName>
    <definedName name="NÚMERO" localSheetId="7">#REF!</definedName>
    <definedName name="NÚMERO">#REF!</definedName>
    <definedName name="nxn" localSheetId="7" hidden="1">{"via1",#N/A,TRUE,"general";"via2",#N/A,TRUE,"general";"via3",#N/A,TRUE,"general"}</definedName>
    <definedName name="nxn" localSheetId="4"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ññ" localSheetId="7">#REF!</definedName>
    <definedName name="ñññ" localSheetId="4">#REF!</definedName>
    <definedName name="ñññ" localSheetId="3">#REF!</definedName>
    <definedName name="ñññ">#REF!</definedName>
    <definedName name="ñpñpñ" localSheetId="7" hidden="1">{"via1",#N/A,TRUE,"general";"via2",#N/A,TRUE,"general";"via3",#N/A,TRUE,"general"}</definedName>
    <definedName name="ñpñpñ" localSheetId="4"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localSheetId="4"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RA" localSheetId="7">#REF!</definedName>
    <definedName name="OBRA">#REF!</definedName>
    <definedName name="OBSERV" localSheetId="7">#REF!</definedName>
    <definedName name="OBSERV">#REF!</definedName>
    <definedName name="observaciones" localSheetId="7">#REF!</definedName>
    <definedName name="observaciones">#REF!</definedName>
    <definedName name="oiret" localSheetId="7" hidden="1">{"TAB1",#N/A,TRUE,"GENERAL";"TAB2",#N/A,TRUE,"GENERAL";"TAB3",#N/A,TRUE,"GENERAL";"TAB4",#N/A,TRUE,"GENERAL";"TAB5",#N/A,TRUE,"GENERAL"}</definedName>
    <definedName name="oiret" localSheetId="4"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4"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JO" hidden="1">#N/A</definedName>
    <definedName name="ooo" localSheetId="7" hidden="1">{"via1",#N/A,TRUE,"general";"via2",#N/A,TRUE,"general";"via3",#N/A,TRUE,"general"}</definedName>
    <definedName name="ooo" localSheetId="4"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4"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R" localSheetId="7">#REF!</definedName>
    <definedName name="OR">#REF!</definedName>
    <definedName name="otrocd" localSheetId="7">#REF!</definedName>
    <definedName name="otrocd">#REF!</definedName>
    <definedName name="otroci" localSheetId="7">#REF!</definedName>
    <definedName name="otroci">#REF!</definedName>
    <definedName name="otroimprev" localSheetId="7">#REF!</definedName>
    <definedName name="otroimprev">#REF!</definedName>
    <definedName name="otros" localSheetId="7">#REF!</definedName>
    <definedName name="otros">#REF!</definedName>
    <definedName name="p0p0" localSheetId="7" hidden="1">{"via1",#N/A,TRUE,"general";"via2",#N/A,TRUE,"general";"via3",#N/A,TRUE,"general"}</definedName>
    <definedName name="p0p0" localSheetId="4"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elnque" localSheetId="7">#REF!</definedName>
    <definedName name="paelnque">#REF!</definedName>
    <definedName name="PÁGINA_DOS" localSheetId="7">#REF!</definedName>
    <definedName name="PÁGINA_DOS">#REF!</definedName>
    <definedName name="PÁGINA_UNO" localSheetId="7">#REF!</definedName>
    <definedName name="PÁGINA_UNO">#REF!</definedName>
    <definedName name="palenque" localSheetId="7">#REF!</definedName>
    <definedName name="palenque">#REF!</definedName>
    <definedName name="PARAFINA" localSheetId="7">#REF!</definedName>
    <definedName name="PARAFINA">#REF!</definedName>
    <definedName name="pedro" localSheetId="7">#REF!</definedName>
    <definedName name="pedro">#REF!</definedName>
    <definedName name="PER_PAV" localSheetId="7">#REF!</definedName>
    <definedName name="PER_PAV">#REF!</definedName>
    <definedName name="Personal" localSheetId="7">#REF!</definedName>
    <definedName name="Personal">#REF!</definedName>
    <definedName name="Peso1A" localSheetId="7">#REF!</definedName>
    <definedName name="Peso1A">#REF!</definedName>
    <definedName name="Peso2A" localSheetId="7">#REF!</definedName>
    <definedName name="Peso2A">#REF!</definedName>
    <definedName name="Pesoagua2" localSheetId="7">#REF!</definedName>
    <definedName name="Pesoagua2">#REF!</definedName>
    <definedName name="Pesoagua3" localSheetId="7">#REF!</definedName>
    <definedName name="Pesoagua3">#REF!</definedName>
    <definedName name="PesoAire" localSheetId="7">#REF!</definedName>
    <definedName name="PesoAire">#REF!</definedName>
    <definedName name="PesoAire2" localSheetId="7">#REF!</definedName>
    <definedName name="PesoAire2">#REF!</definedName>
    <definedName name="Pesoaire3" localSheetId="7">#REF!</definedName>
    <definedName name="Pesoaire3">#REF!</definedName>
    <definedName name="Pesoenagua" localSheetId="7">#REF!</definedName>
    <definedName name="Pesoenagua">#REF!</definedName>
    <definedName name="Pesoparaf3" localSheetId="7">#REF!</definedName>
    <definedName name="Pesoparaf3">#REF!</definedName>
    <definedName name="Pesoparafinada" localSheetId="7">#REF!</definedName>
    <definedName name="Pesoparafinada">#REF!</definedName>
    <definedName name="PesoParf2" localSheetId="7">#REF!</definedName>
    <definedName name="PesoParf2">#REF!</definedName>
    <definedName name="Pinturas" localSheetId="7">#REF!</definedName>
    <definedName name="Pinturas">#REF!</definedName>
    <definedName name="PisosEnchapes" localSheetId="7">#REF!</definedName>
    <definedName name="PisosEnchapes">#REF!</definedName>
    <definedName name="PKHK" localSheetId="7" hidden="1">{"TAB1",#N/A,TRUE,"GENERAL";"TAB2",#N/A,TRUE,"GENERAL";"TAB3",#N/A,TRUE,"GENERAL";"TAB4",#N/A,TRUE,"GENERAL";"TAB5",#N/A,TRUE,"GENERAL"}</definedName>
    <definedName name="PKHK" localSheetId="4"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4"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localSheetId="4"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 localSheetId="7">#REF!</definedName>
    <definedName name="plan">#REF!</definedName>
    <definedName name="planta" localSheetId="7">#REF!</definedName>
    <definedName name="planta">#REF!</definedName>
    <definedName name="Plaz" localSheetId="7">#REF!</definedName>
    <definedName name="Plaz">#REF!</definedName>
    <definedName name="PlazAIU" localSheetId="7">#REF!</definedName>
    <definedName name="PlazAIU">#REF!</definedName>
    <definedName name="Plazo" localSheetId="7">#REF!</definedName>
    <definedName name="Plazo">#REF!</definedName>
    <definedName name="PlazoAIU" localSheetId="7">#REF!</definedName>
    <definedName name="PlazoAIU">#REF!</definedName>
    <definedName name="PlazoContrato">#REF!</definedName>
    <definedName name="plena" localSheetId="7">#REF!</definedName>
    <definedName name="plena">#REF!</definedName>
    <definedName name="PLPLUNN" localSheetId="7"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S" localSheetId="7">#REF!</definedName>
    <definedName name="PMS">#REF!</definedName>
    <definedName name="POIUP" localSheetId="7" hidden="1">{"via1",#N/A,TRUE,"general";"via2",#N/A,TRUE,"general";"via3",#N/A,TRUE,"general"}</definedName>
    <definedName name="POIUP" localSheetId="4"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iductoPrinco" localSheetId="7">#REF!</definedName>
    <definedName name="PoliductoPrinco">#REF!</definedName>
    <definedName name="popop" localSheetId="7" hidden="1">{"via1",#N/A,TRUE,"general";"via2",#N/A,TRUE,"general";"via3",#N/A,TRUE,"general"}</definedName>
    <definedName name="popop" localSheetId="4"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4"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E" localSheetId="7">#REF!</definedName>
    <definedName name="PORCE">#REF!</definedName>
    <definedName name="pouig" localSheetId="7" hidden="1">{"via1",#N/A,TRUE,"general";"via2",#N/A,TRUE,"general";"via3",#N/A,TRUE,"general"}</definedName>
    <definedName name="pouig" localSheetId="4"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 localSheetId="7">#REF!</definedName>
    <definedName name="POZ">#REF!</definedName>
    <definedName name="POZO" localSheetId="7">#REF!</definedName>
    <definedName name="POZO">#REF!</definedName>
    <definedName name="POZO1.2" localSheetId="7">#REF!</definedName>
    <definedName name="POZO1.2">#REF!</definedName>
    <definedName name="POZOS" localSheetId="7">#REF!</definedName>
    <definedName name="POZOS">#REF!</definedName>
    <definedName name="ppppp9" localSheetId="7" hidden="1">{"via1",#N/A,TRUE,"general";"via2",#N/A,TRUE,"general";"via3",#N/A,TRUE,"general"}</definedName>
    <definedName name="ppppp9" localSheetId="4"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 localSheetId="7">#REF!</definedName>
    <definedName name="Ppto">#REF!</definedName>
    <definedName name="PPtoNorte" localSheetId="7">#REF!</definedName>
    <definedName name="PPtoNorte">#REF!</definedName>
    <definedName name="pqroj" localSheetId="7" hidden="1">{"via1",#N/A,TRUE,"general";"via2",#N/A,TRUE,"general";"via3",#N/A,TRUE,"general"}</definedName>
    <definedName name="pqroj" localSheetId="4"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E">#N/A</definedName>
    <definedName name="Precio" localSheetId="7">#REF!</definedName>
    <definedName name="Precio">#REF!</definedName>
    <definedName name="precio2" localSheetId="7">#REF!</definedName>
    <definedName name="precio2">#REF!</definedName>
    <definedName name="PrecioS" localSheetId="7">#REF!</definedName>
    <definedName name="PrecioS">#REF!</definedName>
    <definedName name="Prefabricados" localSheetId="7">#REF!</definedName>
    <definedName name="Prefabricados">#REF!</definedName>
    <definedName name="PRESTACIONES" localSheetId="7">#REF!</definedName>
    <definedName name="PRESTACIONES">#REF!</definedName>
    <definedName name="PRESUP" localSheetId="7">#REF!</definedName>
    <definedName name="PRESUP">#REF!</definedName>
    <definedName name="PRESUPNORTE" localSheetId="7">#REF!</definedName>
    <definedName name="PRESUPNORTE">#REF!</definedName>
    <definedName name="PRESUPSUR" localSheetId="7">#REF!</definedName>
    <definedName name="PRESUPSUR">#REF!</definedName>
    <definedName name="PRESUPUESTO" localSheetId="7">#REF!</definedName>
    <definedName name="PRESUPUESTO">#REF!</definedName>
    <definedName name="PRIMER" localSheetId="7" hidden="1">{"via1",#N/A,TRUE,"general";"via2",#N/A,TRUE,"general";"via3",#N/A,TRUE,"general"}</definedName>
    <definedName name="PRIMER" localSheetId="4"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Area1">#N/A</definedName>
    <definedName name="PRINT_TITLES">#N/A</definedName>
    <definedName name="PRINT_TITLES_MI">#N/A</definedName>
    <definedName name="Print_Titles1">#N/A</definedName>
    <definedName name="procelec" localSheetId="7">#REF!</definedName>
    <definedName name="procelec">#REF!</definedName>
    <definedName name="PRODUCTCARB" localSheetId="7">#REF!</definedName>
    <definedName name="PRODUCTCARB">#REF!</definedName>
    <definedName name="PRODUCTEST" localSheetId="7">#REF!</definedName>
    <definedName name="PRODUCTEST">#REF!</definedName>
    <definedName name="PRODUCTOCARBON" localSheetId="7">#REF!</definedName>
    <definedName name="PRODUCTOCARBON">#REF!</definedName>
    <definedName name="PRODUCTOTEST" localSheetId="7">#REF!</definedName>
    <definedName name="PRODUCTOTEST">#REF!</definedName>
    <definedName name="PrOfic" localSheetId="7">#REF!</definedName>
    <definedName name="PrOfic">#REF!</definedName>
    <definedName name="propiedad" localSheetId="7">#REF!</definedName>
    <definedName name="propiedad">#REF!</definedName>
    <definedName name="propieRep" localSheetId="7">#REF!</definedName>
    <definedName name="propieRep">#REF!</definedName>
    <definedName name="PROPONENTE" localSheetId="7">#REF!</definedName>
    <definedName name="PROPONENTE">#REF!</definedName>
    <definedName name="PRUEBA" localSheetId="7">#REF!</definedName>
    <definedName name="PRUEBA" localSheetId="4">#REF!</definedName>
    <definedName name="PRUEBA" localSheetId="3">#REF!</definedName>
    <definedName name="PRUEBA">#REF!</definedName>
    <definedName name="prueba1" localSheetId="7">#REF!</definedName>
    <definedName name="prueba1" localSheetId="4">#REF!</definedName>
    <definedName name="prueba1" localSheetId="3">#REF!</definedName>
    <definedName name="prueba1">#REF!</definedName>
    <definedName name="PRUEBA2">#N/A</definedName>
    <definedName name="PRUNIT" localSheetId="7">#REF!</definedName>
    <definedName name="PRUNIT">#REF!</definedName>
    <definedName name="ptope" localSheetId="7" hidden="1">{"TAB1",#N/A,TRUE,"GENERAL";"TAB2",#N/A,TRUE,"GENERAL";"TAB3",#N/A,TRUE,"GENERAL";"TAB4",#N/A,TRUE,"GENERAL";"TAB5",#N/A,TRUE,"GENERAL"}</definedName>
    <definedName name="ptope" localSheetId="4"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4"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NT1" localSheetId="7">#REF!</definedName>
    <definedName name="PUNT1">#REF!</definedName>
    <definedName name="PUNT2" localSheetId="7">#REF!</definedName>
    <definedName name="PUNT2">#REF!</definedName>
    <definedName name="q" localSheetId="7" hidden="1">{"via1",#N/A,TRUE,"general";"via2",#N/A,TRUE,"general";"via3",#N/A,TRUE,"general"}</definedName>
    <definedName name="q" localSheetId="4"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7" hidden="1">{"via1",#N/A,TRUE,"general";"via2",#N/A,TRUE,"general";"via3",#N/A,TRUE,"general"}</definedName>
    <definedName name="q1q1q" localSheetId="4"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4"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localSheetId="4"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4"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localSheetId="4"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localSheetId="4"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qqqw" localSheetId="7" hidden="1">{"via1",#N/A,TRUE,"general";"via2",#N/A,TRUE,"general";"via3",#N/A,TRUE,"general"}</definedName>
    <definedName name="qqqqqw" localSheetId="4"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localSheetId="4"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4"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localSheetId="4"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qweqwe" localSheetId="7">#REF!</definedName>
    <definedName name="qweqweqwe">#REF!</definedName>
    <definedName name="qwqwqwj" localSheetId="7"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GO1" localSheetId="7">#REF!</definedName>
    <definedName name="RANGO1">#REF!</definedName>
    <definedName name="rangofin" localSheetId="7">#REF!,#REF!</definedName>
    <definedName name="rangofin">#REF!,#REF!</definedName>
    <definedName name="RE4NTA" localSheetId="7">#REF!</definedName>
    <definedName name="RE4NTA">#REF!</definedName>
    <definedName name="redes" localSheetId="7">#REF!</definedName>
    <definedName name="redes">#REF!</definedName>
    <definedName name="rege" localSheetId="7" hidden="1">{"TAB1",#N/A,TRUE,"GENERAL";"TAB2",#N/A,TRUE,"GENERAL";"TAB3",#N/A,TRUE,"GENERAL";"TAB4",#N/A,TRUE,"GENERAL";"TAB5",#N/A,TRUE,"GENERAL"}</definedName>
    <definedName name="rege" localSheetId="4"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localSheetId="4"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noai" localSheetId="7">#REF!</definedName>
    <definedName name="Renoai">#REF!</definedName>
    <definedName name="REP.PAV" localSheetId="7">#REF!</definedName>
    <definedName name="REP.PAV">#REF!</definedName>
    <definedName name="reparacion" localSheetId="7">#REF!</definedName>
    <definedName name="reparacion">#REF!</definedName>
    <definedName name="reparaciones" localSheetId="7">#REF!</definedName>
    <definedName name="reparaciones">#REF!</definedName>
    <definedName name="rer" localSheetId="7" hidden="1">{"via1",#N/A,TRUE,"general";"via2",#N/A,TRUE,"general";"via3",#N/A,TRUE,"general"}</definedName>
    <definedName name="rer" localSheetId="4"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4"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U" localSheetId="7">#REF!</definedName>
    <definedName name="RESU">#REF!</definedName>
    <definedName name="Retenc" localSheetId="7">#REF!</definedName>
    <definedName name="Retenc">#REF!</definedName>
    <definedName name="Retenido100" localSheetId="7">#REF!</definedName>
    <definedName name="Retenido100">#REF!</definedName>
    <definedName name="Retenido200" localSheetId="7">#REF!</definedName>
    <definedName name="Retenido200">#REF!</definedName>
    <definedName name="Retenido30" localSheetId="7">#REF!</definedName>
    <definedName name="Retenido30">#REF!</definedName>
    <definedName name="Retenido34" localSheetId="7">#REF!</definedName>
    <definedName name="Retenido34">#REF!</definedName>
    <definedName name="Retenido38" localSheetId="7">#REF!</definedName>
    <definedName name="Retenido38">#REF!</definedName>
    <definedName name="Retenido4" localSheetId="7">#REF!</definedName>
    <definedName name="Retenido4">#REF!</definedName>
    <definedName name="Retenido50" localSheetId="7">#REF!</definedName>
    <definedName name="Retenido50">#REF!</definedName>
    <definedName name="Retenido8" localSheetId="7">#REF!</definedName>
    <definedName name="Retenido8">#REF!</definedName>
    <definedName name="RETTRE" localSheetId="7" hidden="1">{"via1",#N/A,TRUE,"general";"via2",#N/A,TRUE,"general";"via3",#N/A,TRUE,"general"}</definedName>
    <definedName name="RETTRE" localSheetId="4"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4"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localSheetId="4"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4"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4"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4"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4"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4"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localSheetId="4"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localSheetId="4"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localSheetId="4"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localSheetId="4"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4"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localSheetId="4"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4"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4"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4"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4"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4"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localSheetId="4"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localSheetId="4"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4"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adf" localSheetId="7">#REF!</definedName>
    <definedName name="rsadf">#REF!</definedName>
    <definedName name="rsdgsd5" localSheetId="7"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localSheetId="4"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4"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4"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4"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4"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4"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4"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4"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localSheetId="4"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4"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4"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4"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4"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4"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4"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4"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localSheetId="4"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4"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4"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4"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4"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4"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4"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localSheetId="4"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localSheetId="4"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4"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localSheetId="4"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7">#REF!</definedName>
    <definedName name="S">#REF!</definedName>
    <definedName name="saa" localSheetId="7" hidden="1">{"via1",#N/A,TRUE,"general";"via2",#N/A,TRUE,"general";"via3",#N/A,TRUE,"general"}</definedName>
    <definedName name="saa" localSheetId="4"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baneta" localSheetId="7">#REF!</definedName>
    <definedName name="Sabaneta">#REF!</definedName>
    <definedName name="SAD" localSheetId="7" hidden="1">{"via1",#N/A,TRUE,"general";"via2",#N/A,TRUE,"general";"via3",#N/A,TRUE,"general"}</definedName>
    <definedName name="SAD" localSheetId="4"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4"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4"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4"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localSheetId="4"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Minimo" localSheetId="7">#REF!</definedName>
    <definedName name="SalMinimo">#REF!</definedName>
    <definedName name="sbgfbgdr" localSheetId="7" hidden="1">{"via1",#N/A,TRUE,"general";"via2",#N/A,TRUE,"general";"via3",#N/A,TRUE,"general"}</definedName>
    <definedName name="sbgfbgdr" localSheetId="4"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HEDULE" localSheetId="7">#REF!</definedName>
    <definedName name="SCHEDULE">#REF!</definedName>
    <definedName name="sd" localSheetId="7" hidden="1">{"TAB1",#N/A,TRUE,"GENERAL";"TAB2",#N/A,TRUE,"GENERAL";"TAB3",#N/A,TRUE,"GENERAL";"TAB4",#N/A,TRUE,"GENERAL";"TAB5",#N/A,TRUE,"GENERAL"}</definedName>
    <definedName name="sd" localSheetId="4"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4"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4"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4"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CE" localSheetId="7" hidden="1">{"TAB1",#N/A,TRUE,"GENERAL";"TAB2",#N/A,TRUE,"GENERAL";"TAB3",#N/A,TRUE,"GENERAL";"TAB4",#N/A,TRUE,"GENERAL";"TAB5",#N/A,TRUE,"GENERAL"}</definedName>
    <definedName name="SDFCE" localSheetId="4"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4"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7" hidden="1">{"via1",#N/A,TRUE,"general";"via2",#N/A,TRUE,"general";"via3",#N/A,TRUE,"general"}</definedName>
    <definedName name="sdfds" localSheetId="4"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localSheetId="4"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4"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4"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4"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4"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localSheetId="4"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4"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7" hidden="1">{"TAB1",#N/A,TRUE,"GENERAL";"TAB2",#N/A,TRUE,"GENERAL";"TAB3",#N/A,TRUE,"GENERAL";"TAB4",#N/A,TRUE,"GENERAL";"TAB5",#N/A,TRUE,"GENERAL"}</definedName>
    <definedName name="SDFSF" localSheetId="4"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4"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4"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4"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4"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 localSheetId="7">#REF!</definedName>
    <definedName name="SDS">#REF!</definedName>
    <definedName name="sdsdfh" localSheetId="7" hidden="1">{"via1",#N/A,TRUE,"general";"via2",#N/A,TRUE,"general";"via3",#N/A,TRUE,"general"}</definedName>
    <definedName name="sdsdfh" localSheetId="4"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egurambiensalud" localSheetId="7">#REF!</definedName>
    <definedName name="Segurambiensalud">#REF!</definedName>
    <definedName name="SEM_DEL_MES" localSheetId="7">#REF!</definedName>
    <definedName name="SEM_DEL_MES">#REF!</definedName>
    <definedName name="Semanas_mes" localSheetId="7">#REF!</definedName>
    <definedName name="Semanas_mes">#REF!</definedName>
    <definedName name="Servicios" localSheetId="7">#REF!</definedName>
    <definedName name="Servicios">#REF!</definedName>
    <definedName name="setrj" localSheetId="7" hidden="1">{"via1",#N/A,TRUE,"general";"via2",#N/A,TRUE,"general";"via3",#N/A,TRUE,"general"}</definedName>
    <definedName name="setrj" localSheetId="4"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4"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localSheetId="4"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4"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4"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in_nombre_2" localSheetId="7">#REF!</definedName>
    <definedName name="sin_nombre_2">#REF!</definedName>
    <definedName name="srwrwr" localSheetId="7"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7">#REF!</definedName>
    <definedName name="ss">#REF!</definedName>
    <definedName name="sssss7" localSheetId="7" hidden="1">{"via1",#N/A,TRUE,"general";"via2",#N/A,TRUE,"general";"via3",#N/A,TRUE,"general"}</definedName>
    <definedName name="sssss7" localSheetId="4"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4"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localSheetId="4"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A" localSheetId="7">#REF!</definedName>
    <definedName name="SUBA">#REF!</definedName>
    <definedName name="SUELDOS" localSheetId="7">#REF!</definedName>
    <definedName name="SUELDOS">#REF!</definedName>
    <definedName name="SUELLEN" localSheetId="7">#REF!</definedName>
    <definedName name="SUELLEN">#REF!</definedName>
    <definedName name="suma" localSheetId="7">#REF!</definedName>
    <definedName name="suma">#REF!</definedName>
    <definedName name="swsw" localSheetId="7" hidden="1">{"via1",#N/A,TRUE,"general";"via2",#N/A,TRUE,"general";"via3",#N/A,TRUE,"general"}</definedName>
    <definedName name="swsw" localSheetId="4"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4"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7">#REF!</definedName>
    <definedName name="t" localSheetId="4">#REF!</definedName>
    <definedName name="t" localSheetId="3">#REF!</definedName>
    <definedName name="t">#REF!</definedName>
    <definedName name="T.1_POZ" localSheetId="7">#REF!</definedName>
    <definedName name="T.1_POZ">#REF!</definedName>
    <definedName name="T.3" localSheetId="7">#REF!</definedName>
    <definedName name="T.3">#REF!</definedName>
    <definedName name="T.VIA" localSheetId="7">#REF!</definedName>
    <definedName name="T.VIA">#REF!</definedName>
    <definedName name="T___2_.3_FC_2.2" localSheetId="7">#REF!</definedName>
    <definedName name="T___2_.3_FC_2.2">#REF!</definedName>
    <definedName name="T1_" localSheetId="7">#REF!</definedName>
    <definedName name="T1_">#REF!</definedName>
    <definedName name="T1__2_FC1_5" localSheetId="7">#REF!</definedName>
    <definedName name="T1__2_FC1_5">#REF!</definedName>
    <definedName name="T1__2_FC1_9" localSheetId="7">#REF!</definedName>
    <definedName name="T1__2_FC1_9">#REF!</definedName>
    <definedName name="T1__3__2_FC1_9" localSheetId="7">#REF!</definedName>
    <definedName name="T1__3__2_FC1_9">#REF!</definedName>
    <definedName name="T1_FC_1.5__.2" localSheetId="7">#REF!</definedName>
    <definedName name="T1_FC_1.5__.2">#REF!</definedName>
    <definedName name="T1_FC_1.9__.2" localSheetId="7">#REF!</definedName>
    <definedName name="T1_FC_1.9__.2">#REF!</definedName>
    <definedName name="T1_FC1_5" localSheetId="7">#REF!</definedName>
    <definedName name="T1_FC1_5">#REF!</definedName>
    <definedName name="T1_FC1_9" localSheetId="7">#REF!</definedName>
    <definedName name="T1_FC1_9">#REF!</definedName>
    <definedName name="T1_FC2.2" localSheetId="7">#REF!</definedName>
    <definedName name="T1_FC2.2">#REF!</definedName>
    <definedName name="T11SF15" localSheetId="7">#REF!</definedName>
    <definedName name="T11SF15">#REF!</definedName>
    <definedName name="T11SF19" localSheetId="7">#REF!</definedName>
    <definedName name="T11SF19">#REF!</definedName>
    <definedName name="T12SF15" localSheetId="7">#REF!</definedName>
    <definedName name="T12SF15">#REF!</definedName>
    <definedName name="T12SF19" localSheetId="7">#REF!</definedName>
    <definedName name="T12SF19">#REF!</definedName>
    <definedName name="T1RF15" localSheetId="7">#REF!</definedName>
    <definedName name="T1RF15">#REF!</definedName>
    <definedName name="T1RF19" localSheetId="7">#REF!</definedName>
    <definedName name="T1RF19">#REF!</definedName>
    <definedName name="T2.PVC" localSheetId="7">#REF!</definedName>
    <definedName name="T2.PVC">#REF!</definedName>
    <definedName name="T2_" localSheetId="7">#REF!</definedName>
    <definedName name="T2_">#REF!</definedName>
    <definedName name="T2_.3" localSheetId="7">#REF!</definedName>
    <definedName name="T2_.3">#REF!</definedName>
    <definedName name="T2__2_FC1_5" localSheetId="7">#REF!</definedName>
    <definedName name="T2__2_FC1_5">#REF!</definedName>
    <definedName name="T2__3_FC1_9" localSheetId="7">#REF!</definedName>
    <definedName name="T2__3_FC1_9">#REF!</definedName>
    <definedName name="T2_FC_1.5__.3" localSheetId="7">#REF!</definedName>
    <definedName name="T2_FC_1.5__.3">#REF!</definedName>
    <definedName name="T2_FC_1.5__.3_.2" localSheetId="7">#REF!</definedName>
    <definedName name="T2_FC_1.5__.3_.2">#REF!</definedName>
    <definedName name="T2_FC_1.9__.3" localSheetId="7">#REF!</definedName>
    <definedName name="T2_FC_1.9__.3">#REF!</definedName>
    <definedName name="T2_FC_1.9__.3_.2" localSheetId="7">#REF!</definedName>
    <definedName name="T2_FC_1.9__.3_.2">#REF!</definedName>
    <definedName name="T2_FC1_5" localSheetId="7">#REF!</definedName>
    <definedName name="T2_FC1_5">#REF!</definedName>
    <definedName name="T2_FC1_9" localSheetId="7">#REF!</definedName>
    <definedName name="T2_FC1_9">#REF!</definedName>
    <definedName name="T2_POZ" localSheetId="7">#REF!</definedName>
    <definedName name="T2_POZ">#REF!</definedName>
    <definedName name="T2_RAS" localSheetId="7">#REF!</definedName>
    <definedName name="T2_RAS">#REF!</definedName>
    <definedName name="T21SF15" localSheetId="7">#REF!</definedName>
    <definedName name="T21SF15">#REF!</definedName>
    <definedName name="T21SF19" localSheetId="7">#REF!</definedName>
    <definedName name="T21SF19">#REF!</definedName>
    <definedName name="T22SF15" localSheetId="7">#REF!</definedName>
    <definedName name="T22SF15">#REF!</definedName>
    <definedName name="T22SF19" localSheetId="7">#REF!</definedName>
    <definedName name="T22SF19">#REF!</definedName>
    <definedName name="T2RF15" localSheetId="7">#REF!</definedName>
    <definedName name="T2RF15">#REF!</definedName>
    <definedName name="T2RF19" localSheetId="7">#REF!</definedName>
    <definedName name="T2RF19">#REF!</definedName>
    <definedName name="t5t5" localSheetId="7" hidden="1">{"TAB1",#N/A,TRUE,"GENERAL";"TAB2",#N/A,TRUE,"GENERAL";"TAB3",#N/A,TRUE,"GENERAL";"TAB4",#N/A,TRUE,"GENERAL";"TAB5",#N/A,TRUE,"GENERAL"}</definedName>
    <definedName name="t5t5" localSheetId="4"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LA">#N/A</definedName>
    <definedName name="TablaBello" localSheetId="7">#REF!</definedName>
    <definedName name="TablaBello">#REF!</definedName>
    <definedName name="TablaElDorado" localSheetId="7">#REF!</definedName>
    <definedName name="TablaElDorado">#REF!</definedName>
    <definedName name="TablaIbague" localSheetId="7">#REF!</definedName>
    <definedName name="TablaIbague">#REF!</definedName>
    <definedName name="TablaIndicConstPes" localSheetId="7">#REF!</definedName>
    <definedName name="TablaIndicConstPes">#REF!</definedName>
    <definedName name="TablaIndices1" localSheetId="7">#REF!</definedName>
    <definedName name="TablaIndices1">#REF!</definedName>
    <definedName name="TablaIndicesI" localSheetId="7">#REF!</definedName>
    <definedName name="TablaIndicesI">#REF!</definedName>
    <definedName name="TablaIPC" localSheetId="7">#REF!</definedName>
    <definedName name="TablaIPC">#REF!</definedName>
    <definedName name="TablaLaMata" localSheetId="7">#REF!</definedName>
    <definedName name="TablaLaMata">#REF!</definedName>
    <definedName name="TablaStarosa" localSheetId="7">#REF!</definedName>
    <definedName name="TablaStarosa">#REF!</definedName>
    <definedName name="TablaSuaza" localSheetId="7">#REF!</definedName>
    <definedName name="TablaSuaza">#REF!</definedName>
    <definedName name="tarifas" localSheetId="7">#REF!</definedName>
    <definedName name="tarifas">#REF!</definedName>
    <definedName name="tarifas1" localSheetId="7">#REF!</definedName>
    <definedName name="tarifas1">#REF!</definedName>
    <definedName name="tarifas2" localSheetId="7">#REF!</definedName>
    <definedName name="tarifas2">#REF!</definedName>
    <definedName name="tarifas3" localSheetId="7">#REF!</definedName>
    <definedName name="tarifas3">#REF!</definedName>
    <definedName name="tarifas4" localSheetId="7">#REF!</definedName>
    <definedName name="tarifas4">#REF!</definedName>
    <definedName name="TASA" localSheetId="7">#REF!</definedName>
    <definedName name="TASA">#REF!</definedName>
    <definedName name="tdy" localSheetId="7" hidden="1">{"TAB1",#N/A,TRUE,"GENERAL";"TAB2",#N/A,TRUE,"GENERAL";"TAB3",#N/A,TRUE,"GENERAL";"TAB4",#N/A,TRUE,"GENERAL";"TAB5",#N/A,TRUE,"GENERAL"}</definedName>
    <definedName name="tdy" localSheetId="4"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MPLL" localSheetId="7">#REF!</definedName>
    <definedName name="TEMPLL">#REF!</definedName>
    <definedName name="TEMPS" localSheetId="7">#REF!</definedName>
    <definedName name="TEMPS">#REF!</definedName>
    <definedName name="tewst" localSheetId="7" hidden="1">{"TAB1",#N/A,TRUE,"GENERAL";"TAB2",#N/A,TRUE,"GENERAL";"TAB3",#N/A,TRUE,"GENERAL";"TAB4",#N/A,TRUE,"GENERAL";"TAB5",#N/A,TRUE,"GENERAL"}</definedName>
    <definedName name="tewst" localSheetId="4"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4"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localSheetId="4"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localSheetId="4"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 localSheetId="7">#REF!</definedName>
    <definedName name="TIEMPO">#REF!</definedName>
    <definedName name="TIPO" localSheetId="7">#REF!</definedName>
    <definedName name="TIPO">#REF!</definedName>
    <definedName name="tipoint" localSheetId="7">#REF!</definedName>
    <definedName name="tipoint">#REF!</definedName>
    <definedName name="TITULO">#N/A</definedName>
    <definedName name="_xlnm.Print_Titles" localSheetId="7">'AGOSTO(23.09)rev05.11'!$1:$3</definedName>
    <definedName name="_xlnm.Print_Titles" localSheetId="4">'POE DETALLADO 2027'!#REF!</definedName>
    <definedName name="_xlnm.Print_Titles" localSheetId="3">'POP DETALLADO 2026 '!#REF!</definedName>
    <definedName name="_xlnm.Print_Titles" localSheetId="0">Resumen!#REF!</definedName>
    <definedName name="_xlnm.Print_Titles">#REF!</definedName>
    <definedName name="Títulos_a_imprimir_IM" localSheetId="7">#REF!</definedName>
    <definedName name="Títulos_a_imprimir_IM">#REF!</definedName>
    <definedName name="todo" localSheetId="7">#REF!</definedName>
    <definedName name="todo">#REF!</definedName>
    <definedName name="TOMADO" localSheetId="7">#REF!</definedName>
    <definedName name="TOMADO">#REF!</definedName>
    <definedName name="tortas" localSheetId="7"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4"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7">#REF!</definedName>
    <definedName name="tot">#REF!</definedName>
    <definedName name="TOTAL">#N/A</definedName>
    <definedName name="totales" localSheetId="7">#REF!</definedName>
    <definedName name="totales">#REF!</definedName>
    <definedName name="Totalgastosvarios" localSheetId="7">#REF!</definedName>
    <definedName name="Totalgastosvarios">#REF!</definedName>
    <definedName name="TotalOpti" localSheetId="7">#REF!</definedName>
    <definedName name="TotalOpti">#REF!</definedName>
    <definedName name="TOTALOPTIM" localSheetId="7">#REF!</definedName>
    <definedName name="TOTALOPTIM">#REF!</definedName>
    <definedName name="TOTALOPTIMIZACION" localSheetId="7">#REF!</definedName>
    <definedName name="TOTALOPTIMIZACION">#REF!</definedName>
    <definedName name="TOTALREPOS" localSheetId="7">#REF!</definedName>
    <definedName name="TOTALREPOS">#REF!</definedName>
    <definedName name="TOTALREPOSICION" localSheetId="7">#REF!</definedName>
    <definedName name="TOTALREPOSICION">#REF!</definedName>
    <definedName name="tr" localSheetId="7" hidden="1">{"TAB1",#N/A,TRUE,"GENERAL";"TAB2",#N/A,TRUE,"GENERAL";"TAB3",#N/A,TRUE,"GENERAL";"TAB4",#N/A,TRUE,"GENERAL";"TAB5",#N/A,TRUE,"GENERAL"}</definedName>
    <definedName name="tr" localSheetId="4"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MO" localSheetId="7">#REF!</definedName>
    <definedName name="TRAMO">#REF!</definedName>
    <definedName name="tramos" localSheetId="7">#REF!</definedName>
    <definedName name="tramos">#REF!</definedName>
    <definedName name="Transporte" localSheetId="7">#REF!</definedName>
    <definedName name="Transporte">#REF!</definedName>
    <definedName name="TRAT" localSheetId="7">#REF!</definedName>
    <definedName name="TRAT">#REF!</definedName>
    <definedName name="tres" localSheetId="7">#REF!</definedName>
    <definedName name="tres">#REF!</definedName>
    <definedName name="trest" localSheetId="7" hidden="1">{"TAB1",#N/A,TRUE,"GENERAL";"TAB2",#N/A,TRUE,"GENERAL";"TAB3",#N/A,TRUE,"GENERAL";"TAB4",#N/A,TRUE,"GENERAL";"TAB5",#N/A,TRUE,"GENERAL"}</definedName>
    <definedName name="trest" localSheetId="4"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4"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4"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4"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ANG" localSheetId="7">#REF!</definedName>
    <definedName name="TRIANG">#REF!</definedName>
    <definedName name="trjfgjh" localSheetId="7" hidden="1">{"via1",#N/A,TRUE,"general";"via2",#N/A,TRUE,"general";"via3",#N/A,TRUE,"general"}</definedName>
    <definedName name="trjfgjh" localSheetId="4"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localSheetId="4"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4"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4"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4"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4"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4"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localSheetId="4"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7">#REF!</definedName>
    <definedName name="TtCD">#REF!</definedName>
    <definedName name="TTR" localSheetId="7" hidden="1">{"via1",#N/A,TRUE,"general";"via2",#N/A,TRUE,"general";"via3",#N/A,TRUE,"general"}</definedName>
    <definedName name="TTR" localSheetId="4"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4"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4"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4"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4"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4"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localSheetId="4"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r" localSheetId="7" hidden="1">{"TAB1",#N/A,TRUE,"GENERAL";"TAB2",#N/A,TRUE,"GENERAL";"TAB3",#N/A,TRUE,"GENERAL";"TAB4",#N/A,TRUE,"GENERAL";"TAB5",#N/A,TRUE,"GENERAL"}</definedName>
    <definedName name="tur" localSheetId="4"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NOS" localSheetId="7">#REF!</definedName>
    <definedName name="TURNOS">#REF!</definedName>
    <definedName name="turu" localSheetId="7" hidden="1">{"TAB1",#N/A,TRUE,"GENERAL";"TAB2",#N/A,TRUE,"GENERAL";"TAB3",#N/A,TRUE,"GENERAL";"TAB4",#N/A,TRUE,"GENERAL";"TAB5",#N/A,TRUE,"GENERAL"}</definedName>
    <definedName name="turu" localSheetId="4"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localSheetId="4"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4"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4"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localSheetId="4"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4"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4"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4"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4"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4"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4"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localSheetId="4"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#N/A</definedName>
    <definedName name="u3u" localSheetId="7" hidden="1">{"TAB1",#N/A,TRUE,"GENERAL";"TAB2",#N/A,TRUE,"GENERAL";"TAB3",#N/A,TRUE,"GENERAL";"TAB4",#N/A,TRUE,"GENERAL";"TAB5",#N/A,TRUE,"GENERAL"}</definedName>
    <definedName name="u3u" localSheetId="4"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4"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localSheetId="4"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localSheetId="4"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4"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4"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4"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4"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idades_reales" localSheetId="7">#REF!</definedName>
    <definedName name="unidades_reales">#REF!</definedName>
    <definedName name="union" localSheetId="7">#REF!</definedName>
    <definedName name="union">#REF!</definedName>
    <definedName name="UOUIV" localSheetId="7" hidden="1">{"TAB1",#N/A,TRUE,"GENERAL";"TAB2",#N/A,TRUE,"GENERAL";"TAB3",#N/A,TRUE,"GENERAL";"TAB4",#N/A,TRUE,"GENERAL";"TAB5",#N/A,TRUE,"GENERAL"}</definedName>
    <definedName name="UOUIV" localSheetId="4"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localSheetId="4"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il" localSheetId="7">#REF!</definedName>
    <definedName name="util">#REF!</definedName>
    <definedName name="UTILIDAD" localSheetId="7">#REF!</definedName>
    <definedName name="UTILIDAD">#REF!</definedName>
    <definedName name="UTILIDADES" localSheetId="7">#REF!</definedName>
    <definedName name="UTILIDADES">#REF!</definedName>
    <definedName name="uu" localSheetId="7" hidden="1">{"TAB1",#N/A,TRUE,"GENERAL";"TAB2",#N/A,TRUE,"GENERAL";"TAB3",#N/A,TRUE,"GENERAL";"TAB4",#N/A,TRUE,"GENERAL";"TAB5",#N/A,TRUE,"GENERAL"}</definedName>
    <definedName name="uu" localSheetId="4"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4"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4"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localSheetId="4"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4"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4"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4"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or_total" localSheetId="7">#REF!</definedName>
    <definedName name="valor_total">#REF!</definedName>
    <definedName name="valor1">#N/A</definedName>
    <definedName name="valor2">#N/A</definedName>
    <definedName name="VALOR3">#N/A</definedName>
    <definedName name="Var" localSheetId="7">#REF!</definedName>
    <definedName name="Var">#REF!</definedName>
    <definedName name="VariosAnalisis" localSheetId="7">#REF!</definedName>
    <definedName name="VariosAnalisis">#REF!</definedName>
    <definedName name="vas" localSheetId="7">#REF!</definedName>
    <definedName name="vas">#REF!</definedName>
    <definedName name="vbvbvbvb" localSheetId="7"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dfvuio" localSheetId="7" hidden="1">{"via1",#N/A,TRUE,"general";"via2",#N/A,TRUE,"general";"via3",#N/A,TRUE,"general"}</definedName>
    <definedName name="vdfvuio" localSheetId="4"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4"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7">#REF!</definedName>
    <definedName name="VentaAiu">#REF!</definedName>
    <definedName name="VentaAnsermaCartago" localSheetId="7">#REF!</definedName>
    <definedName name="VentaAnsermaCartago">#REF!</definedName>
    <definedName name="VentaMediacanoaAnserma" localSheetId="7">#REF!</definedName>
    <definedName name="VentaMediacanoaAnserma">#REF!</definedName>
    <definedName name="VentaVenta" localSheetId="7">#REF!</definedName>
    <definedName name="VentaVenta">#REF!</definedName>
    <definedName name="vfbgnhyt" localSheetId="7" hidden="1">{"via1",#N/A,TRUE,"general";"via2",#N/A,TRUE,"general";"via3",#N/A,TRUE,"general"}</definedName>
    <definedName name="vfbgnhyt" localSheetId="4"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localSheetId="4"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4"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7">#REF!</definedName>
    <definedName name="VIA">#REF!</definedName>
    <definedName name="VIA_PITAL___LA_PLATA" localSheetId="7">#REF!</definedName>
    <definedName name="VIA_PITAL___LA_PLATA">#REF!</definedName>
    <definedName name="VIAJ" localSheetId="7">#REF!</definedName>
    <definedName name="VIAJ">#REF!</definedName>
    <definedName name="VIAJE" localSheetId="7">#REF!</definedName>
    <definedName name="VIAJE">#REF!</definedName>
    <definedName name="victor" localSheetId="7">#REF!</definedName>
    <definedName name="victor">#REF!</definedName>
    <definedName name="vk" localSheetId="7" hidden="1">{"via1",#N/A,TRUE,"general";"via2",#N/A,TRUE,"general";"via3",#N/A,TRUE,"general"}</definedName>
    <definedName name="vk" localSheetId="4"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localSheetId="4"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4"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umen" localSheetId="7">#REF!</definedName>
    <definedName name="Volumen">#REF!</definedName>
    <definedName name="vsdfj" localSheetId="7" hidden="1">{"via1",#N/A,TRUE,"general";"via2",#N/A,TRUE,"general";"via3",#N/A,TRUE,"general"}</definedName>
    <definedName name="vsdfj" localSheetId="4"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localSheetId="4"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ELTA" localSheetId="7">#REF!</definedName>
    <definedName name="VUELTA">#REF!</definedName>
    <definedName name="vvcxv" localSheetId="7" hidden="1">{"TAB1",#N/A,TRUE,"GENERAL";"TAB2",#N/A,TRUE,"GENERAL";"TAB3",#N/A,TRUE,"GENERAL";"TAB4",#N/A,TRUE,"GENERAL";"TAB5",#N/A,TRUE,"GENERAL"}</definedName>
    <definedName name="vvcxv" localSheetId="4"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localSheetId="4"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4"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4"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7">#REF!</definedName>
    <definedName name="w">#REF!</definedName>
    <definedName name="w2w2w" localSheetId="7" hidden="1">{"via1",#N/A,TRUE,"general";"via2",#N/A,TRUE,"general";"via3",#N/A,TRUE,"general"}</definedName>
    <definedName name="w2w2w" localSheetId="4"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e" localSheetId="7">#REF!</definedName>
    <definedName name="we">#REF!</definedName>
    <definedName name="werew" localSheetId="7" hidden="1">{"TAB1",#N/A,TRUE,"GENERAL";"TAB2",#N/A,TRUE,"GENERAL";"TAB3",#N/A,TRUE,"GENERAL";"TAB4",#N/A,TRUE,"GENERAL";"TAB5",#N/A,TRUE,"GENERAL"}</definedName>
    <definedName name="werew" localSheetId="4"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4"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4"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4"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4"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4"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4"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4"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4"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4"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7"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7" hidden="1">{"via1",#N/A,TRUE,"general";"via2",#N/A,TRUE,"general";"via3",#N/A,TRUE,"general"}</definedName>
    <definedName name="wsnhed" localSheetId="4"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4"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localSheetId="4"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7" hidden="1">{"via1",#N/A,TRUE,"general";"via2",#N/A,TRUE,"general";"via3",#N/A,TRUE,"general"}</definedName>
    <definedName name="wwded3" localSheetId="4"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localSheetId="4"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localSheetId="4"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xs" localSheetId="7" hidden="1">{"TAB1",#N/A,TRUE,"GENERAL";"TAB2",#N/A,TRUE,"GENERAL";"TAB3",#N/A,TRUE,"GENERAL";"TAB4",#N/A,TRUE,"GENERAL";"TAB5",#N/A,TRUE,"GENERAL"}</definedName>
    <definedName name="xsxs" localSheetId="4"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7">#REF!</definedName>
    <definedName name="xx">#REF!</definedName>
    <definedName name="xxfg" localSheetId="7" hidden="1">{"via1",#N/A,TRUE,"general";"via2",#N/A,TRUE,"general";"via3",#N/A,TRUE,"general"}</definedName>
    <definedName name="xxfg" localSheetId="4"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x" localSheetId="7">#REF!</definedName>
    <definedName name="xxxxx" localSheetId="4">#REF!</definedName>
    <definedName name="xxxxx" localSheetId="3">#REF!</definedName>
    <definedName name="xxxxx">#REF!</definedName>
    <definedName name="xxxxxds" localSheetId="7" hidden="1">{"via1",#N/A,TRUE,"general";"via2",#N/A,TRUE,"general";"via3",#N/A,TRUE,"general"}</definedName>
    <definedName name="xxxxxds" localSheetId="4"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xx29" localSheetId="7" hidden="1">{"via1",#N/A,TRUE,"general";"via2",#N/A,TRUE,"general";"via3",#N/A,TRUE,"general"}</definedName>
    <definedName name="xxxxxxxxxx29" localSheetId="4"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ZXZV" localSheetId="7" hidden="1">{"via1",#N/A,TRUE,"general";"via2",#N/A,TRUE,"general";"via3",#N/A,TRUE,"general"}</definedName>
    <definedName name="XZXZV" localSheetId="4"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7" hidden="1">{"TAB1",#N/A,TRUE,"GENERAL";"TAB2",#N/A,TRUE,"GENERAL";"TAB3",#N/A,TRUE,"GENERAL";"TAB4",#N/A,TRUE,"GENERAL";"TAB5",#N/A,TRUE,"GENERAL"}</definedName>
    <definedName name="Y" localSheetId="4" hidden="1">{"TAB1",#N/A,TRUE,"GENERAL";"TAB2",#N/A,TRUE,"GENERAL";"TAB3",#N/A,TRUE,"GENERAL";"TAB4",#N/A,TRUE,"GENERAL";"TAB5",#N/A,TRUE,"GENERAL"}</definedName>
    <definedName name="Y" localSheetId="3" hidden="1">{"TAB1",#N/A,TRUE,"GENERAL";"TAB2",#N/A,TRUE,"GENERAL";"TAB3",#N/A,TRUE,"GENERAL";"TAB4",#N/A,TRUE,"GENERAL";"TAB5",#N/A,TRUE,"GENERAL"}</definedName>
    <definedName name="Y" hidden="1">{"TAB1",#N/A,TRUE,"GENERAL";"TAB2",#N/A,TRUE,"GENERAL";"TAB3",#N/A,TRUE,"GENERAL";"TAB4",#N/A,TRUE,"GENERAL";"TAB5",#N/A,TRUE,"GENERAL"}</definedName>
    <definedName name="y6y6" localSheetId="7" hidden="1">{"via1",#N/A,TRUE,"general";"via2",#N/A,TRUE,"general";"via3",#N/A,TRUE,"general"}</definedName>
    <definedName name="y6y6" localSheetId="4"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localSheetId="4"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localSheetId="4"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localSheetId="4"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lombo" localSheetId="7">#REF!</definedName>
    <definedName name="yolombo">#REF!</definedName>
    <definedName name="yrey" localSheetId="7" hidden="1">{"via1",#N/A,TRUE,"general";"via2",#N/A,TRUE,"general";"via3",#N/A,TRUE,"general"}</definedName>
    <definedName name="yrey" localSheetId="4"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4"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localSheetId="4"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4"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4"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4"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4"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4"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4"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4"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f" localSheetId="7" hidden="1">{"TAB1",#N/A,TRUE,"GENERAL";"TAB2",#N/A,TRUE,"GENERAL";"TAB3",#N/A,TRUE,"GENERAL";"TAB4",#N/A,TRUE,"GENERAL";"TAB5",#N/A,TRUE,"GENERAL"}</definedName>
    <definedName name="yuf" localSheetId="4"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localSheetId="7"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localSheetId="4"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4"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4"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4"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4"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4"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_026CD6D7_F7CA_4BE8_B625_9A1778CFA739_.wvu.FilterData" localSheetId="7" hidden="1">#REF!</definedName>
    <definedName name="Z_026CD6D7_F7CA_4BE8_B625_9A1778CFA739_.wvu.FilterData" hidden="1">#REF!</definedName>
    <definedName name="Z_026CD6D7_F7CA_4BE8_B625_9A1778CFA739_.wvu.PrintArea" localSheetId="7" hidden="1">#REF!</definedName>
    <definedName name="Z_026CD6D7_F7CA_4BE8_B625_9A1778CFA739_.wvu.PrintArea" hidden="1">#REF!</definedName>
    <definedName name="Z_026CD6D7_F7CA_4BE8_B625_9A1778CFA739_.wvu.PrintTitles" localSheetId="7" hidden="1">#REF!</definedName>
    <definedName name="Z_026CD6D7_F7CA_4BE8_B625_9A1778CFA739_.wvu.PrintTitles" hidden="1">#REF!</definedName>
    <definedName name="Z_05670E35_1347_49D9_AD91_AA9A31A4EF61_.wvu.FilterData" localSheetId="7" hidden="1">#REF!</definedName>
    <definedName name="Z_05670E35_1347_49D9_AD91_AA9A31A4EF61_.wvu.FilterData" hidden="1">#REF!</definedName>
    <definedName name="Z_05670E35_1347_49D9_AD91_AA9A31A4EF61_.wvu.PrintArea" localSheetId="7" hidden="1">#REF!</definedName>
    <definedName name="Z_05670E35_1347_49D9_AD91_AA9A31A4EF61_.wvu.PrintArea" hidden="1">#REF!</definedName>
    <definedName name="Z_05670E35_1347_49D9_AD91_AA9A31A4EF61_.wvu.PrintTitles" localSheetId="7" hidden="1">#REF!</definedName>
    <definedName name="Z_05670E35_1347_49D9_AD91_AA9A31A4EF61_.wvu.PrintTitles" hidden="1">#REF!</definedName>
    <definedName name="Z_0890F28A_A8C8_451C_A3E6_C3AFDD239B64_.wvu.FilterData" localSheetId="7" hidden="1">#REF!</definedName>
    <definedName name="Z_0890F28A_A8C8_451C_A3E6_C3AFDD239B64_.wvu.FilterData" hidden="1">#REF!</definedName>
    <definedName name="Z_0890F28A_A8C8_451C_A3E6_C3AFDD239B64_.wvu.PrintArea" localSheetId="7" hidden="1">#REF!</definedName>
    <definedName name="Z_0890F28A_A8C8_451C_A3E6_C3AFDD239B64_.wvu.PrintArea" hidden="1">#REF!</definedName>
    <definedName name="Z_0890F28A_A8C8_451C_A3E6_C3AFDD239B64_.wvu.PrintTitles" localSheetId="7" hidden="1">#REF!</definedName>
    <definedName name="Z_0890F28A_A8C8_451C_A3E6_C3AFDD239B64_.wvu.PrintTitles" hidden="1">#REF!</definedName>
    <definedName name="Z_0A4C2D72_EA87_11DA_B6F6_00609720E0A1_.wvu.FilterData" localSheetId="7" hidden="1">#REF!</definedName>
    <definedName name="Z_0A4C2D72_EA87_11DA_B6F6_00609720E0A1_.wvu.FilterData" hidden="1">#REF!</definedName>
    <definedName name="Z_0A4C2D72_EA87_11DA_B6F6_00609720E0A1_.wvu.PrintArea" localSheetId="7" hidden="1">#REF!</definedName>
    <definedName name="Z_0A4C2D72_EA87_11DA_B6F6_00609720E0A1_.wvu.PrintArea" hidden="1">#REF!</definedName>
    <definedName name="Z_0A4C2D72_EA87_11DA_B6F6_00609720E0A1_.wvu.PrintTitles" localSheetId="7" hidden="1">#REF!</definedName>
    <definedName name="Z_0A4C2D72_EA87_11DA_B6F6_00609720E0A1_.wvu.PrintTitles" hidden="1">#REF!</definedName>
    <definedName name="Z_0A4C2D73_EA87_11DA_B6F6_00609720E0A1_.wvu.FilterData" localSheetId="7" hidden="1">#REF!</definedName>
    <definedName name="Z_0A4C2D73_EA87_11DA_B6F6_00609720E0A1_.wvu.FilterData" hidden="1">#REF!</definedName>
    <definedName name="Z_0A4C2D73_EA87_11DA_B6F6_00609720E0A1_.wvu.PrintArea" localSheetId="7" hidden="1">#REF!</definedName>
    <definedName name="Z_0A4C2D73_EA87_11DA_B6F6_00609720E0A1_.wvu.PrintArea" hidden="1">#REF!</definedName>
    <definedName name="Z_0A4C2D74_EA87_11DA_B6F6_00609720E0A1_.wvu.FilterData" localSheetId="7" hidden="1">#REF!</definedName>
    <definedName name="Z_0A4C2D74_EA87_11DA_B6F6_00609720E0A1_.wvu.FilterData" hidden="1">#REF!</definedName>
    <definedName name="Z_0A4C2D74_EA87_11DA_B6F6_00609720E0A1_.wvu.PrintArea" localSheetId="7" hidden="1">#REF!</definedName>
    <definedName name="Z_0A4C2D74_EA87_11DA_B6F6_00609720E0A1_.wvu.PrintArea" hidden="1">#REF!</definedName>
    <definedName name="Z_0A4C2D75_EA87_11DA_B6F6_00609720E0A1_.wvu.FilterData" localSheetId="7" hidden="1">#REF!</definedName>
    <definedName name="Z_0A4C2D75_EA87_11DA_B6F6_00609720E0A1_.wvu.FilterData" hidden="1">#REF!</definedName>
    <definedName name="Z_0A4C2D75_EA87_11DA_B6F6_00609720E0A1_.wvu.PrintArea" localSheetId="7" hidden="1">#REF!</definedName>
    <definedName name="Z_0A4C2D75_EA87_11DA_B6F6_00609720E0A1_.wvu.PrintArea" hidden="1">#REF!</definedName>
    <definedName name="Z_0A4C2D75_EA87_11DA_B6F6_00609720E0A1_.wvu.PrintTitles" localSheetId="7" hidden="1">#REF!</definedName>
    <definedName name="Z_0A4C2D75_EA87_11DA_B6F6_00609720E0A1_.wvu.PrintTitles" hidden="1">#REF!</definedName>
    <definedName name="Z_0A4C2D76_EA87_11DA_B6F6_00609720E0A1_.wvu.FilterData" localSheetId="7" hidden="1">#REF!</definedName>
    <definedName name="Z_0A4C2D76_EA87_11DA_B6F6_00609720E0A1_.wvu.FilterData" hidden="1">#REF!</definedName>
    <definedName name="Z_0A4C2D76_EA87_11DA_B6F6_00609720E0A1_.wvu.PrintArea" localSheetId="7" hidden="1">#REF!</definedName>
    <definedName name="Z_0A4C2D76_EA87_11DA_B6F6_00609720E0A1_.wvu.PrintArea" hidden="1">#REF!</definedName>
    <definedName name="Z_0A4C2D76_EA87_11DA_B6F6_00609720E0A1_.wvu.PrintTitles" localSheetId="7" hidden="1">#REF!</definedName>
    <definedName name="Z_0A4C2D76_EA87_11DA_B6F6_00609720E0A1_.wvu.PrintTitles" hidden="1">#REF!</definedName>
    <definedName name="Z_0E0DE1F8_394A_4093_8E74_B2A631A3A88C_.wvu.FilterData" localSheetId="7" hidden="1">#REF!</definedName>
    <definedName name="Z_0E0DE1F8_394A_4093_8E74_B2A631A3A88C_.wvu.FilterData" hidden="1">#REF!</definedName>
    <definedName name="Z_0E0DE1F8_394A_4093_8E74_B2A631A3A88C_.wvu.PrintArea" localSheetId="7" hidden="1">#REF!</definedName>
    <definedName name="Z_0E0DE1F8_394A_4093_8E74_B2A631A3A88C_.wvu.PrintArea" hidden="1">#REF!</definedName>
    <definedName name="Z_0E0DE1F8_394A_4093_8E74_B2A631A3A88C_.wvu.PrintTitles" localSheetId="7" hidden="1">#REF!</definedName>
    <definedName name="Z_0E0DE1F8_394A_4093_8E74_B2A631A3A88C_.wvu.PrintTitles" hidden="1">#REF!</definedName>
    <definedName name="Z_18C710ED_70CF_48D0_92F5_038A88335068_.wvu.FilterData" localSheetId="7" hidden="1">#REF!</definedName>
    <definedName name="Z_18C710ED_70CF_48D0_92F5_038A88335068_.wvu.FilterData" hidden="1">#REF!</definedName>
    <definedName name="Z_18C710ED_70CF_48D0_92F5_038A88335068_.wvu.PrintArea" localSheetId="7" hidden="1">#REF!</definedName>
    <definedName name="Z_18C710ED_70CF_48D0_92F5_038A88335068_.wvu.PrintArea" hidden="1">#REF!</definedName>
    <definedName name="Z_18C710ED_70CF_48D0_92F5_038A88335068_.wvu.PrintTitles" localSheetId="7" hidden="1">#REF!</definedName>
    <definedName name="Z_18C710ED_70CF_48D0_92F5_038A88335068_.wvu.PrintTitles" hidden="1">#REF!</definedName>
    <definedName name="Z_378D82E8_FE69_4712_AE73_9D578C4190DE_.wvu.FilterData" localSheetId="7" hidden="1">#REF!</definedName>
    <definedName name="Z_378D82E8_FE69_4712_AE73_9D578C4190DE_.wvu.FilterData" hidden="1">#REF!</definedName>
    <definedName name="Z_378D82E8_FE69_4712_AE73_9D578C4190DE_.wvu.PrintArea" localSheetId="7" hidden="1">#REF!</definedName>
    <definedName name="Z_378D82E8_FE69_4712_AE73_9D578C4190DE_.wvu.PrintArea" hidden="1">#REF!</definedName>
    <definedName name="Z_378D82E8_FE69_4712_AE73_9D578C4190DE_.wvu.PrintTitles" localSheetId="7" hidden="1">#REF!</definedName>
    <definedName name="Z_378D82E8_FE69_4712_AE73_9D578C4190DE_.wvu.PrintTitles" hidden="1">#REF!</definedName>
    <definedName name="Z_381FCF61_DF95_4756_B103_A1118DFFDE02_.wvu.FilterData" localSheetId="7" hidden="1">#REF!</definedName>
    <definedName name="Z_381FCF61_DF95_4756_B103_A1118DFFDE02_.wvu.FilterData" hidden="1">#REF!</definedName>
    <definedName name="Z_381FCF61_DF95_4756_B103_A1118DFFDE02_.wvu.PrintArea" localSheetId="7" hidden="1">#REF!</definedName>
    <definedName name="Z_381FCF61_DF95_4756_B103_A1118DFFDE02_.wvu.PrintArea" hidden="1">#REF!</definedName>
    <definedName name="Z_381FCF61_DF95_4756_B103_A1118DFFDE02_.wvu.PrintTitles" localSheetId="7" hidden="1">#REF!</definedName>
    <definedName name="Z_381FCF61_DF95_4756_B103_A1118DFFDE02_.wvu.PrintTitles" hidden="1">#REF!</definedName>
    <definedName name="Z_3B3C0CA1_2A9C_45FD_9823_50B200F6C0D1_.wvu.FilterData" localSheetId="7" hidden="1">#REF!</definedName>
    <definedName name="Z_3B3C0CA1_2A9C_45FD_9823_50B200F6C0D1_.wvu.FilterData" hidden="1">#REF!</definedName>
    <definedName name="Z_3B3C0CA1_2A9C_45FD_9823_50B200F6C0D1_.wvu.PrintArea" localSheetId="7" hidden="1">#REF!</definedName>
    <definedName name="Z_3B3C0CA1_2A9C_45FD_9823_50B200F6C0D1_.wvu.PrintArea" hidden="1">#REF!</definedName>
    <definedName name="Z_3B3C0CA1_2A9C_45FD_9823_50B200F6C0D1_.wvu.PrintTitles" localSheetId="7" hidden="1">#REF!</definedName>
    <definedName name="Z_3B3C0CA1_2A9C_45FD_9823_50B200F6C0D1_.wvu.PrintTitles" hidden="1">#REF!</definedName>
    <definedName name="Z_3E9430E5_6A83_435B_9E47_1B8F7E18D67C_.wvu.FilterData" localSheetId="7" hidden="1">#REF!</definedName>
    <definedName name="Z_3E9430E5_6A83_435B_9E47_1B8F7E18D67C_.wvu.FilterData" hidden="1">#REF!</definedName>
    <definedName name="Z_3E9430E5_6A83_435B_9E47_1B8F7E18D67C_.wvu.PrintArea" localSheetId="7" hidden="1">#REF!</definedName>
    <definedName name="Z_3E9430E5_6A83_435B_9E47_1B8F7E18D67C_.wvu.PrintArea" hidden="1">#REF!</definedName>
    <definedName name="Z_3E9430E5_6A83_435B_9E47_1B8F7E18D67C_.wvu.PrintTitles" localSheetId="7" hidden="1">#REF!</definedName>
    <definedName name="Z_3E9430E5_6A83_435B_9E47_1B8F7E18D67C_.wvu.PrintTitles" hidden="1">#REF!</definedName>
    <definedName name="Z_4A14CB5C_2287_4F6E_9A65_22F0A4D81D81_.wvu.FilterData" localSheetId="7" hidden="1">#REF!</definedName>
    <definedName name="Z_4A14CB5C_2287_4F6E_9A65_22F0A4D81D81_.wvu.FilterData" hidden="1">#REF!</definedName>
    <definedName name="Z_4A14CB5C_2287_4F6E_9A65_22F0A4D81D81_.wvu.PrintArea" localSheetId="7" hidden="1">#REF!</definedName>
    <definedName name="Z_4A14CB5C_2287_4F6E_9A65_22F0A4D81D81_.wvu.PrintArea" hidden="1">#REF!</definedName>
    <definedName name="Z_4A14CB5C_2287_4F6E_9A65_22F0A4D81D81_.wvu.PrintTitles" localSheetId="7" hidden="1">#REF!</definedName>
    <definedName name="Z_4A14CB5C_2287_4F6E_9A65_22F0A4D81D81_.wvu.PrintTitles" hidden="1">#REF!</definedName>
    <definedName name="Z_4BBC24C4_A093_4EC9_8AFF_49C6F602CC39_.wvu.FilterData" localSheetId="7" hidden="1">#REF!</definedName>
    <definedName name="Z_4BBC24C4_A093_4EC9_8AFF_49C6F602CC39_.wvu.FilterData" hidden="1">#REF!</definedName>
    <definedName name="Z_4BBC24C4_A093_4EC9_8AFF_49C6F602CC39_.wvu.PrintArea" localSheetId="7" hidden="1">#REF!</definedName>
    <definedName name="Z_4BBC24C4_A093_4EC9_8AFF_49C6F602CC39_.wvu.PrintArea" hidden="1">#REF!</definedName>
    <definedName name="Z_4BBC24C4_A093_4EC9_8AFF_49C6F602CC39_.wvu.PrintTitles" localSheetId="7" hidden="1">#REF!</definedName>
    <definedName name="Z_4BBC24C4_A093_4EC9_8AFF_49C6F602CC39_.wvu.PrintTitles" hidden="1">#REF!</definedName>
    <definedName name="Z_504A8F9D_2C46_439E_975A_DF1C1FA56E7B_.wvu.FilterData" localSheetId="7" hidden="1">#REF!</definedName>
    <definedName name="Z_504A8F9D_2C46_439E_975A_DF1C1FA56E7B_.wvu.FilterData" hidden="1">#REF!</definedName>
    <definedName name="Z_504A8F9D_2C46_439E_975A_DF1C1FA56E7B_.wvu.PrintArea" localSheetId="7" hidden="1">#REF!</definedName>
    <definedName name="Z_504A8F9D_2C46_439E_975A_DF1C1FA56E7B_.wvu.PrintArea" hidden="1">#REF!</definedName>
    <definedName name="Z_504A8F9D_2C46_439E_975A_DF1C1FA56E7B_.wvu.PrintTitles" localSheetId="7" hidden="1">#REF!</definedName>
    <definedName name="Z_504A8F9D_2C46_439E_975A_DF1C1FA56E7B_.wvu.PrintTitles" hidden="1">#REF!</definedName>
    <definedName name="Z_653348E7_CDAD_4F62_A236_641A4BB6425A_.wvu.FilterData" localSheetId="7" hidden="1">#REF!</definedName>
    <definedName name="Z_653348E7_CDAD_4F62_A236_641A4BB6425A_.wvu.FilterData" hidden="1">#REF!</definedName>
    <definedName name="Z_653348E7_CDAD_4F62_A236_641A4BB6425A_.wvu.PrintArea" localSheetId="7" hidden="1">#REF!</definedName>
    <definedName name="Z_653348E7_CDAD_4F62_A236_641A4BB6425A_.wvu.PrintArea" hidden="1">#REF!</definedName>
    <definedName name="Z_653348E7_CDAD_4F62_A236_641A4BB6425A_.wvu.PrintTitles" localSheetId="7" hidden="1">#REF!</definedName>
    <definedName name="Z_653348E7_CDAD_4F62_A236_641A4BB6425A_.wvu.PrintTitles" hidden="1">#REF!</definedName>
    <definedName name="Z_68C48519_C8C2_4287_96F6_0F561F815CE8_.wvu.FilterData" localSheetId="7" hidden="1">#REF!</definedName>
    <definedName name="Z_68C48519_C8C2_4287_96F6_0F561F815CE8_.wvu.FilterData" hidden="1">#REF!</definedName>
    <definedName name="Z_68C48519_C8C2_4287_96F6_0F561F815CE8_.wvu.PrintArea" localSheetId="7" hidden="1">#REF!</definedName>
    <definedName name="Z_68C48519_C8C2_4287_96F6_0F561F815CE8_.wvu.PrintArea" hidden="1">#REF!</definedName>
    <definedName name="Z_68C48519_C8C2_4287_96F6_0F561F815CE8_.wvu.PrintTitles" localSheetId="7" hidden="1">#REF!</definedName>
    <definedName name="Z_68C48519_C8C2_4287_96F6_0F561F815CE8_.wvu.PrintTitles" hidden="1">#REF!</definedName>
    <definedName name="Z_6BA141F2_E104_11DA_B6F6_00609720E0A1_.wvu.FilterData" localSheetId="7" hidden="1">#REF!</definedName>
    <definedName name="Z_6BA141F2_E104_11DA_B6F6_00609720E0A1_.wvu.FilterData" hidden="1">#REF!</definedName>
    <definedName name="Z_6BA141F2_E104_11DA_B6F6_00609720E0A1_.wvu.PrintArea" localSheetId="7" hidden="1">#REF!</definedName>
    <definedName name="Z_6BA141F2_E104_11DA_B6F6_00609720E0A1_.wvu.PrintArea" hidden="1">#REF!</definedName>
    <definedName name="Z_6BA141F2_E104_11DA_B6F6_00609720E0A1_.wvu.PrintTitles" localSheetId="7" hidden="1">#REF!</definedName>
    <definedName name="Z_6BA141F2_E104_11DA_B6F6_00609720E0A1_.wvu.PrintTitles" hidden="1">#REF!</definedName>
    <definedName name="Z_6BA141F3_E104_11DA_B6F6_00609720E0A1_.wvu.FilterData" localSheetId="7" hidden="1">#REF!</definedName>
    <definedName name="Z_6BA141F3_E104_11DA_B6F6_00609720E0A1_.wvu.FilterData" hidden="1">#REF!</definedName>
    <definedName name="Z_6BA141F3_E104_11DA_B6F6_00609720E0A1_.wvu.PrintArea" localSheetId="7" hidden="1">#REF!</definedName>
    <definedName name="Z_6BA141F3_E104_11DA_B6F6_00609720E0A1_.wvu.PrintArea" hidden="1">#REF!</definedName>
    <definedName name="Z_6BA141F4_E104_11DA_B6F6_00609720E0A1_.wvu.FilterData" localSheetId="7" hidden="1">#REF!</definedName>
    <definedName name="Z_6BA141F4_E104_11DA_B6F6_00609720E0A1_.wvu.FilterData" hidden="1">#REF!</definedName>
    <definedName name="Z_6BA141F4_E104_11DA_B6F6_00609720E0A1_.wvu.PrintArea" localSheetId="7" hidden="1">#REF!</definedName>
    <definedName name="Z_6BA141F4_E104_11DA_B6F6_00609720E0A1_.wvu.PrintArea" hidden="1">#REF!</definedName>
    <definedName name="Z_6BA141F5_E104_11DA_B6F6_00609720E0A1_.wvu.FilterData" localSheetId="7" hidden="1">#REF!</definedName>
    <definedName name="Z_6BA141F5_E104_11DA_B6F6_00609720E0A1_.wvu.FilterData" hidden="1">#REF!</definedName>
    <definedName name="Z_6BA141F5_E104_11DA_B6F6_00609720E0A1_.wvu.PrintArea" localSheetId="7" hidden="1">#REF!</definedName>
    <definedName name="Z_6BA141F5_E104_11DA_B6F6_00609720E0A1_.wvu.PrintArea" hidden="1">#REF!</definedName>
    <definedName name="Z_6BA141F5_E104_11DA_B6F6_00609720E0A1_.wvu.PrintTitles" localSheetId="7" hidden="1">#REF!</definedName>
    <definedName name="Z_6BA141F5_E104_11DA_B6F6_00609720E0A1_.wvu.PrintTitles" hidden="1">#REF!</definedName>
    <definedName name="Z_6BA141F6_E104_11DA_B6F6_00609720E0A1_.wvu.FilterData" localSheetId="7" hidden="1">#REF!</definedName>
    <definedName name="Z_6BA141F6_E104_11DA_B6F6_00609720E0A1_.wvu.FilterData" hidden="1">#REF!</definedName>
    <definedName name="Z_6BA141F6_E104_11DA_B6F6_00609720E0A1_.wvu.PrintArea" localSheetId="7" hidden="1">#REF!</definedName>
    <definedName name="Z_6BA141F6_E104_11DA_B6F6_00609720E0A1_.wvu.PrintArea" hidden="1">#REF!</definedName>
    <definedName name="Z_6BA141F6_E104_11DA_B6F6_00609720E0A1_.wvu.PrintTitles" localSheetId="7" hidden="1">#REF!</definedName>
    <definedName name="Z_6BA141F6_E104_11DA_B6F6_00609720E0A1_.wvu.PrintTitles" hidden="1">#REF!</definedName>
    <definedName name="Z_726673D2_C579_4EF3_83C7_45DC3792EA6A_.wvu.FilterData" localSheetId="7" hidden="1">#REF!</definedName>
    <definedName name="Z_726673D2_C579_4EF3_83C7_45DC3792EA6A_.wvu.FilterData" hidden="1">#REF!</definedName>
    <definedName name="Z_726673D2_C579_4EF3_83C7_45DC3792EA6A_.wvu.PrintArea" localSheetId="7" hidden="1">#REF!</definedName>
    <definedName name="Z_726673D2_C579_4EF3_83C7_45DC3792EA6A_.wvu.PrintArea" hidden="1">#REF!</definedName>
    <definedName name="Z_726673D2_C579_4EF3_83C7_45DC3792EA6A_.wvu.PrintTitles" localSheetId="7" hidden="1">#REF!</definedName>
    <definedName name="Z_726673D2_C579_4EF3_83C7_45DC3792EA6A_.wvu.PrintTitles" hidden="1">#REF!</definedName>
    <definedName name="Z_729969D8_DFDA_47B9_ADA2_E05CF62B3DEF_.wvu.FilterData" localSheetId="7" hidden="1">#REF!</definedName>
    <definedName name="Z_729969D8_DFDA_47B9_ADA2_E05CF62B3DEF_.wvu.FilterData" hidden="1">#REF!</definedName>
    <definedName name="Z_729969D8_DFDA_47B9_ADA2_E05CF62B3DEF_.wvu.PrintArea" localSheetId="7" hidden="1">#REF!</definedName>
    <definedName name="Z_729969D8_DFDA_47B9_ADA2_E05CF62B3DEF_.wvu.PrintArea" hidden="1">#REF!</definedName>
    <definedName name="Z_729969D8_DFDA_47B9_ADA2_E05CF62B3DEF_.wvu.PrintTitles" localSheetId="7" hidden="1">#REF!</definedName>
    <definedName name="Z_729969D8_DFDA_47B9_ADA2_E05CF62B3DEF_.wvu.PrintTitles" hidden="1">#REF!</definedName>
    <definedName name="Z_75EDDC88_CA8C_4671_911D_25D74F37EC47_.wvu.FilterData" localSheetId="7" hidden="1">#REF!</definedName>
    <definedName name="Z_75EDDC88_CA8C_4671_911D_25D74F37EC47_.wvu.FilterData" hidden="1">#REF!</definedName>
    <definedName name="Z_75EDDC88_CA8C_4671_911D_25D74F37EC47_.wvu.PrintArea" localSheetId="7" hidden="1">#REF!</definedName>
    <definedName name="Z_75EDDC88_CA8C_4671_911D_25D74F37EC47_.wvu.PrintArea" hidden="1">#REF!</definedName>
    <definedName name="Z_75EDDC88_CA8C_4671_911D_25D74F37EC47_.wvu.PrintTitles" localSheetId="7" hidden="1">#REF!</definedName>
    <definedName name="Z_75EDDC88_CA8C_4671_911D_25D74F37EC47_.wvu.PrintTitles" hidden="1">#REF!</definedName>
    <definedName name="Z_80573755_2D8B_4158_BD3A_CC331B950748_.wvu.FilterData" localSheetId="7" hidden="1">#REF!</definedName>
    <definedName name="Z_80573755_2D8B_4158_BD3A_CC331B950748_.wvu.FilterData" hidden="1">#REF!</definedName>
    <definedName name="Z_80573755_2D8B_4158_BD3A_CC331B950748_.wvu.PrintArea" localSheetId="7" hidden="1">#REF!</definedName>
    <definedName name="Z_80573755_2D8B_4158_BD3A_CC331B950748_.wvu.PrintArea" hidden="1">#REF!</definedName>
    <definedName name="Z_80573755_2D8B_4158_BD3A_CC331B950748_.wvu.PrintTitles" localSheetId="7" hidden="1">#REF!</definedName>
    <definedName name="Z_80573755_2D8B_4158_BD3A_CC331B950748_.wvu.PrintTitles" hidden="1">#REF!</definedName>
    <definedName name="Z_9C7B0D6D_4DDE_4C72_B23F_2E183F63ECB1_.wvu.FilterData" localSheetId="7" hidden="1">#REF!</definedName>
    <definedName name="Z_9C7B0D6D_4DDE_4C72_B23F_2E183F63ECB1_.wvu.FilterData" hidden="1">#REF!</definedName>
    <definedName name="Z_9C7B0D6D_4DDE_4C72_B23F_2E183F63ECB1_.wvu.PrintArea" localSheetId="7" hidden="1">#REF!</definedName>
    <definedName name="Z_9C7B0D6D_4DDE_4C72_B23F_2E183F63ECB1_.wvu.PrintArea" hidden="1">#REF!</definedName>
    <definedName name="Z_9C7B0D6D_4DDE_4C72_B23F_2E183F63ECB1_.wvu.PrintTitles" localSheetId="7" hidden="1">#REF!</definedName>
    <definedName name="Z_9C7B0D6D_4DDE_4C72_B23F_2E183F63ECB1_.wvu.PrintTitles" hidden="1">#REF!</definedName>
    <definedName name="Z_9C8B6436_249F_426A_96DC_EEE5E7CB7D1B_.wvu.FilterData" localSheetId="7" hidden="1">#REF!</definedName>
    <definedName name="Z_9C8B6436_249F_426A_96DC_EEE5E7CB7D1B_.wvu.FilterData" hidden="1">#REF!</definedName>
    <definedName name="Z_9C8B6436_249F_426A_96DC_EEE5E7CB7D1B_.wvu.PrintArea" localSheetId="7" hidden="1">#REF!</definedName>
    <definedName name="Z_9C8B6436_249F_426A_96DC_EEE5E7CB7D1B_.wvu.PrintArea" hidden="1">#REF!</definedName>
    <definedName name="Z_9C8B6436_249F_426A_96DC_EEE5E7CB7D1B_.wvu.PrintTitles" localSheetId="7" hidden="1">#REF!</definedName>
    <definedName name="Z_9C8B6436_249F_426A_96DC_EEE5E7CB7D1B_.wvu.PrintTitles" hidden="1">#REF!</definedName>
    <definedName name="Z_9FCFD0D5_270B_4F36_B422_02EF7A3700B8_.wvu.FilterData" localSheetId="7" hidden="1">#REF!</definedName>
    <definedName name="Z_9FCFD0D5_270B_4F36_B422_02EF7A3700B8_.wvu.FilterData" hidden="1">#REF!</definedName>
    <definedName name="Z_9FCFD0D5_270B_4F36_B422_02EF7A3700B8_.wvu.PrintArea" localSheetId="7" hidden="1">#REF!</definedName>
    <definedName name="Z_9FCFD0D5_270B_4F36_B422_02EF7A3700B8_.wvu.PrintArea" hidden="1">#REF!</definedName>
    <definedName name="Z_9FCFD0D5_270B_4F36_B422_02EF7A3700B8_.wvu.PrintTitles" localSheetId="7" hidden="1">#REF!</definedName>
    <definedName name="Z_9FCFD0D5_270B_4F36_B422_02EF7A3700B8_.wvu.PrintTitles" hidden="1">#REF!</definedName>
    <definedName name="Z_9FE8FF3F_4486_44D6_9AFB_43CC5B824BF9_.wvu.FilterData" localSheetId="7" hidden="1">#REF!</definedName>
    <definedName name="Z_9FE8FF3F_4486_44D6_9AFB_43CC5B824BF9_.wvu.FilterData" hidden="1">#REF!</definedName>
    <definedName name="Z_9FE8FF3F_4486_44D6_9AFB_43CC5B824BF9_.wvu.PrintArea" localSheetId="7" hidden="1">#REF!</definedName>
    <definedName name="Z_9FE8FF3F_4486_44D6_9AFB_43CC5B824BF9_.wvu.PrintArea" hidden="1">#REF!</definedName>
    <definedName name="Z_9FE8FF3F_4486_44D6_9AFB_43CC5B824BF9_.wvu.PrintTitles" localSheetId="7" hidden="1">#REF!</definedName>
    <definedName name="Z_9FE8FF3F_4486_44D6_9AFB_43CC5B824BF9_.wvu.PrintTitles" hidden="1">#REF!</definedName>
    <definedName name="Z_A3DE26BA_CF48_4654_9BE9_FAEB3C301C95_.wvu.FilterData" localSheetId="7" hidden="1">#REF!</definedName>
    <definedName name="Z_A3DE26BA_CF48_4654_9BE9_FAEB3C301C95_.wvu.FilterData" hidden="1">#REF!</definedName>
    <definedName name="Z_A3DE26BA_CF48_4654_9BE9_FAEB3C301C95_.wvu.PrintArea" localSheetId="7" hidden="1">#REF!</definedName>
    <definedName name="Z_A3DE26BA_CF48_4654_9BE9_FAEB3C301C95_.wvu.PrintArea" hidden="1">#REF!</definedName>
    <definedName name="Z_A3DE26BA_CF48_4654_9BE9_FAEB3C301C95_.wvu.PrintTitles" localSheetId="7" hidden="1">#REF!</definedName>
    <definedName name="Z_A3DE26BA_CF48_4654_9BE9_FAEB3C301C95_.wvu.PrintTitles" hidden="1">#REF!</definedName>
    <definedName name="Z_AAA1DD33_F1E3_423A_B1F2_E8567F4D95A5_.wvu.FilterData" localSheetId="7" hidden="1">#REF!</definedName>
    <definedName name="Z_AAA1DD33_F1E3_423A_B1F2_E8567F4D95A5_.wvu.FilterData" hidden="1">#REF!</definedName>
    <definedName name="Z_AAA1DD33_F1E3_423A_B1F2_E8567F4D95A5_.wvu.PrintArea" localSheetId="7" hidden="1">#REF!</definedName>
    <definedName name="Z_AAA1DD33_F1E3_423A_B1F2_E8567F4D95A5_.wvu.PrintArea" hidden="1">#REF!</definedName>
    <definedName name="Z_AAA1DD33_F1E3_423A_B1F2_E8567F4D95A5_.wvu.PrintTitles" localSheetId="7" hidden="1">#REF!</definedName>
    <definedName name="Z_AAA1DD33_F1E3_423A_B1F2_E8567F4D95A5_.wvu.PrintTitles" hidden="1">#REF!</definedName>
    <definedName name="Z_B4899972_EBDC_11DA_B6F6_00609720E0A1_.wvu.FilterData" localSheetId="7" hidden="1">#REF!</definedName>
    <definedName name="Z_B4899972_EBDC_11DA_B6F6_00609720E0A1_.wvu.FilterData" hidden="1">#REF!</definedName>
    <definedName name="Z_B4899972_EBDC_11DA_B6F6_00609720E0A1_.wvu.PrintArea" localSheetId="7" hidden="1">#REF!</definedName>
    <definedName name="Z_B4899972_EBDC_11DA_B6F6_00609720E0A1_.wvu.PrintArea" hidden="1">#REF!</definedName>
    <definedName name="Z_B4899972_EBDC_11DA_B6F6_00609720E0A1_.wvu.PrintTitles" localSheetId="7" hidden="1">#REF!</definedName>
    <definedName name="Z_B4899972_EBDC_11DA_B6F6_00609720E0A1_.wvu.PrintTitles" hidden="1">#REF!</definedName>
    <definedName name="Z_B4899973_EBDC_11DA_B6F6_00609720E0A1_.wvu.FilterData" localSheetId="7" hidden="1">#REF!</definedName>
    <definedName name="Z_B4899973_EBDC_11DA_B6F6_00609720E0A1_.wvu.FilterData" hidden="1">#REF!</definedName>
    <definedName name="Z_B4899973_EBDC_11DA_B6F6_00609720E0A1_.wvu.PrintArea" localSheetId="7" hidden="1">#REF!</definedName>
    <definedName name="Z_B4899973_EBDC_11DA_B6F6_00609720E0A1_.wvu.PrintArea" hidden="1">#REF!</definedName>
    <definedName name="Z_B4899974_EBDC_11DA_B6F6_00609720E0A1_.wvu.FilterData" localSheetId="7" hidden="1">#REF!</definedName>
    <definedName name="Z_B4899974_EBDC_11DA_B6F6_00609720E0A1_.wvu.FilterData" hidden="1">#REF!</definedName>
    <definedName name="Z_B4899974_EBDC_11DA_B6F6_00609720E0A1_.wvu.PrintArea" localSheetId="7" hidden="1">#REF!</definedName>
    <definedName name="Z_B4899974_EBDC_11DA_B6F6_00609720E0A1_.wvu.PrintArea" hidden="1">#REF!</definedName>
    <definedName name="Z_B4899975_EBDC_11DA_B6F6_00609720E0A1_.wvu.FilterData" localSheetId="7" hidden="1">#REF!</definedName>
    <definedName name="Z_B4899975_EBDC_11DA_B6F6_00609720E0A1_.wvu.FilterData" hidden="1">#REF!</definedName>
    <definedName name="Z_B4899975_EBDC_11DA_B6F6_00609720E0A1_.wvu.PrintArea" localSheetId="7" hidden="1">#REF!</definedName>
    <definedName name="Z_B4899975_EBDC_11DA_B6F6_00609720E0A1_.wvu.PrintArea" hidden="1">#REF!</definedName>
    <definedName name="Z_B4899975_EBDC_11DA_B6F6_00609720E0A1_.wvu.PrintTitles" localSheetId="7" hidden="1">#REF!</definedName>
    <definedName name="Z_B4899975_EBDC_11DA_B6F6_00609720E0A1_.wvu.PrintTitles" hidden="1">#REF!</definedName>
    <definedName name="Z_B4899976_EBDC_11DA_B6F6_00609720E0A1_.wvu.FilterData" localSheetId="7" hidden="1">#REF!</definedName>
    <definedName name="Z_B4899976_EBDC_11DA_B6F6_00609720E0A1_.wvu.FilterData" hidden="1">#REF!</definedName>
    <definedName name="Z_B4899976_EBDC_11DA_B6F6_00609720E0A1_.wvu.PrintArea" localSheetId="7" hidden="1">#REF!</definedName>
    <definedName name="Z_B4899976_EBDC_11DA_B6F6_00609720E0A1_.wvu.PrintArea" hidden="1">#REF!</definedName>
    <definedName name="Z_B4899976_EBDC_11DA_B6F6_00609720E0A1_.wvu.PrintTitles" localSheetId="7" hidden="1">#REF!</definedName>
    <definedName name="Z_B4899976_EBDC_11DA_B6F6_00609720E0A1_.wvu.PrintTitles" hidden="1">#REF!</definedName>
    <definedName name="Z_C24E6469_C4CC_430B_8814_72DD019DF2C8_.wvu.FilterData" localSheetId="7" hidden="1">#REF!</definedName>
    <definedName name="Z_C24E6469_C4CC_430B_8814_72DD019DF2C8_.wvu.FilterData" hidden="1">#REF!</definedName>
    <definedName name="Z_C24E6469_C4CC_430B_8814_72DD019DF2C8_.wvu.PrintArea" localSheetId="7" hidden="1">#REF!</definedName>
    <definedName name="Z_C24E6469_C4CC_430B_8814_72DD019DF2C8_.wvu.PrintArea" hidden="1">#REF!</definedName>
    <definedName name="Z_C24E6469_C4CC_430B_8814_72DD019DF2C8_.wvu.PrintTitles" localSheetId="7" hidden="1">#REF!</definedName>
    <definedName name="Z_C24E6469_C4CC_430B_8814_72DD019DF2C8_.wvu.PrintTitles" hidden="1">#REF!</definedName>
    <definedName name="Z_CA61CA57_E7CE_4A4D_974A_F3124BCA2797_.wvu.FilterData" localSheetId="7" hidden="1">#REF!</definedName>
    <definedName name="Z_CA61CA57_E7CE_4A4D_974A_F3124BCA2797_.wvu.FilterData" hidden="1">#REF!</definedName>
    <definedName name="Z_CA61CA57_E7CE_4A4D_974A_F3124BCA2797_.wvu.PrintArea" localSheetId="7" hidden="1">#REF!</definedName>
    <definedName name="Z_CA61CA57_E7CE_4A4D_974A_F3124BCA2797_.wvu.PrintArea" hidden="1">#REF!</definedName>
    <definedName name="Z_CA61CA57_E7CE_4A4D_974A_F3124BCA2797_.wvu.PrintTitles" localSheetId="7" hidden="1">#REF!</definedName>
    <definedName name="Z_CA61CA57_E7CE_4A4D_974A_F3124BCA2797_.wvu.PrintTitles" hidden="1">#REF!</definedName>
    <definedName name="Z_DA4D5A8F_12FA_42F5_A8BB_526600E97433_.wvu.FilterData" localSheetId="7" hidden="1">#REF!</definedName>
    <definedName name="Z_DA4D5A8F_12FA_42F5_A8BB_526600E97433_.wvu.FilterData" hidden="1">#REF!</definedName>
    <definedName name="Z_DA4D5A8F_12FA_42F5_A8BB_526600E97433_.wvu.PrintArea" localSheetId="7" hidden="1">#REF!</definedName>
    <definedName name="Z_DA4D5A8F_12FA_42F5_A8BB_526600E97433_.wvu.PrintArea" hidden="1">#REF!</definedName>
    <definedName name="Z_DA4D5A8F_12FA_42F5_A8BB_526600E97433_.wvu.PrintTitles" localSheetId="7" hidden="1">#REF!</definedName>
    <definedName name="Z_DA4D5A8F_12FA_42F5_A8BB_526600E97433_.wvu.PrintTitles" hidden="1">#REF!</definedName>
    <definedName name="Z_DFB4C5EB_A8D3_475E_B627_EA98F95F9220_.wvu.FilterData" localSheetId="7" hidden="1">#REF!</definedName>
    <definedName name="Z_DFB4C5EB_A8D3_475E_B627_EA98F95F9220_.wvu.FilterData" hidden="1">#REF!</definedName>
    <definedName name="Z_DFB4C5EB_A8D3_475E_B627_EA98F95F9220_.wvu.PrintArea" localSheetId="7" hidden="1">#REF!</definedName>
    <definedName name="Z_DFB4C5EB_A8D3_475E_B627_EA98F95F9220_.wvu.PrintArea" hidden="1">#REF!</definedName>
    <definedName name="Z_DFB4C5EB_A8D3_475E_B627_EA98F95F9220_.wvu.PrintTitles" localSheetId="7" hidden="1">#REF!</definedName>
    <definedName name="Z_DFB4C5EB_A8D3_475E_B627_EA98F95F9220_.wvu.PrintTitles" hidden="1">#REF!</definedName>
    <definedName name="Z_F2B990A1_57B3_4766_8C3D_4D3A5265BAEF_.wvu.FilterData" localSheetId="7" hidden="1">#REF!</definedName>
    <definedName name="Z_F2B990A1_57B3_4766_8C3D_4D3A5265BAEF_.wvu.FilterData" hidden="1">#REF!</definedName>
    <definedName name="Z_F2B990A1_57B3_4766_8C3D_4D3A5265BAEF_.wvu.PrintArea" localSheetId="7" hidden="1">#REF!</definedName>
    <definedName name="Z_F2B990A1_57B3_4766_8C3D_4D3A5265BAEF_.wvu.PrintArea" hidden="1">#REF!</definedName>
    <definedName name="Z_F2B990A1_57B3_4766_8C3D_4D3A5265BAEF_.wvu.PrintTitles" localSheetId="7" hidden="1">#REF!</definedName>
    <definedName name="Z_F2B990A1_57B3_4766_8C3D_4D3A5265BAEF_.wvu.PrintTitles" hidden="1">#REF!</definedName>
    <definedName name="Z_F9482E1F_92B8_43D8_949A_7DDCF2E63A19_.wvu.FilterData" localSheetId="7" hidden="1">#REF!</definedName>
    <definedName name="Z_F9482E1F_92B8_43D8_949A_7DDCF2E63A19_.wvu.FilterData" hidden="1">#REF!</definedName>
    <definedName name="Z_F9482E1F_92B8_43D8_949A_7DDCF2E63A19_.wvu.PrintArea" localSheetId="7" hidden="1">#REF!</definedName>
    <definedName name="Z_F9482E1F_92B8_43D8_949A_7DDCF2E63A19_.wvu.PrintArea" hidden="1">#REF!</definedName>
    <definedName name="Z_F9482E1F_92B8_43D8_949A_7DDCF2E63A19_.wvu.PrintTitles" localSheetId="7" hidden="1">#REF!</definedName>
    <definedName name="Z_F9482E1F_92B8_43D8_949A_7DDCF2E63A19_.wvu.PrintTitles" hidden="1">#REF!</definedName>
    <definedName name="zdervr" localSheetId="7" hidden="1">{"via1",#N/A,TRUE,"general";"via2",#N/A,TRUE,"general";"via3",#N/A,TRUE,"general"}</definedName>
    <definedName name="zdervr" localSheetId="4"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4"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4"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65" l="1"/>
  <c r="E40" i="65"/>
  <c r="E38" i="65"/>
  <c r="E37" i="65"/>
  <c r="E36" i="65"/>
  <c r="E35" i="65"/>
  <c r="E34" i="65"/>
  <c r="E33" i="65"/>
  <c r="E32" i="65"/>
  <c r="E31" i="65"/>
  <c r="E30" i="65"/>
  <c r="E29" i="65"/>
  <c r="E28" i="65"/>
  <c r="E27" i="65"/>
  <c r="E26" i="65"/>
  <c r="E25" i="65"/>
  <c r="E24" i="65"/>
  <c r="E23" i="65"/>
  <c r="E22" i="65"/>
  <c r="E21" i="65"/>
  <c r="E19" i="65"/>
  <c r="E18" i="65"/>
  <c r="E17" i="65"/>
  <c r="E16" i="65"/>
  <c r="E15" i="65"/>
  <c r="E14" i="65"/>
  <c r="E13" i="65"/>
  <c r="I12" i="65" l="1"/>
  <c r="E56" i="65"/>
  <c r="E55" i="65"/>
  <c r="E54" i="65"/>
  <c r="E53" i="65"/>
  <c r="E59" i="65" s="1"/>
  <c r="E52" i="65"/>
  <c r="E58" i="65"/>
  <c r="E51" i="65"/>
  <c r="E50" i="65"/>
  <c r="E49" i="65"/>
  <c r="K72" i="65" l="1"/>
  <c r="L72" i="65" s="1"/>
  <c r="O72" i="65" s="1"/>
  <c r="K70" i="65"/>
  <c r="L70" i="65" s="1"/>
  <c r="O70" i="65" s="1"/>
  <c r="K95" i="65"/>
  <c r="L95" i="65" s="1"/>
  <c r="O95" i="65" s="1"/>
  <c r="K111" i="65"/>
  <c r="L111" i="65" s="1"/>
  <c r="M111" i="65" s="1"/>
  <c r="S111" i="65" s="1"/>
  <c r="K110" i="65"/>
  <c r="L110" i="65" s="1"/>
  <c r="O110" i="65" s="1"/>
  <c r="K109" i="65"/>
  <c r="L109" i="65" s="1"/>
  <c r="M109" i="65" s="1"/>
  <c r="S109" i="65" s="1"/>
  <c r="K108" i="65"/>
  <c r="L108" i="65" s="1"/>
  <c r="K107" i="65"/>
  <c r="L107" i="65" s="1"/>
  <c r="K106" i="65"/>
  <c r="L106" i="65" s="1"/>
  <c r="K105" i="65"/>
  <c r="L105" i="65" s="1"/>
  <c r="O105" i="65" s="1"/>
  <c r="K104" i="65"/>
  <c r="L104" i="65" s="1"/>
  <c r="K103" i="65"/>
  <c r="L103" i="65" s="1"/>
  <c r="O103" i="65" s="1"/>
  <c r="K102" i="65"/>
  <c r="L102" i="65" s="1"/>
  <c r="O102" i="65" s="1"/>
  <c r="K101" i="65"/>
  <c r="L101" i="65" s="1"/>
  <c r="K100" i="65"/>
  <c r="K97" i="65"/>
  <c r="L97" i="65" s="1"/>
  <c r="K96" i="65"/>
  <c r="L96" i="65" s="1"/>
  <c r="O96" i="65" s="1"/>
  <c r="K87" i="65"/>
  <c r="L87" i="65" s="1"/>
  <c r="O87" i="65" s="1"/>
  <c r="K85" i="65"/>
  <c r="L85" i="65" s="1"/>
  <c r="O85" i="65" s="1"/>
  <c r="K84" i="65"/>
  <c r="L84" i="65" s="1"/>
  <c r="O84" i="65" s="1"/>
  <c r="K83" i="65"/>
  <c r="L83" i="65" s="1"/>
  <c r="O83" i="65" s="1"/>
  <c r="K82" i="65"/>
  <c r="L82" i="65" s="1"/>
  <c r="O82" i="65" s="1"/>
  <c r="K81" i="65"/>
  <c r="K78" i="65"/>
  <c r="L78" i="65" s="1"/>
  <c r="O78" i="65" s="1"/>
  <c r="K77" i="65"/>
  <c r="L77" i="65" s="1"/>
  <c r="M77" i="65" s="1"/>
  <c r="S77" i="65" s="1"/>
  <c r="K76" i="65"/>
  <c r="L76" i="65" s="1"/>
  <c r="M76" i="65" s="1"/>
  <c r="S76" i="65" s="1"/>
  <c r="K75" i="65"/>
  <c r="L75" i="65" s="1"/>
  <c r="M75" i="65" s="1"/>
  <c r="S75" i="65" s="1"/>
  <c r="K74" i="65"/>
  <c r="L74" i="65" s="1"/>
  <c r="O74" i="65" s="1"/>
  <c r="K73" i="65"/>
  <c r="L73" i="65" s="1"/>
  <c r="O73" i="65" s="1"/>
  <c r="K71" i="65"/>
  <c r="L71" i="65" s="1"/>
  <c r="M71" i="65" s="1"/>
  <c r="S71" i="65" s="1"/>
  <c r="M68" i="65"/>
  <c r="M93" i="65" s="1"/>
  <c r="T128" i="65"/>
  <c r="D49" i="65"/>
  <c r="D60" i="65" s="1"/>
  <c r="D42" i="65"/>
  <c r="F40" i="65"/>
  <c r="F38" i="65"/>
  <c r="F32" i="65"/>
  <c r="F30" i="65"/>
  <c r="F29" i="65"/>
  <c r="F23" i="65"/>
  <c r="F22" i="65"/>
  <c r="F21" i="65"/>
  <c r="E20" i="65"/>
  <c r="I20" i="65" s="1"/>
  <c r="I19" i="65"/>
  <c r="I17" i="65"/>
  <c r="F16" i="65"/>
  <c r="I15" i="65"/>
  <c r="F14" i="65"/>
  <c r="F13" i="65"/>
  <c r="I48" i="65"/>
  <c r="H10" i="65"/>
  <c r="G10" i="65"/>
  <c r="M97" i="65" l="1"/>
  <c r="S97" i="65" s="1"/>
  <c r="M74" i="65"/>
  <c r="S74" i="65" s="1"/>
  <c r="M105" i="65"/>
  <c r="S105" i="65" s="1"/>
  <c r="M87" i="65"/>
  <c r="S87" i="65" s="1"/>
  <c r="M73" i="65"/>
  <c r="S73" i="65" s="1"/>
  <c r="O77" i="65"/>
  <c r="O97" i="65"/>
  <c r="O109" i="65"/>
  <c r="M101" i="65"/>
  <c r="S101" i="65" s="1"/>
  <c r="M102" i="65"/>
  <c r="S102" i="65" s="1"/>
  <c r="M103" i="65"/>
  <c r="S103" i="65" s="1"/>
  <c r="M104" i="65"/>
  <c r="S104" i="65" s="1"/>
  <c r="M106" i="65"/>
  <c r="S106" i="65" s="1"/>
  <c r="M107" i="65"/>
  <c r="S107" i="65" s="1"/>
  <c r="M108" i="65"/>
  <c r="S108" i="65" s="1"/>
  <c r="O76" i="65"/>
  <c r="O111" i="65"/>
  <c r="M85" i="65"/>
  <c r="S85" i="65" s="1"/>
  <c r="M95" i="65"/>
  <c r="S95" i="65" s="1"/>
  <c r="O108" i="65"/>
  <c r="O75" i="65"/>
  <c r="M70" i="65"/>
  <c r="S70" i="65" s="1"/>
  <c r="M84" i="65"/>
  <c r="S84" i="65" s="1"/>
  <c r="M110" i="65"/>
  <c r="S110" i="65" s="1"/>
  <c r="O107" i="65"/>
  <c r="M78" i="65"/>
  <c r="S78" i="65" s="1"/>
  <c r="M83" i="65"/>
  <c r="S83" i="65" s="1"/>
  <c r="M96" i="65"/>
  <c r="S96" i="65" s="1"/>
  <c r="O106" i="65"/>
  <c r="I35" i="65"/>
  <c r="M82" i="65"/>
  <c r="S82" i="65" s="1"/>
  <c r="O101" i="65"/>
  <c r="I36" i="65"/>
  <c r="I37" i="65"/>
  <c r="O104" i="65"/>
  <c r="M72" i="65"/>
  <c r="S72" i="65" s="1"/>
  <c r="O71" i="65"/>
  <c r="I38" i="65"/>
  <c r="H40" i="65"/>
  <c r="H23" i="65"/>
  <c r="I21" i="65"/>
  <c r="I31" i="65"/>
  <c r="L79" i="65"/>
  <c r="K98" i="65"/>
  <c r="L81" i="65"/>
  <c r="K86" i="65"/>
  <c r="L86" i="65" s="1"/>
  <c r="I22" i="65"/>
  <c r="I32" i="65"/>
  <c r="I41" i="65"/>
  <c r="I33" i="65"/>
  <c r="F41" i="65"/>
  <c r="G41" i="65" s="1"/>
  <c r="C82" i="65"/>
  <c r="I16" i="65"/>
  <c r="I34" i="65"/>
  <c r="L98" i="65"/>
  <c r="I24" i="65"/>
  <c r="C81" i="65"/>
  <c r="F24" i="65"/>
  <c r="G24" i="65" s="1"/>
  <c r="F35" i="65"/>
  <c r="G35" i="65" s="1"/>
  <c r="D63" i="65"/>
  <c r="I25" i="65"/>
  <c r="I14" i="65"/>
  <c r="F19" i="65"/>
  <c r="H19" i="65" s="1"/>
  <c r="I27" i="65"/>
  <c r="F36" i="65"/>
  <c r="G36" i="65" s="1"/>
  <c r="F27" i="65"/>
  <c r="H27" i="65" s="1"/>
  <c r="K79" i="65"/>
  <c r="F20" i="65"/>
  <c r="G20" i="65" s="1"/>
  <c r="L100" i="65"/>
  <c r="I29" i="65"/>
  <c r="F37" i="65"/>
  <c r="H37" i="65" s="1"/>
  <c r="I13" i="65"/>
  <c r="I30" i="65"/>
  <c r="G13" i="65"/>
  <c r="F53" i="65"/>
  <c r="I53" i="65"/>
  <c r="H32" i="65"/>
  <c r="G32" i="65"/>
  <c r="G40" i="65"/>
  <c r="H30" i="65"/>
  <c r="H16" i="65"/>
  <c r="G16" i="65"/>
  <c r="I18" i="65"/>
  <c r="F18" i="65"/>
  <c r="G30" i="65"/>
  <c r="H14" i="65"/>
  <c r="H21" i="65"/>
  <c r="G21" i="65"/>
  <c r="H22" i="65"/>
  <c r="G22" i="65"/>
  <c r="I28" i="65"/>
  <c r="F28" i="65"/>
  <c r="H38" i="65"/>
  <c r="G38" i="65"/>
  <c r="H13" i="65"/>
  <c r="G14" i="65"/>
  <c r="G23" i="65"/>
  <c r="H29" i="65"/>
  <c r="G29" i="65"/>
  <c r="I23" i="65"/>
  <c r="I40" i="65"/>
  <c r="F26" i="65"/>
  <c r="F17" i="65"/>
  <c r="F33" i="65"/>
  <c r="E42" i="65"/>
  <c r="E44" i="65" s="1"/>
  <c r="F15" i="65"/>
  <c r="I26" i="65"/>
  <c r="F31" i="65"/>
  <c r="H41" i="65"/>
  <c r="F34" i="65"/>
  <c r="F25" i="65"/>
  <c r="K83" i="64"/>
  <c r="L83" i="64" s="1"/>
  <c r="K84" i="64"/>
  <c r="L84" i="64" s="1"/>
  <c r="K86" i="64"/>
  <c r="L86" i="64" s="1"/>
  <c r="K82" i="64"/>
  <c r="K72" i="64"/>
  <c r="L72" i="64" s="1"/>
  <c r="O72" i="64" s="1"/>
  <c r="K79" i="64"/>
  <c r="L79" i="64" s="1"/>
  <c r="O79" i="64" s="1"/>
  <c r="K78" i="64"/>
  <c r="L78" i="64" s="1"/>
  <c r="K76" i="64"/>
  <c r="L76" i="64" s="1"/>
  <c r="K114" i="64"/>
  <c r="L114" i="64" s="1"/>
  <c r="K113" i="64"/>
  <c r="L113" i="64" s="1"/>
  <c r="K112" i="64"/>
  <c r="L112" i="64" s="1"/>
  <c r="K111" i="64"/>
  <c r="L111" i="64" s="1"/>
  <c r="K110" i="64"/>
  <c r="L110" i="64" s="1"/>
  <c r="K109" i="64"/>
  <c r="L109" i="64" s="1"/>
  <c r="K108" i="64"/>
  <c r="L108" i="64" s="1"/>
  <c r="K107" i="64"/>
  <c r="L107" i="64" s="1"/>
  <c r="K106" i="64"/>
  <c r="L106" i="64" s="1"/>
  <c r="K105" i="64"/>
  <c r="L105" i="64" s="1"/>
  <c r="K104" i="64"/>
  <c r="L104" i="64" s="1"/>
  <c r="K103" i="64"/>
  <c r="L103" i="64" s="1"/>
  <c r="K102" i="64"/>
  <c r="L102" i="64" s="1"/>
  <c r="K101" i="64"/>
  <c r="K98" i="64"/>
  <c r="L98" i="64" s="1"/>
  <c r="K97" i="64"/>
  <c r="L97" i="64" s="1"/>
  <c r="K96" i="64"/>
  <c r="K88" i="64"/>
  <c r="L88" i="64" s="1"/>
  <c r="K85" i="64"/>
  <c r="L85" i="64" s="1"/>
  <c r="C83" i="64"/>
  <c r="C82" i="64"/>
  <c r="K75" i="64"/>
  <c r="L75" i="64" s="1"/>
  <c r="O75" i="64" s="1"/>
  <c r="K73" i="64"/>
  <c r="L73" i="64" s="1"/>
  <c r="O73" i="64" s="1"/>
  <c r="K71" i="64"/>
  <c r="M69" i="64"/>
  <c r="M94" i="64" s="1"/>
  <c r="T129" i="64"/>
  <c r="D61" i="64"/>
  <c r="I59" i="64"/>
  <c r="F59" i="64"/>
  <c r="I58" i="64"/>
  <c r="F58" i="64"/>
  <c r="E56" i="64"/>
  <c r="I56" i="64" s="1"/>
  <c r="E55" i="64"/>
  <c r="F55" i="64" s="1"/>
  <c r="E54" i="64"/>
  <c r="F54" i="64" s="1"/>
  <c r="E53" i="64"/>
  <c r="I53" i="64" s="1"/>
  <c r="E51" i="64"/>
  <c r="E52" i="64" s="1"/>
  <c r="E50" i="64"/>
  <c r="I50" i="64" s="1"/>
  <c r="E49" i="64"/>
  <c r="D49" i="64"/>
  <c r="D60" i="64" s="1"/>
  <c r="E42" i="64"/>
  <c r="E44" i="64" s="1"/>
  <c r="D42" i="64"/>
  <c r="F41" i="64"/>
  <c r="H41" i="64" s="1"/>
  <c r="F40" i="64"/>
  <c r="H40" i="64" s="1"/>
  <c r="F38" i="64"/>
  <c r="G38" i="64" s="1"/>
  <c r="F37" i="64"/>
  <c r="F36" i="64"/>
  <c r="G36" i="64" s="1"/>
  <c r="F35" i="64"/>
  <c r="H35" i="64" s="1"/>
  <c r="F34" i="64"/>
  <c r="H34" i="64" s="1"/>
  <c r="F33" i="64"/>
  <c r="G33" i="64" s="1"/>
  <c r="F32" i="64"/>
  <c r="H32" i="64" s="1"/>
  <c r="F31" i="64"/>
  <c r="H31" i="64" s="1"/>
  <c r="F30" i="64"/>
  <c r="H30" i="64" s="1"/>
  <c r="F29" i="64"/>
  <c r="F28" i="64"/>
  <c r="G28" i="64" s="1"/>
  <c r="F27" i="64"/>
  <c r="H27" i="64" s="1"/>
  <c r="F26" i="64"/>
  <c r="H26" i="64" s="1"/>
  <c r="F25" i="64"/>
  <c r="G25" i="64" s="1"/>
  <c r="F24" i="64"/>
  <c r="G24" i="64" s="1"/>
  <c r="F23" i="64"/>
  <c r="H23" i="64" s="1"/>
  <c r="F22" i="64"/>
  <c r="H22" i="64" s="1"/>
  <c r="F21" i="64"/>
  <c r="I20" i="64"/>
  <c r="F20" i="64"/>
  <c r="G20" i="64" s="1"/>
  <c r="F19" i="64"/>
  <c r="H19" i="64" s="1"/>
  <c r="F18" i="64"/>
  <c r="H18" i="64" s="1"/>
  <c r="I17" i="64"/>
  <c r="F17" i="64"/>
  <c r="G17" i="64" s="1"/>
  <c r="F16" i="64"/>
  <c r="H16" i="64" s="1"/>
  <c r="I15" i="64"/>
  <c r="F15" i="64"/>
  <c r="H15" i="64" s="1"/>
  <c r="I14" i="64"/>
  <c r="F14" i="64"/>
  <c r="I13" i="64"/>
  <c r="F13" i="64"/>
  <c r="I12" i="64"/>
  <c r="I24" i="64" s="1"/>
  <c r="M76" i="64" l="1"/>
  <c r="S76" i="64" s="1"/>
  <c r="G58" i="64"/>
  <c r="M78" i="64"/>
  <c r="S78" i="64" s="1"/>
  <c r="H35" i="65"/>
  <c r="J35" i="65" s="1"/>
  <c r="S35" i="65" s="1"/>
  <c r="J40" i="65"/>
  <c r="M40" i="65" s="1"/>
  <c r="O86" i="65"/>
  <c r="M86" i="65"/>
  <c r="S86" i="65" s="1"/>
  <c r="O81" i="65"/>
  <c r="M81" i="65"/>
  <c r="J16" i="65"/>
  <c r="T16" i="65" s="1"/>
  <c r="K88" i="65"/>
  <c r="K89" i="65" s="1"/>
  <c r="J38" i="65"/>
  <c r="U38" i="65" s="1"/>
  <c r="H24" i="65"/>
  <c r="J24" i="65" s="1"/>
  <c r="O100" i="65"/>
  <c r="M100" i="65"/>
  <c r="J41" i="65"/>
  <c r="P41" i="65" s="1"/>
  <c r="J32" i="65"/>
  <c r="U32" i="65" s="1"/>
  <c r="I42" i="65"/>
  <c r="I44" i="65" s="1"/>
  <c r="H36" i="65"/>
  <c r="J36" i="65" s="1"/>
  <c r="O36" i="65" s="1"/>
  <c r="J30" i="65"/>
  <c r="S30" i="65" s="1"/>
  <c r="G19" i="65"/>
  <c r="J19" i="65" s="1"/>
  <c r="J21" i="65"/>
  <c r="O21" i="65" s="1"/>
  <c r="J29" i="65"/>
  <c r="T29" i="65" s="1"/>
  <c r="J22" i="65"/>
  <c r="M22" i="65" s="1"/>
  <c r="G37" i="65"/>
  <c r="J37" i="65" s="1"/>
  <c r="P37" i="65" s="1"/>
  <c r="L88" i="65"/>
  <c r="L89" i="65" s="1"/>
  <c r="J23" i="65"/>
  <c r="U23" i="65" s="1"/>
  <c r="J14" i="65"/>
  <c r="P14" i="65" s="1"/>
  <c r="G27" i="65"/>
  <c r="J27" i="65" s="1"/>
  <c r="H20" i="65"/>
  <c r="J20" i="65" s="1"/>
  <c r="H59" i="64"/>
  <c r="M79" i="64"/>
  <c r="S79" i="64" s="1"/>
  <c r="O78" i="64"/>
  <c r="O76" i="64"/>
  <c r="U30" i="65"/>
  <c r="T30" i="65"/>
  <c r="R30" i="65"/>
  <c r="L30" i="65"/>
  <c r="N30" i="65"/>
  <c r="M30" i="65"/>
  <c r="K30" i="65"/>
  <c r="U40" i="65"/>
  <c r="T40" i="65"/>
  <c r="S40" i="65"/>
  <c r="R40" i="65"/>
  <c r="P40" i="65"/>
  <c r="O40" i="65"/>
  <c r="K40" i="65"/>
  <c r="H15" i="65"/>
  <c r="G15" i="65"/>
  <c r="I54" i="65"/>
  <c r="F54" i="65"/>
  <c r="H34" i="65"/>
  <c r="G34" i="65"/>
  <c r="G17" i="65"/>
  <c r="H17" i="65"/>
  <c r="H25" i="65"/>
  <c r="G25" i="65"/>
  <c r="H53" i="65"/>
  <c r="G53" i="65"/>
  <c r="I55" i="65"/>
  <c r="F55" i="65"/>
  <c r="H26" i="65"/>
  <c r="G26" i="65"/>
  <c r="I59" i="65"/>
  <c r="F59" i="65"/>
  <c r="F50" i="65"/>
  <c r="I50" i="65"/>
  <c r="M32" i="65"/>
  <c r="K32" i="65"/>
  <c r="G33" i="65"/>
  <c r="H33" i="65"/>
  <c r="N38" i="65"/>
  <c r="M38" i="65"/>
  <c r="L38" i="65"/>
  <c r="I51" i="65"/>
  <c r="F51" i="65"/>
  <c r="H28" i="65"/>
  <c r="G28" i="65"/>
  <c r="H18" i="65"/>
  <c r="G18" i="65"/>
  <c r="I49" i="65"/>
  <c r="F49" i="65"/>
  <c r="F42" i="65"/>
  <c r="F44" i="65" s="1"/>
  <c r="H31" i="65"/>
  <c r="G31" i="65"/>
  <c r="J13" i="65"/>
  <c r="I56" i="65"/>
  <c r="F56" i="65"/>
  <c r="M105" i="64"/>
  <c r="S105" i="64" s="1"/>
  <c r="O105" i="64"/>
  <c r="O84" i="64"/>
  <c r="M84" i="64"/>
  <c r="S84" i="64" s="1"/>
  <c r="M86" i="64"/>
  <c r="S86" i="64" s="1"/>
  <c r="O86" i="64"/>
  <c r="M106" i="64"/>
  <c r="S106" i="64" s="1"/>
  <c r="O106" i="64"/>
  <c r="O83" i="64"/>
  <c r="M83" i="64"/>
  <c r="S83" i="64" s="1"/>
  <c r="M107" i="64"/>
  <c r="S107" i="64" s="1"/>
  <c r="O107" i="64"/>
  <c r="M108" i="64"/>
  <c r="S108" i="64" s="1"/>
  <c r="O108" i="64"/>
  <c r="O104" i="64"/>
  <c r="M104" i="64"/>
  <c r="S104" i="64" s="1"/>
  <c r="M109" i="64"/>
  <c r="S109" i="64" s="1"/>
  <c r="O109" i="64"/>
  <c r="F49" i="64"/>
  <c r="M110" i="64"/>
  <c r="S110" i="64" s="1"/>
  <c r="O110" i="64"/>
  <c r="O111" i="64"/>
  <c r="M111" i="64"/>
  <c r="S111" i="64" s="1"/>
  <c r="O85" i="64"/>
  <c r="M85" i="64"/>
  <c r="S85" i="64" s="1"/>
  <c r="M112" i="64"/>
  <c r="S112" i="64" s="1"/>
  <c r="O112" i="64"/>
  <c r="M75" i="64"/>
  <c r="S75" i="64" s="1"/>
  <c r="M88" i="64"/>
  <c r="S88" i="64" s="1"/>
  <c r="O88" i="64"/>
  <c r="O113" i="64"/>
  <c r="M113" i="64"/>
  <c r="S113" i="64" s="1"/>
  <c r="M114" i="64"/>
  <c r="S114" i="64" s="1"/>
  <c r="O114" i="64"/>
  <c r="M73" i="64"/>
  <c r="S73" i="64" s="1"/>
  <c r="O97" i="64"/>
  <c r="M97" i="64"/>
  <c r="S97" i="64" s="1"/>
  <c r="M72" i="64"/>
  <c r="S72" i="64" s="1"/>
  <c r="T72" i="64" s="1"/>
  <c r="M98" i="64"/>
  <c r="S98" i="64" s="1"/>
  <c r="O98" i="64"/>
  <c r="O103" i="64"/>
  <c r="M103" i="64"/>
  <c r="S103" i="64" s="1"/>
  <c r="M102" i="64"/>
  <c r="S102" i="64" s="1"/>
  <c r="O102" i="64"/>
  <c r="K77" i="64"/>
  <c r="L77" i="64" s="1"/>
  <c r="K74" i="64"/>
  <c r="L74" i="64" s="1"/>
  <c r="K99" i="64"/>
  <c r="L96" i="64"/>
  <c r="K115" i="64"/>
  <c r="L101" i="64"/>
  <c r="L71" i="64"/>
  <c r="L82" i="64"/>
  <c r="K87" i="64"/>
  <c r="L87" i="64" s="1"/>
  <c r="I18" i="64"/>
  <c r="H24" i="64"/>
  <c r="J24" i="64" s="1"/>
  <c r="N24" i="64" s="1"/>
  <c r="I54" i="64"/>
  <c r="H28" i="64"/>
  <c r="H36" i="64"/>
  <c r="I30" i="64"/>
  <c r="D63" i="64"/>
  <c r="I22" i="64"/>
  <c r="I49" i="64"/>
  <c r="F50" i="64"/>
  <c r="G50" i="64" s="1"/>
  <c r="G14" i="64"/>
  <c r="H14" i="64"/>
  <c r="H58" i="64"/>
  <c r="J58" i="64" s="1"/>
  <c r="H38" i="64"/>
  <c r="I35" i="64"/>
  <c r="I16" i="64"/>
  <c r="I26" i="64"/>
  <c r="I33" i="64"/>
  <c r="I21" i="64"/>
  <c r="I25" i="64"/>
  <c r="I19" i="64"/>
  <c r="I32" i="64"/>
  <c r="I38" i="64"/>
  <c r="G30" i="64"/>
  <c r="J30" i="64" s="1"/>
  <c r="H20" i="64"/>
  <c r="J20" i="64" s="1"/>
  <c r="G41" i="64"/>
  <c r="G16" i="64"/>
  <c r="I55" i="64"/>
  <c r="G22" i="64"/>
  <c r="G32" i="64"/>
  <c r="I52" i="64"/>
  <c r="F52" i="64"/>
  <c r="H55" i="64"/>
  <c r="G55" i="64"/>
  <c r="H49" i="64"/>
  <c r="G49" i="64"/>
  <c r="H17" i="64"/>
  <c r="J17" i="64" s="1"/>
  <c r="H25" i="64"/>
  <c r="H33" i="64"/>
  <c r="F53" i="64"/>
  <c r="G59" i="64"/>
  <c r="G15" i="64"/>
  <c r="J15" i="64" s="1"/>
  <c r="G23" i="64"/>
  <c r="I28" i="64"/>
  <c r="G31" i="64"/>
  <c r="I36" i="64"/>
  <c r="G40" i="64"/>
  <c r="F56" i="64"/>
  <c r="F51" i="64"/>
  <c r="G18" i="64"/>
  <c r="I23" i="64"/>
  <c r="G26" i="64"/>
  <c r="J26" i="64" s="1"/>
  <c r="I31" i="64"/>
  <c r="G34" i="64"/>
  <c r="I40" i="64"/>
  <c r="E60" i="64"/>
  <c r="E61" i="64" s="1"/>
  <c r="E63" i="64" s="1"/>
  <c r="G13" i="64"/>
  <c r="G21" i="64"/>
  <c r="G29" i="64"/>
  <c r="I34" i="64"/>
  <c r="G37" i="64"/>
  <c r="F42" i="64"/>
  <c r="F44" i="64" s="1"/>
  <c r="I51" i="64"/>
  <c r="G54" i="64"/>
  <c r="H13" i="64"/>
  <c r="H21" i="64"/>
  <c r="H29" i="64"/>
  <c r="H37" i="64"/>
  <c r="H54" i="64"/>
  <c r="I29" i="64"/>
  <c r="I37" i="64"/>
  <c r="G19" i="64"/>
  <c r="G27" i="64"/>
  <c r="G35" i="64"/>
  <c r="I41" i="64"/>
  <c r="I27" i="64"/>
  <c r="S41" i="65" l="1"/>
  <c r="L40" i="65"/>
  <c r="N40" i="65"/>
  <c r="V40" i="65" s="1"/>
  <c r="W40" i="65" s="1"/>
  <c r="AA40" i="65" s="1"/>
  <c r="K38" i="65"/>
  <c r="J33" i="64"/>
  <c r="J59" i="64"/>
  <c r="O38" i="65"/>
  <c r="P38" i="65"/>
  <c r="R38" i="65"/>
  <c r="S38" i="65"/>
  <c r="T38" i="65"/>
  <c r="V38" i="65" s="1"/>
  <c r="L32" i="65"/>
  <c r="R32" i="65"/>
  <c r="O32" i="65"/>
  <c r="T32" i="65"/>
  <c r="S32" i="65"/>
  <c r="O24" i="65"/>
  <c r="R24" i="65"/>
  <c r="R41" i="65"/>
  <c r="T41" i="65"/>
  <c r="U41" i="65"/>
  <c r="K41" i="65"/>
  <c r="L41" i="65"/>
  <c r="N41" i="65"/>
  <c r="S24" i="65"/>
  <c r="N24" i="65"/>
  <c r="P24" i="65"/>
  <c r="R35" i="65"/>
  <c r="M16" i="65"/>
  <c r="T21" i="65"/>
  <c r="P36" i="65"/>
  <c r="K29" i="65"/>
  <c r="T36" i="65"/>
  <c r="M27" i="65"/>
  <c r="P27" i="65"/>
  <c r="N27" i="65"/>
  <c r="O16" i="65"/>
  <c r="J26" i="65"/>
  <c r="O26" i="65" s="1"/>
  <c r="L21" i="65"/>
  <c r="K16" i="65"/>
  <c r="L16" i="65"/>
  <c r="J28" i="65"/>
  <c r="M28" i="65" s="1"/>
  <c r="P21" i="65"/>
  <c r="U21" i="65"/>
  <c r="N16" i="65"/>
  <c r="R16" i="65"/>
  <c r="M41" i="65"/>
  <c r="R21" i="65"/>
  <c r="N29" i="65"/>
  <c r="S21" i="65"/>
  <c r="P16" i="65"/>
  <c r="S100" i="65"/>
  <c r="S16" i="65"/>
  <c r="U16" i="65"/>
  <c r="N32" i="65"/>
  <c r="O29" i="65"/>
  <c r="O41" i="65"/>
  <c r="P32" i="65"/>
  <c r="J25" i="65"/>
  <c r="U25" i="65" s="1"/>
  <c r="U29" i="65"/>
  <c r="U35" i="65"/>
  <c r="S81" i="65"/>
  <c r="M88" i="65"/>
  <c r="M29" i="65"/>
  <c r="P23" i="65"/>
  <c r="U24" i="65"/>
  <c r="L29" i="65"/>
  <c r="T23" i="65"/>
  <c r="K24" i="65"/>
  <c r="T24" i="65"/>
  <c r="J34" i="65"/>
  <c r="M34" i="65" s="1"/>
  <c r="S23" i="65"/>
  <c r="L24" i="65"/>
  <c r="R19" i="65"/>
  <c r="T19" i="65"/>
  <c r="S19" i="65"/>
  <c r="N19" i="65"/>
  <c r="P19" i="65"/>
  <c r="O19" i="65"/>
  <c r="M19" i="65"/>
  <c r="L19" i="65"/>
  <c r="U19" i="65"/>
  <c r="K19" i="65"/>
  <c r="L20" i="65"/>
  <c r="R20" i="65"/>
  <c r="P20" i="65"/>
  <c r="N20" i="65"/>
  <c r="M20" i="65"/>
  <c r="O27" i="65"/>
  <c r="R36" i="65"/>
  <c r="R27" i="65"/>
  <c r="S27" i="65"/>
  <c r="K35" i="65"/>
  <c r="S36" i="65"/>
  <c r="U36" i="65"/>
  <c r="T27" i="65"/>
  <c r="L37" i="65"/>
  <c r="L35" i="65"/>
  <c r="K36" i="65"/>
  <c r="U27" i="65"/>
  <c r="M37" i="65"/>
  <c r="M35" i="65"/>
  <c r="L36" i="65"/>
  <c r="K27" i="65"/>
  <c r="M24" i="65"/>
  <c r="K37" i="65"/>
  <c r="N35" i="65"/>
  <c r="N37" i="65"/>
  <c r="O35" i="65"/>
  <c r="J31" i="65"/>
  <c r="K31" i="65" s="1"/>
  <c r="J15" i="65"/>
  <c r="O15" i="65" s="1"/>
  <c r="O37" i="65"/>
  <c r="P35" i="65"/>
  <c r="P29" i="65"/>
  <c r="K21" i="65"/>
  <c r="S37" i="65"/>
  <c r="T35" i="65"/>
  <c r="R29" i="65"/>
  <c r="M21" i="65"/>
  <c r="T37" i="65"/>
  <c r="O30" i="65"/>
  <c r="M36" i="65"/>
  <c r="R37" i="65"/>
  <c r="L27" i="65"/>
  <c r="S29" i="65"/>
  <c r="N21" i="65"/>
  <c r="U37" i="65"/>
  <c r="P30" i="65"/>
  <c r="N36" i="65"/>
  <c r="L22" i="65"/>
  <c r="T20" i="65"/>
  <c r="J33" i="65"/>
  <c r="R33" i="65" s="1"/>
  <c r="L14" i="65"/>
  <c r="N22" i="65"/>
  <c r="U20" i="65"/>
  <c r="K23" i="65"/>
  <c r="O20" i="65"/>
  <c r="L23" i="65"/>
  <c r="K20" i="65"/>
  <c r="N23" i="65"/>
  <c r="O22" i="65"/>
  <c r="S20" i="65"/>
  <c r="J18" i="65"/>
  <c r="O18" i="65" s="1"/>
  <c r="M23" i="65"/>
  <c r="P22" i="65"/>
  <c r="T14" i="65"/>
  <c r="U14" i="65"/>
  <c r="J53" i="65"/>
  <c r="K53" i="65" s="1"/>
  <c r="G42" i="65"/>
  <c r="G44" i="65" s="1"/>
  <c r="O23" i="65"/>
  <c r="R22" i="65"/>
  <c r="R14" i="65"/>
  <c r="S14" i="65"/>
  <c r="H42" i="65"/>
  <c r="H44" i="65" s="1"/>
  <c r="S22" i="65"/>
  <c r="K14" i="65"/>
  <c r="R23" i="65"/>
  <c r="T22" i="65"/>
  <c r="M14" i="65"/>
  <c r="U22" i="65"/>
  <c r="N14" i="65"/>
  <c r="K22" i="65"/>
  <c r="O14" i="65"/>
  <c r="J17" i="65"/>
  <c r="P17" i="65" s="1"/>
  <c r="H50" i="64"/>
  <c r="P26" i="65"/>
  <c r="K26" i="65"/>
  <c r="M13" i="65"/>
  <c r="L13" i="65"/>
  <c r="K13" i="65"/>
  <c r="T13" i="65"/>
  <c r="R13" i="65"/>
  <c r="U13" i="65"/>
  <c r="S13" i="65"/>
  <c r="O13" i="65"/>
  <c r="N13" i="65"/>
  <c r="P13" i="65"/>
  <c r="H51" i="65"/>
  <c r="G51" i="65"/>
  <c r="I52" i="65"/>
  <c r="F52" i="65"/>
  <c r="H59" i="65"/>
  <c r="G59" i="65"/>
  <c r="J59" i="65" s="1"/>
  <c r="E60" i="65"/>
  <c r="E61" i="65" s="1"/>
  <c r="E63" i="65" s="1"/>
  <c r="H49" i="65"/>
  <c r="G49" i="65"/>
  <c r="H50" i="65"/>
  <c r="G50" i="65"/>
  <c r="H54" i="65"/>
  <c r="G54" i="65"/>
  <c r="I58" i="65"/>
  <c r="F58" i="65"/>
  <c r="H56" i="65"/>
  <c r="G56" i="65"/>
  <c r="H55" i="65"/>
  <c r="G55" i="65"/>
  <c r="O74" i="64"/>
  <c r="M74" i="64"/>
  <c r="S74" i="64" s="1"/>
  <c r="M77" i="64"/>
  <c r="S77" i="64" s="1"/>
  <c r="O77" i="64"/>
  <c r="J36" i="64"/>
  <c r="L36" i="64" s="1"/>
  <c r="O87" i="64"/>
  <c r="M87" i="64"/>
  <c r="S87" i="64" s="1"/>
  <c r="O82" i="64"/>
  <c r="M82" i="64"/>
  <c r="S82" i="64" s="1"/>
  <c r="O71" i="64"/>
  <c r="M71" i="64"/>
  <c r="S71" i="64" s="1"/>
  <c r="M101" i="64"/>
  <c r="S101" i="64" s="1"/>
  <c r="S115" i="64" s="1"/>
  <c r="O101" i="64"/>
  <c r="O115" i="64" s="1"/>
  <c r="O96" i="64"/>
  <c r="M96" i="64"/>
  <c r="S96" i="64" s="1"/>
  <c r="K80" i="64"/>
  <c r="K116" i="64"/>
  <c r="L99" i="64"/>
  <c r="J22" i="64"/>
  <c r="T22" i="64" s="1"/>
  <c r="J38" i="64"/>
  <c r="K38" i="64" s="1"/>
  <c r="L89" i="64"/>
  <c r="J28" i="64"/>
  <c r="R28" i="64" s="1"/>
  <c r="K89" i="64"/>
  <c r="L115" i="64"/>
  <c r="J18" i="64"/>
  <c r="P18" i="64" s="1"/>
  <c r="L80" i="64"/>
  <c r="O24" i="64"/>
  <c r="J14" i="64"/>
  <c r="K14" i="64" s="1"/>
  <c r="P24" i="64"/>
  <c r="I60" i="64"/>
  <c r="I61" i="64" s="1"/>
  <c r="S24" i="64"/>
  <c r="R24" i="64"/>
  <c r="T24" i="64"/>
  <c r="J54" i="64"/>
  <c r="R54" i="64" s="1"/>
  <c r="J31" i="64"/>
  <c r="T31" i="64" s="1"/>
  <c r="J41" i="64"/>
  <c r="R41" i="64" s="1"/>
  <c r="J35" i="64"/>
  <c r="L35" i="64" s="1"/>
  <c r="J34" i="64"/>
  <c r="P34" i="64" s="1"/>
  <c r="J19" i="64"/>
  <c r="O19" i="64" s="1"/>
  <c r="R58" i="64"/>
  <c r="P58" i="64"/>
  <c r="S58" i="64"/>
  <c r="O58" i="64"/>
  <c r="K58" i="64"/>
  <c r="M58" i="64"/>
  <c r="N58" i="64"/>
  <c r="U58" i="64"/>
  <c r="L58" i="64"/>
  <c r="T58" i="64"/>
  <c r="J16" i="64"/>
  <c r="K16" i="64" s="1"/>
  <c r="U24" i="64"/>
  <c r="K24" i="64"/>
  <c r="L24" i="64"/>
  <c r="M24" i="64"/>
  <c r="J50" i="64"/>
  <c r="S50" i="64" s="1"/>
  <c r="J25" i="64"/>
  <c r="L25" i="64" s="1"/>
  <c r="I42" i="64"/>
  <c r="I44" i="64" s="1"/>
  <c r="I63" i="64" s="1"/>
  <c r="F60" i="64"/>
  <c r="F61" i="64" s="1"/>
  <c r="F63" i="64" s="1"/>
  <c r="P14" i="64"/>
  <c r="T20" i="64"/>
  <c r="S20" i="64"/>
  <c r="P20" i="64"/>
  <c r="R20" i="64"/>
  <c r="O20" i="64"/>
  <c r="N20" i="64"/>
  <c r="M20" i="64"/>
  <c r="L20" i="64"/>
  <c r="K20" i="64"/>
  <c r="U20" i="64"/>
  <c r="U30" i="64"/>
  <c r="T30" i="64"/>
  <c r="K30" i="64"/>
  <c r="S30" i="64"/>
  <c r="R30" i="64"/>
  <c r="P30" i="64"/>
  <c r="O30" i="64"/>
  <c r="N30" i="64"/>
  <c r="M30" i="64"/>
  <c r="L30" i="64"/>
  <c r="J55" i="64"/>
  <c r="K55" i="64" s="1"/>
  <c r="J37" i="64"/>
  <c r="P37" i="64" s="1"/>
  <c r="J29" i="64"/>
  <c r="N29" i="64" s="1"/>
  <c r="J21" i="64"/>
  <c r="O21" i="64" s="1"/>
  <c r="J32" i="64"/>
  <c r="R18" i="64"/>
  <c r="U17" i="64"/>
  <c r="T17" i="64"/>
  <c r="S17" i="64"/>
  <c r="R17" i="64"/>
  <c r="P17" i="64"/>
  <c r="O17" i="64"/>
  <c r="N17" i="64"/>
  <c r="M17" i="64"/>
  <c r="L17" i="64"/>
  <c r="K17" i="64"/>
  <c r="R26" i="64"/>
  <c r="P26" i="64"/>
  <c r="O26" i="64"/>
  <c r="N26" i="64"/>
  <c r="M26" i="64"/>
  <c r="L26" i="64"/>
  <c r="K26" i="64"/>
  <c r="T26" i="64"/>
  <c r="U26" i="64"/>
  <c r="S26" i="64"/>
  <c r="S55" i="64"/>
  <c r="R34" i="64"/>
  <c r="M34" i="64"/>
  <c r="S28" i="64"/>
  <c r="T15" i="64"/>
  <c r="S15" i="64"/>
  <c r="R15" i="64"/>
  <c r="P15" i="64"/>
  <c r="O15" i="64"/>
  <c r="N15" i="64"/>
  <c r="M15" i="64"/>
  <c r="L15" i="64"/>
  <c r="K15" i="64"/>
  <c r="U15" i="64"/>
  <c r="H52" i="64"/>
  <c r="G52" i="64"/>
  <c r="J27" i="64"/>
  <c r="G42" i="64"/>
  <c r="G44" i="64" s="1"/>
  <c r="J23" i="64"/>
  <c r="U19" i="64"/>
  <c r="T19" i="64"/>
  <c r="S19" i="64"/>
  <c r="N19" i="64"/>
  <c r="L19" i="64"/>
  <c r="G53" i="64"/>
  <c r="H53" i="64"/>
  <c r="S35" i="64"/>
  <c r="O35" i="64"/>
  <c r="N35" i="64"/>
  <c r="U33" i="64"/>
  <c r="T33" i="64"/>
  <c r="S33" i="64"/>
  <c r="R33" i="64"/>
  <c r="P33" i="64"/>
  <c r="O33" i="64"/>
  <c r="N33" i="64"/>
  <c r="M33" i="64"/>
  <c r="L33" i="64"/>
  <c r="K33" i="64"/>
  <c r="J49" i="64"/>
  <c r="U36" i="64"/>
  <c r="R36" i="64"/>
  <c r="H51" i="64"/>
  <c r="G51" i="64"/>
  <c r="H56" i="64"/>
  <c r="G56" i="64"/>
  <c r="J40" i="64"/>
  <c r="J13" i="64"/>
  <c r="H42" i="64"/>
  <c r="H44" i="64" s="1"/>
  <c r="U59" i="64"/>
  <c r="T59" i="64"/>
  <c r="S59" i="64"/>
  <c r="R59" i="64"/>
  <c r="P59" i="64"/>
  <c r="O59" i="64"/>
  <c r="N59" i="64"/>
  <c r="M59" i="64"/>
  <c r="L59" i="64"/>
  <c r="K59" i="64"/>
  <c r="N41" i="64" l="1"/>
  <c r="S37" i="64"/>
  <c r="U37" i="64"/>
  <c r="N54" i="64"/>
  <c r="P38" i="64"/>
  <c r="R38" i="64"/>
  <c r="S38" i="64"/>
  <c r="U38" i="64"/>
  <c r="K34" i="65"/>
  <c r="N34" i="65"/>
  <c r="O34" i="65"/>
  <c r="T28" i="65"/>
  <c r="R28" i="65"/>
  <c r="Q96" i="64"/>
  <c r="Q99" i="64" s="1"/>
  <c r="P34" i="65"/>
  <c r="S28" i="65"/>
  <c r="T34" i="65"/>
  <c r="U28" i="65"/>
  <c r="S34" i="65"/>
  <c r="U34" i="65"/>
  <c r="N31" i="65"/>
  <c r="R34" i="65"/>
  <c r="S17" i="65"/>
  <c r="U26" i="65"/>
  <c r="V32" i="65"/>
  <c r="X32" i="65" s="1"/>
  <c r="AB32" i="65" s="1"/>
  <c r="R26" i="65"/>
  <c r="S25" i="65"/>
  <c r="V30" i="65"/>
  <c r="X30" i="65" s="1"/>
  <c r="AB30" i="65" s="1"/>
  <c r="V41" i="65"/>
  <c r="W41" i="65" s="1"/>
  <c r="AA41" i="65" s="1"/>
  <c r="K28" i="65"/>
  <c r="L28" i="65"/>
  <c r="N28" i="65"/>
  <c r="O28" i="65"/>
  <c r="L25" i="65"/>
  <c r="T25" i="65"/>
  <c r="P28" i="65"/>
  <c r="L34" i="65"/>
  <c r="O31" i="65"/>
  <c r="J56" i="65"/>
  <c r="S56" i="65" s="1"/>
  <c r="V16" i="65"/>
  <c r="W16" i="65" s="1"/>
  <c r="Y16" i="65" s="1"/>
  <c r="Z16" i="65" s="1"/>
  <c r="V37" i="65"/>
  <c r="W37" i="65" s="1"/>
  <c r="AA37" i="65" s="1"/>
  <c r="AB37" i="65" s="1"/>
  <c r="AC37" i="65" s="1"/>
  <c r="V24" i="65"/>
  <c r="W24" i="65" s="1"/>
  <c r="W32" i="65"/>
  <c r="Z32" i="65" s="1"/>
  <c r="V19" i="65"/>
  <c r="W19" i="65" s="1"/>
  <c r="AA19" i="65" s="1"/>
  <c r="AB19" i="65" s="1"/>
  <c r="S33" i="65"/>
  <c r="S26" i="65"/>
  <c r="K25" i="65"/>
  <c r="T33" i="65"/>
  <c r="M25" i="65"/>
  <c r="K33" i="65"/>
  <c r="U33" i="65"/>
  <c r="N25" i="65"/>
  <c r="L33" i="65"/>
  <c r="P25" i="65"/>
  <c r="K18" i="65"/>
  <c r="N33" i="65"/>
  <c r="V27" i="65"/>
  <c r="W27" i="65" s="1"/>
  <c r="AA27" i="65" s="1"/>
  <c r="R17" i="65"/>
  <c r="O25" i="65"/>
  <c r="M18" i="65"/>
  <c r="O33" i="65"/>
  <c r="V21" i="65"/>
  <c r="W21" i="65" s="1"/>
  <c r="AA21" i="65" s="1"/>
  <c r="AB21" i="65" s="1"/>
  <c r="AC21" i="65" s="1"/>
  <c r="R25" i="65"/>
  <c r="T26" i="65"/>
  <c r="V29" i="65"/>
  <c r="W29" i="65" s="1"/>
  <c r="AA29" i="65" s="1"/>
  <c r="V35" i="65"/>
  <c r="W35" i="65" s="1"/>
  <c r="Y35" i="65" s="1"/>
  <c r="Z35" i="65" s="1"/>
  <c r="V36" i="65"/>
  <c r="W36" i="65" s="1"/>
  <c r="AA36" i="65" s="1"/>
  <c r="AB36" i="65" s="1"/>
  <c r="AC36" i="65" s="1"/>
  <c r="P31" i="65"/>
  <c r="M26" i="65"/>
  <c r="S15" i="65"/>
  <c r="R31" i="65"/>
  <c r="N26" i="65"/>
  <c r="L26" i="65"/>
  <c r="L31" i="65"/>
  <c r="R18" i="65"/>
  <c r="M31" i="65"/>
  <c r="T18" i="65"/>
  <c r="P18" i="65"/>
  <c r="P15" i="65"/>
  <c r="J51" i="65"/>
  <c r="S51" i="65" s="1"/>
  <c r="R15" i="65"/>
  <c r="T15" i="65"/>
  <c r="U15" i="65"/>
  <c r="M33" i="65"/>
  <c r="F60" i="65"/>
  <c r="F61" i="65" s="1"/>
  <c r="F63" i="65" s="1"/>
  <c r="K15" i="65"/>
  <c r="L15" i="65"/>
  <c r="S31" i="65"/>
  <c r="P33" i="65"/>
  <c r="M15" i="65"/>
  <c r="T31" i="65"/>
  <c r="J50" i="65"/>
  <c r="U50" i="65" s="1"/>
  <c r="N15" i="65"/>
  <c r="L53" i="65"/>
  <c r="U31" i="65"/>
  <c r="O53" i="65"/>
  <c r="M53" i="65"/>
  <c r="V14" i="65"/>
  <c r="W14" i="65" s="1"/>
  <c r="AA14" i="65" s="1"/>
  <c r="AB14" i="65" s="1"/>
  <c r="AC14" i="65" s="1"/>
  <c r="T110" i="65"/>
  <c r="Q110" i="65"/>
  <c r="N110" i="65"/>
  <c r="J54" i="65"/>
  <c r="K54" i="65" s="1"/>
  <c r="J42" i="65"/>
  <c r="J44" i="65" s="1"/>
  <c r="L17" i="65"/>
  <c r="N53" i="65"/>
  <c r="S18" i="65"/>
  <c r="T108" i="65"/>
  <c r="Q108" i="65"/>
  <c r="N108" i="65"/>
  <c r="T104" i="65"/>
  <c r="N104" i="65"/>
  <c r="U17" i="65"/>
  <c r="R53" i="65"/>
  <c r="U18" i="65"/>
  <c r="T103" i="65"/>
  <c r="N103" i="65"/>
  <c r="M98" i="65"/>
  <c r="T95" i="65"/>
  <c r="Q95" i="65"/>
  <c r="Q98" i="65" s="1"/>
  <c r="N95" i="65"/>
  <c r="K17" i="65"/>
  <c r="S53" i="65"/>
  <c r="T100" i="65"/>
  <c r="N100" i="65"/>
  <c r="Q100" i="65"/>
  <c r="T107" i="65"/>
  <c r="N107" i="65"/>
  <c r="Q107" i="65"/>
  <c r="V13" i="65"/>
  <c r="W13" i="65" s="1"/>
  <c r="AA13" i="65" s="1"/>
  <c r="I60" i="65"/>
  <c r="I61" i="65" s="1"/>
  <c r="I63" i="65" s="1"/>
  <c r="M17" i="65"/>
  <c r="T53" i="65"/>
  <c r="T97" i="65"/>
  <c r="Q97" i="65"/>
  <c r="N97" i="65"/>
  <c r="T17" i="65"/>
  <c r="P53" i="65"/>
  <c r="N17" i="65"/>
  <c r="U53" i="65"/>
  <c r="V22" i="65"/>
  <c r="W22" i="65" s="1"/>
  <c r="AA22" i="65" s="1"/>
  <c r="AB22" i="65" s="1"/>
  <c r="AC22" i="65" s="1"/>
  <c r="T102" i="65"/>
  <c r="N102" i="65"/>
  <c r="O17" i="65"/>
  <c r="T101" i="65"/>
  <c r="N101" i="65"/>
  <c r="V20" i="65"/>
  <c r="W20" i="65" s="1"/>
  <c r="AA20" i="65" s="1"/>
  <c r="AB20" i="65" s="1"/>
  <c r="AC20" i="65" s="1"/>
  <c r="W38" i="65"/>
  <c r="Y38" i="65" s="1"/>
  <c r="Z38" i="65" s="1"/>
  <c r="L18" i="65"/>
  <c r="O98" i="65"/>
  <c r="T109" i="65"/>
  <c r="Q109" i="65"/>
  <c r="N109" i="65"/>
  <c r="T105" i="65"/>
  <c r="N105" i="65"/>
  <c r="T111" i="65"/>
  <c r="Q111" i="65"/>
  <c r="N111" i="65"/>
  <c r="N18" i="65"/>
  <c r="T96" i="65"/>
  <c r="N96" i="65"/>
  <c r="V23" i="65"/>
  <c r="J55" i="65"/>
  <c r="T55" i="65" s="1"/>
  <c r="T106" i="65"/>
  <c r="N106" i="65"/>
  <c r="Q106" i="65"/>
  <c r="P35" i="64"/>
  <c r="P25" i="64"/>
  <c r="J56" i="64"/>
  <c r="T38" i="64"/>
  <c r="R35" i="64"/>
  <c r="K19" i="64"/>
  <c r="U25" i="64"/>
  <c r="U35" i="64"/>
  <c r="K36" i="64"/>
  <c r="M35" i="64"/>
  <c r="T35" i="64"/>
  <c r="M36" i="64"/>
  <c r="K35" i="64"/>
  <c r="N36" i="64"/>
  <c r="M25" i="64"/>
  <c r="O36" i="64"/>
  <c r="P36" i="64"/>
  <c r="M19" i="64"/>
  <c r="T18" i="64"/>
  <c r="P19" i="64"/>
  <c r="R21" i="64"/>
  <c r="N18" i="64"/>
  <c r="R14" i="64"/>
  <c r="P21" i="64"/>
  <c r="K18" i="64"/>
  <c r="O38" i="64"/>
  <c r="R19" i="64"/>
  <c r="T21" i="64"/>
  <c r="O18" i="64"/>
  <c r="AB40" i="65"/>
  <c r="AC40" i="65" s="1"/>
  <c r="Y40" i="65"/>
  <c r="Z40" i="65" s="1"/>
  <c r="Y36" i="65"/>
  <c r="Z36" i="65" s="1"/>
  <c r="H52" i="65"/>
  <c r="G52" i="65"/>
  <c r="J49" i="65"/>
  <c r="T56" i="65"/>
  <c r="U59" i="65"/>
  <c r="T59" i="65"/>
  <c r="S59" i="65"/>
  <c r="R59" i="65"/>
  <c r="P59" i="65"/>
  <c r="O59" i="65"/>
  <c r="N59" i="65"/>
  <c r="M59" i="65"/>
  <c r="L59" i="65"/>
  <c r="K59" i="65"/>
  <c r="T51" i="65"/>
  <c r="H58" i="65"/>
  <c r="G58" i="65"/>
  <c r="S36" i="64"/>
  <c r="T41" i="64"/>
  <c r="O54" i="64"/>
  <c r="N25" i="64"/>
  <c r="S14" i="64"/>
  <c r="O41" i="64"/>
  <c r="S41" i="64"/>
  <c r="T36" i="64"/>
  <c r="U41" i="64"/>
  <c r="O25" i="64"/>
  <c r="L41" i="64"/>
  <c r="L38" i="64"/>
  <c r="M41" i="64"/>
  <c r="N101" i="64"/>
  <c r="O80" i="64"/>
  <c r="P41" i="64"/>
  <c r="K41" i="64"/>
  <c r="Q101" i="64"/>
  <c r="M38" i="64"/>
  <c r="K28" i="64"/>
  <c r="S18" i="64"/>
  <c r="R16" i="64"/>
  <c r="N38" i="64"/>
  <c r="M31" i="64"/>
  <c r="L28" i="64"/>
  <c r="U18" i="64"/>
  <c r="T28" i="64"/>
  <c r="U28" i="64"/>
  <c r="L18" i="64"/>
  <c r="J52" i="64"/>
  <c r="R52" i="64" s="1"/>
  <c r="O29" i="64"/>
  <c r="M18" i="64"/>
  <c r="L116" i="64"/>
  <c r="K90" i="64"/>
  <c r="K118" i="64" s="1"/>
  <c r="L90" i="64"/>
  <c r="S21" i="64"/>
  <c r="P54" i="64"/>
  <c r="R22" i="64"/>
  <c r="U21" i="64"/>
  <c r="M28" i="64"/>
  <c r="U54" i="64"/>
  <c r="N22" i="64"/>
  <c r="T54" i="64"/>
  <c r="P22" i="64"/>
  <c r="K22" i="64"/>
  <c r="K21" i="64"/>
  <c r="N28" i="64"/>
  <c r="K54" i="64"/>
  <c r="L14" i="64"/>
  <c r="U22" i="64"/>
  <c r="U16" i="64"/>
  <c r="U31" i="64"/>
  <c r="L21" i="64"/>
  <c r="O28" i="64"/>
  <c r="L54" i="64"/>
  <c r="O22" i="64"/>
  <c r="O14" i="64"/>
  <c r="N31" i="64"/>
  <c r="S54" i="64"/>
  <c r="K31" i="64"/>
  <c r="P28" i="64"/>
  <c r="M54" i="64"/>
  <c r="S16" i="64"/>
  <c r="M14" i="64"/>
  <c r="S22" i="64"/>
  <c r="L22" i="64"/>
  <c r="L31" i="64"/>
  <c r="M22" i="64"/>
  <c r="N14" i="64"/>
  <c r="P16" i="64"/>
  <c r="P31" i="64"/>
  <c r="N96" i="64"/>
  <c r="R31" i="64"/>
  <c r="R25" i="64"/>
  <c r="N16" i="64"/>
  <c r="U14" i="64"/>
  <c r="T14" i="64"/>
  <c r="S31" i="64"/>
  <c r="S25" i="64"/>
  <c r="M99" i="64"/>
  <c r="O31" i="64"/>
  <c r="T25" i="64"/>
  <c r="V24" i="64"/>
  <c r="W24" i="64" s="1"/>
  <c r="AA24" i="64" s="1"/>
  <c r="AB24" i="64" s="1"/>
  <c r="AC24" i="64" s="1"/>
  <c r="S34" i="64"/>
  <c r="T50" i="64"/>
  <c r="U34" i="64"/>
  <c r="K50" i="64"/>
  <c r="K34" i="64"/>
  <c r="L50" i="64"/>
  <c r="J53" i="64"/>
  <c r="R53" i="64" s="1"/>
  <c r="L34" i="64"/>
  <c r="M50" i="64"/>
  <c r="N50" i="64"/>
  <c r="N34" i="64"/>
  <c r="O50" i="64"/>
  <c r="U50" i="64"/>
  <c r="O34" i="64"/>
  <c r="P50" i="64"/>
  <c r="T34" i="64"/>
  <c r="R50" i="64"/>
  <c r="V58" i="64"/>
  <c r="X58" i="64" s="1"/>
  <c r="AB58" i="64" s="1"/>
  <c r="T37" i="64"/>
  <c r="K37" i="64"/>
  <c r="G60" i="64"/>
  <c r="G61" i="64" s="1"/>
  <c r="G63" i="64" s="1"/>
  <c r="L37" i="64"/>
  <c r="M16" i="64"/>
  <c r="L16" i="64"/>
  <c r="O16" i="64"/>
  <c r="M37" i="64"/>
  <c r="N37" i="64"/>
  <c r="O37" i="64"/>
  <c r="R37" i="64"/>
  <c r="H60" i="64"/>
  <c r="H61" i="64" s="1"/>
  <c r="H63" i="64" s="1"/>
  <c r="R55" i="64"/>
  <c r="M21" i="64"/>
  <c r="N21" i="64"/>
  <c r="K25" i="64"/>
  <c r="T16" i="64"/>
  <c r="S29" i="64"/>
  <c r="V26" i="64"/>
  <c r="P29" i="64"/>
  <c r="U29" i="64"/>
  <c r="L55" i="64"/>
  <c r="T29" i="64"/>
  <c r="V59" i="64"/>
  <c r="AB59" i="64" s="1"/>
  <c r="V19" i="64"/>
  <c r="W19" i="64" s="1"/>
  <c r="Y19" i="64" s="1"/>
  <c r="Z19" i="64" s="1"/>
  <c r="K29" i="64"/>
  <c r="M55" i="64"/>
  <c r="R29" i="64"/>
  <c r="V17" i="64"/>
  <c r="W17" i="64" s="1"/>
  <c r="Y17" i="64" s="1"/>
  <c r="Z17" i="64" s="1"/>
  <c r="L29" i="64"/>
  <c r="M29" i="64"/>
  <c r="O55" i="64"/>
  <c r="V30" i="64"/>
  <c r="N55" i="64"/>
  <c r="V33" i="64"/>
  <c r="W33" i="64" s="1"/>
  <c r="AA33" i="64" s="1"/>
  <c r="P55" i="64"/>
  <c r="V15" i="64"/>
  <c r="W15" i="64" s="1"/>
  <c r="T55" i="64"/>
  <c r="U55" i="64"/>
  <c r="V20" i="64"/>
  <c r="W20" i="64" s="1"/>
  <c r="Y20" i="64" s="1"/>
  <c r="Z20" i="64" s="1"/>
  <c r="M32" i="64"/>
  <c r="L32" i="64"/>
  <c r="K32" i="64"/>
  <c r="O32" i="64"/>
  <c r="U32" i="64"/>
  <c r="N32" i="64"/>
  <c r="T32" i="64"/>
  <c r="S32" i="64"/>
  <c r="R32" i="64"/>
  <c r="P32" i="64"/>
  <c r="S56" i="64"/>
  <c r="R56" i="64"/>
  <c r="P56" i="64"/>
  <c r="O56" i="64"/>
  <c r="N56" i="64"/>
  <c r="M56" i="64"/>
  <c r="U56" i="64"/>
  <c r="L56" i="64"/>
  <c r="K56" i="64"/>
  <c r="T56" i="64"/>
  <c r="M49" i="64"/>
  <c r="L49" i="64"/>
  <c r="K49" i="64"/>
  <c r="U49" i="64"/>
  <c r="T49" i="64"/>
  <c r="S49" i="64"/>
  <c r="R49" i="64"/>
  <c r="P49" i="64"/>
  <c r="O49" i="64"/>
  <c r="N49" i="64"/>
  <c r="J51" i="64"/>
  <c r="J60" i="64" s="1"/>
  <c r="J61" i="64" s="1"/>
  <c r="T23" i="64"/>
  <c r="S23" i="64"/>
  <c r="R23" i="64"/>
  <c r="P23" i="64"/>
  <c r="O23" i="64"/>
  <c r="N23" i="64"/>
  <c r="M23" i="64"/>
  <c r="L23" i="64"/>
  <c r="K23" i="64"/>
  <c r="U23" i="64"/>
  <c r="O13" i="64"/>
  <c r="N13" i="64"/>
  <c r="M13" i="64"/>
  <c r="L13" i="64"/>
  <c r="R13" i="64"/>
  <c r="J42" i="64"/>
  <c r="J44" i="64" s="1"/>
  <c r="K13" i="64"/>
  <c r="U13" i="64"/>
  <c r="T13" i="64"/>
  <c r="S13" i="64"/>
  <c r="P13" i="64"/>
  <c r="S53" i="64"/>
  <c r="K53" i="64"/>
  <c r="T40" i="64"/>
  <c r="S40" i="64"/>
  <c r="R40" i="64"/>
  <c r="P40" i="64"/>
  <c r="O40" i="64"/>
  <c r="N40" i="64"/>
  <c r="M40" i="64"/>
  <c r="L40" i="64"/>
  <c r="K40" i="64"/>
  <c r="U40" i="64"/>
  <c r="K27" i="64"/>
  <c r="U27" i="64"/>
  <c r="M27" i="64"/>
  <c r="T27" i="64"/>
  <c r="S27" i="64"/>
  <c r="R27" i="64"/>
  <c r="P27" i="64"/>
  <c r="O27" i="64"/>
  <c r="N27" i="64"/>
  <c r="L27" i="64"/>
  <c r="K52" i="64"/>
  <c r="M52" i="64"/>
  <c r="U52" i="64"/>
  <c r="T52" i="64"/>
  <c r="S52" i="64"/>
  <c r="P52" i="64"/>
  <c r="O52" i="64"/>
  <c r="N52" i="64"/>
  <c r="L52" i="64"/>
  <c r="W30" i="65" l="1"/>
  <c r="AA30" i="65" s="1"/>
  <c r="V25" i="64"/>
  <c r="W25" i="64" s="1"/>
  <c r="V18" i="64"/>
  <c r="W18" i="64" s="1"/>
  <c r="AA18" i="64" s="1"/>
  <c r="V35" i="64"/>
  <c r="W35" i="64" s="1"/>
  <c r="Y35" i="64" s="1"/>
  <c r="Z35" i="64" s="1"/>
  <c r="V34" i="65"/>
  <c r="W34" i="65" s="1"/>
  <c r="Y34" i="65" s="1"/>
  <c r="Z34" i="65" s="1"/>
  <c r="L56" i="65"/>
  <c r="M56" i="65"/>
  <c r="N56" i="65"/>
  <c r="O56" i="65"/>
  <c r="R56" i="65"/>
  <c r="V28" i="65"/>
  <c r="W28" i="65" s="1"/>
  <c r="AA28" i="65" s="1"/>
  <c r="T42" i="65"/>
  <c r="T44" i="65" s="1"/>
  <c r="V15" i="65"/>
  <c r="W15" i="65" s="1"/>
  <c r="AA15" i="65" s="1"/>
  <c r="K56" i="65"/>
  <c r="P56" i="65"/>
  <c r="P42" i="65"/>
  <c r="P44" i="65" s="1"/>
  <c r="U56" i="65"/>
  <c r="R42" i="65"/>
  <c r="R44" i="65" s="1"/>
  <c r="X41" i="65"/>
  <c r="AB41" i="65" s="1"/>
  <c r="AC41" i="65" s="1"/>
  <c r="L54" i="65"/>
  <c r="P54" i="65"/>
  <c r="R54" i="65"/>
  <c r="S54" i="65"/>
  <c r="U54" i="65"/>
  <c r="K51" i="65"/>
  <c r="L51" i="65"/>
  <c r="N51" i="65"/>
  <c r="O51" i="65"/>
  <c r="M51" i="65"/>
  <c r="P51" i="65"/>
  <c r="U51" i="65"/>
  <c r="R51" i="65"/>
  <c r="Y37" i="65"/>
  <c r="Z37" i="65" s="1"/>
  <c r="V25" i="65"/>
  <c r="W25" i="65" s="1"/>
  <c r="Z30" i="65"/>
  <c r="AA24" i="65"/>
  <c r="AB24" i="65" s="1"/>
  <c r="AC24" i="65" s="1"/>
  <c r="V26" i="65"/>
  <c r="W26" i="65" s="1"/>
  <c r="Y26" i="65" s="1"/>
  <c r="Z26" i="65" s="1"/>
  <c r="AC19" i="65"/>
  <c r="X27" i="65"/>
  <c r="AB27" i="65" s="1"/>
  <c r="AC27" i="65" s="1"/>
  <c r="Y19" i="65"/>
  <c r="Z19" i="65" s="1"/>
  <c r="Y24" i="65"/>
  <c r="Z24" i="65" s="1"/>
  <c r="AA32" i="65"/>
  <c r="AC32" i="65" s="1"/>
  <c r="AA35" i="65"/>
  <c r="AB35" i="65" s="1"/>
  <c r="AC35" i="65" s="1"/>
  <c r="W58" i="64"/>
  <c r="AA58" i="64" s="1"/>
  <c r="AC58" i="64" s="1"/>
  <c r="V38" i="64"/>
  <c r="W38" i="64" s="1"/>
  <c r="AA38" i="64" s="1"/>
  <c r="AB38" i="64" s="1"/>
  <c r="AC38" i="64" s="1"/>
  <c r="X33" i="64"/>
  <c r="AB33" i="64" s="1"/>
  <c r="V22" i="64"/>
  <c r="W22" i="64" s="1"/>
  <c r="AA22" i="64" s="1"/>
  <c r="AB22" i="64" s="1"/>
  <c r="AC22" i="64" s="1"/>
  <c r="V14" i="64"/>
  <c r="W14" i="64" s="1"/>
  <c r="Y14" i="64" s="1"/>
  <c r="Z14" i="64" s="1"/>
  <c r="Y22" i="65"/>
  <c r="Z22" i="65" s="1"/>
  <c r="V33" i="65"/>
  <c r="X33" i="65" s="1"/>
  <c r="AB33" i="65" s="1"/>
  <c r="K50" i="65"/>
  <c r="U42" i="65"/>
  <c r="U44" i="65" s="1"/>
  <c r="X29" i="65"/>
  <c r="AB29" i="65" s="1"/>
  <c r="AC29" i="65" s="1"/>
  <c r="S50" i="65"/>
  <c r="S42" i="65"/>
  <c r="S44" i="65" s="1"/>
  <c r="V31" i="65"/>
  <c r="X31" i="65" s="1"/>
  <c r="AB31" i="65" s="1"/>
  <c r="G60" i="65"/>
  <c r="G61" i="65" s="1"/>
  <c r="G63" i="65" s="1"/>
  <c r="M42" i="65"/>
  <c r="M44" i="65" s="1"/>
  <c r="V53" i="65"/>
  <c r="W53" i="65" s="1"/>
  <c r="AA53" i="65" s="1"/>
  <c r="M54" i="65"/>
  <c r="L50" i="65"/>
  <c r="O54" i="65"/>
  <c r="M50" i="65"/>
  <c r="N42" i="65"/>
  <c r="N44" i="65" s="1"/>
  <c r="K42" i="65"/>
  <c r="K44" i="65" s="1"/>
  <c r="N50" i="65"/>
  <c r="K55" i="65"/>
  <c r="O50" i="65"/>
  <c r="H60" i="65"/>
  <c r="H61" i="65" s="1"/>
  <c r="H63" i="65" s="1"/>
  <c r="L55" i="65"/>
  <c r="P50" i="65"/>
  <c r="M55" i="65"/>
  <c r="R50" i="65"/>
  <c r="L42" i="65"/>
  <c r="L44" i="65" s="1"/>
  <c r="V17" i="65"/>
  <c r="W17" i="65" s="1"/>
  <c r="Y17" i="65" s="1"/>
  <c r="Z17" i="65" s="1"/>
  <c r="T50" i="65"/>
  <c r="Y20" i="65"/>
  <c r="Z20" i="65" s="1"/>
  <c r="R55" i="65"/>
  <c r="P55" i="65"/>
  <c r="S55" i="65"/>
  <c r="O42" i="65"/>
  <c r="O44" i="65" s="1"/>
  <c r="U55" i="65"/>
  <c r="O55" i="65"/>
  <c r="AC30" i="65"/>
  <c r="U108" i="65"/>
  <c r="Y25" i="65"/>
  <c r="Z25" i="65" s="1"/>
  <c r="AA25" i="65"/>
  <c r="AB25" i="65" s="1"/>
  <c r="AC25" i="65" s="1"/>
  <c r="AA16" i="65"/>
  <c r="T87" i="65"/>
  <c r="Q87" i="65"/>
  <c r="N87" i="65"/>
  <c r="N54" i="65"/>
  <c r="U106" i="65"/>
  <c r="U109" i="65"/>
  <c r="N84" i="65"/>
  <c r="T84" i="65"/>
  <c r="Q84" i="65"/>
  <c r="U102" i="65"/>
  <c r="P102" i="65"/>
  <c r="R102" i="65" s="1"/>
  <c r="AA26" i="65"/>
  <c r="AB26" i="65" s="1"/>
  <c r="AC26" i="65" s="1"/>
  <c r="U95" i="65"/>
  <c r="I125" i="65" s="1"/>
  <c r="N98" i="65"/>
  <c r="T83" i="65"/>
  <c r="Q83" i="65"/>
  <c r="N83" i="65"/>
  <c r="X28" i="65"/>
  <c r="AB28" i="65" s="1"/>
  <c r="W23" i="65"/>
  <c r="Y23" i="65" s="1"/>
  <c r="Z23" i="65" s="1"/>
  <c r="T98" i="65"/>
  <c r="T72" i="65"/>
  <c r="N72" i="65"/>
  <c r="T71" i="65"/>
  <c r="N71" i="65"/>
  <c r="P96" i="65"/>
  <c r="P98" i="65" s="1"/>
  <c r="U96" i="65"/>
  <c r="I127" i="65" s="1"/>
  <c r="V18" i="65"/>
  <c r="S98" i="65"/>
  <c r="M79" i="65"/>
  <c r="M89" i="65" s="1"/>
  <c r="Q70" i="65"/>
  <c r="N70" i="65"/>
  <c r="U105" i="65"/>
  <c r="P105" i="65"/>
  <c r="R105" i="65" s="1"/>
  <c r="O79" i="65"/>
  <c r="T86" i="65"/>
  <c r="Q86" i="65"/>
  <c r="N86" i="65"/>
  <c r="S88" i="65"/>
  <c r="N81" i="65"/>
  <c r="Y14" i="65"/>
  <c r="Z14" i="65" s="1"/>
  <c r="N55" i="65"/>
  <c r="T85" i="65"/>
  <c r="Q85" i="65"/>
  <c r="N85" i="65"/>
  <c r="Y21" i="65"/>
  <c r="Z21" i="65" s="1"/>
  <c r="U104" i="65"/>
  <c r="P104" i="65"/>
  <c r="R104" i="65" s="1"/>
  <c r="T74" i="65"/>
  <c r="N74" i="65"/>
  <c r="O88" i="65"/>
  <c r="U107" i="65"/>
  <c r="P103" i="65"/>
  <c r="R103" i="65" s="1"/>
  <c r="U103" i="65"/>
  <c r="T76" i="65"/>
  <c r="Q76" i="65"/>
  <c r="N76" i="65"/>
  <c r="U111" i="65"/>
  <c r="T77" i="65"/>
  <c r="Q77" i="65"/>
  <c r="N77" i="65"/>
  <c r="J58" i="65"/>
  <c r="T58" i="65" s="1"/>
  <c r="T54" i="65"/>
  <c r="T82" i="65"/>
  <c r="N82" i="65"/>
  <c r="T73" i="65"/>
  <c r="N73" i="65"/>
  <c r="V59" i="65"/>
  <c r="W59" i="65" s="1"/>
  <c r="AA59" i="65" s="1"/>
  <c r="U100" i="65"/>
  <c r="T78" i="65"/>
  <c r="N78" i="65"/>
  <c r="Q78" i="65"/>
  <c r="AA38" i="65"/>
  <c r="AB38" i="65" s="1"/>
  <c r="AC38" i="65" s="1"/>
  <c r="U101" i="65"/>
  <c r="P101" i="65"/>
  <c r="U97" i="65"/>
  <c r="I129" i="65" s="1"/>
  <c r="P97" i="65"/>
  <c r="R97" i="65" s="1"/>
  <c r="T75" i="65"/>
  <c r="N75" i="65"/>
  <c r="Q75" i="65"/>
  <c r="U110" i="65"/>
  <c r="V36" i="64"/>
  <c r="W36" i="64" s="1"/>
  <c r="AA36" i="64" s="1"/>
  <c r="AB36" i="64" s="1"/>
  <c r="AC36" i="64" s="1"/>
  <c r="U53" i="64"/>
  <c r="V41" i="64"/>
  <c r="W41" i="64" s="1"/>
  <c r="AA41" i="64" s="1"/>
  <c r="L118" i="64"/>
  <c r="AB13" i="65"/>
  <c r="AB15" i="65"/>
  <c r="AC15" i="65" s="1"/>
  <c r="AA34" i="65"/>
  <c r="N49" i="65"/>
  <c r="M49" i="65"/>
  <c r="L49" i="65"/>
  <c r="K49" i="65"/>
  <c r="U49" i="65"/>
  <c r="T49" i="65"/>
  <c r="S49" i="65"/>
  <c r="R49" i="65"/>
  <c r="P49" i="65"/>
  <c r="O49" i="65"/>
  <c r="J52" i="65"/>
  <c r="Y15" i="65"/>
  <c r="Z15" i="65" s="1"/>
  <c r="Y13" i="65"/>
  <c r="V28" i="64"/>
  <c r="W28" i="64" s="1"/>
  <c r="AA28" i="64" s="1"/>
  <c r="V54" i="64"/>
  <c r="W54" i="64" s="1"/>
  <c r="V34" i="64"/>
  <c r="W34" i="64" s="1"/>
  <c r="AA34" i="64" s="1"/>
  <c r="AB34" i="64" s="1"/>
  <c r="AC34" i="64" s="1"/>
  <c r="V31" i="64"/>
  <c r="M115" i="64"/>
  <c r="M116" i="64" s="1"/>
  <c r="N112" i="64"/>
  <c r="Q112" i="64"/>
  <c r="T53" i="64"/>
  <c r="T106" i="64"/>
  <c r="N106" i="64"/>
  <c r="Y24" i="64"/>
  <c r="Z24" i="64" s="1"/>
  <c r="T96" i="64"/>
  <c r="O99" i="64"/>
  <c r="T103" i="64"/>
  <c r="N103" i="64"/>
  <c r="T105" i="64"/>
  <c r="N114" i="64"/>
  <c r="Q114" i="64"/>
  <c r="T111" i="64"/>
  <c r="N111" i="64"/>
  <c r="Q111" i="64"/>
  <c r="T101" i="64"/>
  <c r="T104" i="64"/>
  <c r="N104" i="64"/>
  <c r="T110" i="64"/>
  <c r="Q110" i="64"/>
  <c r="N110" i="64"/>
  <c r="V21" i="64"/>
  <c r="W21" i="64" s="1"/>
  <c r="Y21" i="64" s="1"/>
  <c r="Z21" i="64" s="1"/>
  <c r="T107" i="64"/>
  <c r="Q107" i="64"/>
  <c r="N107" i="64"/>
  <c r="T108" i="64"/>
  <c r="Q108" i="64"/>
  <c r="N108" i="64"/>
  <c r="N113" i="64"/>
  <c r="T113" i="64"/>
  <c r="Q113" i="64"/>
  <c r="T112" i="64"/>
  <c r="M53" i="64"/>
  <c r="N105" i="64"/>
  <c r="T102" i="64"/>
  <c r="N102" i="64"/>
  <c r="N53" i="64"/>
  <c r="T109" i="64"/>
  <c r="N109" i="64"/>
  <c r="Q109" i="64"/>
  <c r="O53" i="64"/>
  <c r="V50" i="64"/>
  <c r="W50" i="64" s="1"/>
  <c r="Y50" i="64" s="1"/>
  <c r="S99" i="64"/>
  <c r="N97" i="64"/>
  <c r="L53" i="64"/>
  <c r="P53" i="64"/>
  <c r="T98" i="64"/>
  <c r="Q98" i="64"/>
  <c r="N98" i="64"/>
  <c r="V16" i="64"/>
  <c r="W16" i="64" s="1"/>
  <c r="AA16" i="64" s="1"/>
  <c r="AB16" i="64" s="1"/>
  <c r="AC16" i="64" s="1"/>
  <c r="V37" i="64"/>
  <c r="W37" i="64" s="1"/>
  <c r="Y37" i="64" s="1"/>
  <c r="Z37" i="64" s="1"/>
  <c r="J63" i="64"/>
  <c r="AA17" i="64"/>
  <c r="AB17" i="64" s="1"/>
  <c r="AC17" i="64" s="1"/>
  <c r="AC33" i="64"/>
  <c r="V23" i="64"/>
  <c r="W23" i="64" s="1"/>
  <c r="Y23" i="64" s="1"/>
  <c r="Z23" i="64" s="1"/>
  <c r="Y15" i="64"/>
  <c r="Z15" i="64" s="1"/>
  <c r="V27" i="64"/>
  <c r="X27" i="64" s="1"/>
  <c r="T42" i="64"/>
  <c r="T44" i="64" s="1"/>
  <c r="W26" i="64"/>
  <c r="Y26" i="64" s="1"/>
  <c r="Z26" i="64" s="1"/>
  <c r="Y25" i="64"/>
  <c r="Z25" i="64" s="1"/>
  <c r="AA25" i="64"/>
  <c r="AB25" i="64" s="1"/>
  <c r="AC25" i="64" s="1"/>
  <c r="V49" i="64"/>
  <c r="W49" i="64" s="1"/>
  <c r="AA49" i="64" s="1"/>
  <c r="V13" i="64"/>
  <c r="U42" i="64"/>
  <c r="U44" i="64" s="1"/>
  <c r="V55" i="64"/>
  <c r="R42" i="64"/>
  <c r="R44" i="64" s="1"/>
  <c r="AA15" i="64"/>
  <c r="AB15" i="64" s="1"/>
  <c r="AC15" i="64" s="1"/>
  <c r="AA20" i="64"/>
  <c r="AB20" i="64" s="1"/>
  <c r="AC20" i="64" s="1"/>
  <c r="V52" i="64"/>
  <c r="W52" i="64" s="1"/>
  <c r="AA52" i="64" s="1"/>
  <c r="AA19" i="64"/>
  <c r="AB19" i="64" s="1"/>
  <c r="V56" i="64"/>
  <c r="X56" i="64" s="1"/>
  <c r="AB56" i="64" s="1"/>
  <c r="V32" i="64"/>
  <c r="V29" i="64"/>
  <c r="V40" i="64"/>
  <c r="W40" i="64" s="1"/>
  <c r="W59" i="64"/>
  <c r="AA59" i="64" s="1"/>
  <c r="AC59" i="64" s="1"/>
  <c r="X30" i="64"/>
  <c r="W30" i="64"/>
  <c r="AA30" i="64" s="1"/>
  <c r="AB18" i="64"/>
  <c r="AC18" i="64" s="1"/>
  <c r="S42" i="64"/>
  <c r="S44" i="64" s="1"/>
  <c r="K42" i="64"/>
  <c r="K44" i="64" s="1"/>
  <c r="L42" i="64"/>
  <c r="L44" i="64" s="1"/>
  <c r="M42" i="64"/>
  <c r="M44" i="64" s="1"/>
  <c r="R51" i="64"/>
  <c r="R60" i="64" s="1"/>
  <c r="R61" i="64" s="1"/>
  <c r="P51" i="64"/>
  <c r="O51" i="64"/>
  <c r="T51" i="64"/>
  <c r="N51" i="64"/>
  <c r="N60" i="64" s="1"/>
  <c r="N61" i="64" s="1"/>
  <c r="M51" i="64"/>
  <c r="L51" i="64"/>
  <c r="K51" i="64"/>
  <c r="K60" i="64" s="1"/>
  <c r="K61" i="64" s="1"/>
  <c r="U51" i="64"/>
  <c r="S51" i="64"/>
  <c r="S60" i="64" s="1"/>
  <c r="S61" i="64" s="1"/>
  <c r="N42" i="64"/>
  <c r="N44" i="64" s="1"/>
  <c r="AA35" i="64"/>
  <c r="Y18" i="64"/>
  <c r="Z18" i="64" s="1"/>
  <c r="O42" i="64"/>
  <c r="O44" i="64" s="1"/>
  <c r="P42" i="64"/>
  <c r="P44" i="64" s="1"/>
  <c r="Z41" i="65" l="1"/>
  <c r="V56" i="65"/>
  <c r="X56" i="65" s="1"/>
  <c r="AB56" i="65" s="1"/>
  <c r="Z33" i="64"/>
  <c r="U60" i="64"/>
  <c r="U61" i="64" s="1"/>
  <c r="U63" i="64" s="1"/>
  <c r="V51" i="65"/>
  <c r="W51" i="65" s="1"/>
  <c r="Y51" i="65" s="1"/>
  <c r="L58" i="65"/>
  <c r="J60" i="65"/>
  <c r="J61" i="65" s="1"/>
  <c r="J63" i="65" s="1"/>
  <c r="M58" i="65"/>
  <c r="U81" i="65"/>
  <c r="S125" i="65"/>
  <c r="Z29" i="65"/>
  <c r="W33" i="65"/>
  <c r="AA33" i="65" s="1"/>
  <c r="AC33" i="65" s="1"/>
  <c r="AA23" i="65"/>
  <c r="AB23" i="65" s="1"/>
  <c r="AC23" i="65" s="1"/>
  <c r="V42" i="65"/>
  <c r="V44" i="65" s="1"/>
  <c r="Z27" i="65"/>
  <c r="T60" i="64"/>
  <c r="T61" i="64" s="1"/>
  <c r="T63" i="64" s="1"/>
  <c r="Z58" i="64"/>
  <c r="AA54" i="64"/>
  <c r="AB54" i="64" s="1"/>
  <c r="AC54" i="64" s="1"/>
  <c r="O60" i="64"/>
  <c r="O61" i="64" s="1"/>
  <c r="Y38" i="64"/>
  <c r="Z38" i="64" s="1"/>
  <c r="Y22" i="64"/>
  <c r="Z22" i="64" s="1"/>
  <c r="X28" i="64"/>
  <c r="AB28" i="64" s="1"/>
  <c r="AC28" i="64" s="1"/>
  <c r="AA21" i="64"/>
  <c r="AB21" i="64" s="1"/>
  <c r="AC21" i="64" s="1"/>
  <c r="W31" i="65"/>
  <c r="AA31" i="65" s="1"/>
  <c r="AC31" i="65" s="1"/>
  <c r="V50" i="65"/>
  <c r="W50" i="65" s="1"/>
  <c r="AA50" i="65" s="1"/>
  <c r="AB50" i="65" s="1"/>
  <c r="AC50" i="65" s="1"/>
  <c r="X42" i="65"/>
  <c r="X44" i="65" s="1"/>
  <c r="V55" i="65"/>
  <c r="X55" i="65" s="1"/>
  <c r="AB55" i="65" s="1"/>
  <c r="AA17" i="65"/>
  <c r="AB17" i="65" s="1"/>
  <c r="N58" i="65"/>
  <c r="R101" i="65"/>
  <c r="P58" i="65"/>
  <c r="U58" i="65"/>
  <c r="K58" i="65"/>
  <c r="T81" i="65"/>
  <c r="T88" i="65" s="1"/>
  <c r="S79" i="65"/>
  <c r="U85" i="65"/>
  <c r="V54" i="65"/>
  <c r="W54" i="65" s="1"/>
  <c r="AA54" i="65" s="1"/>
  <c r="AB54" i="65" s="1"/>
  <c r="AC54" i="65" s="1"/>
  <c r="Z28" i="65"/>
  <c r="AB59" i="65"/>
  <c r="AC59" i="65" s="1"/>
  <c r="AC28" i="65"/>
  <c r="Y53" i="65"/>
  <c r="O58" i="65"/>
  <c r="Q88" i="65"/>
  <c r="U77" i="65"/>
  <c r="U86" i="65"/>
  <c r="U76" i="65"/>
  <c r="R96" i="65"/>
  <c r="R98" i="65" s="1"/>
  <c r="U87" i="65"/>
  <c r="U82" i="65"/>
  <c r="P82" i="65"/>
  <c r="R82" i="65" s="1"/>
  <c r="T70" i="65"/>
  <c r="T79" i="65" s="1"/>
  <c r="P72" i="65"/>
  <c r="R72" i="65" s="1"/>
  <c r="U72" i="65"/>
  <c r="AB16" i="65"/>
  <c r="AC16" i="65" s="1"/>
  <c r="U98" i="65"/>
  <c r="AB53" i="65"/>
  <c r="AC53" i="65" s="1"/>
  <c r="P71" i="65"/>
  <c r="U71" i="65"/>
  <c r="I126" i="65" s="1"/>
  <c r="N79" i="65"/>
  <c r="U73" i="65"/>
  <c r="P73" i="65"/>
  <c r="R73" i="65" s="1"/>
  <c r="U78" i="65"/>
  <c r="Q79" i="65"/>
  <c r="R58" i="65"/>
  <c r="P81" i="65"/>
  <c r="N88" i="65"/>
  <c r="U74" i="65"/>
  <c r="P74" i="65"/>
  <c r="R74" i="65" s="1"/>
  <c r="S58" i="65"/>
  <c r="U75" i="65"/>
  <c r="U84" i="65"/>
  <c r="W18" i="65"/>
  <c r="Y18" i="65" s="1"/>
  <c r="U83" i="65"/>
  <c r="X41" i="64"/>
  <c r="AB41" i="64" s="1"/>
  <c r="AC41" i="64" s="1"/>
  <c r="M60" i="64"/>
  <c r="M61" i="64" s="1"/>
  <c r="L60" i="64"/>
  <c r="L61" i="64" s="1"/>
  <c r="L63" i="64" s="1"/>
  <c r="Y54" i="64"/>
  <c r="L52" i="65"/>
  <c r="K52" i="65"/>
  <c r="U52" i="65"/>
  <c r="T52" i="65"/>
  <c r="T60" i="65" s="1"/>
  <c r="T61" i="65" s="1"/>
  <c r="T63" i="65" s="1"/>
  <c r="S52" i="65"/>
  <c r="R52" i="65"/>
  <c r="P52" i="65"/>
  <c r="O52" i="65"/>
  <c r="N52" i="65"/>
  <c r="M52" i="65"/>
  <c r="Y59" i="65"/>
  <c r="Y50" i="65"/>
  <c r="AB34" i="65"/>
  <c r="AC34" i="65" s="1"/>
  <c r="AC13" i="65"/>
  <c r="V49" i="65"/>
  <c r="Z13" i="65"/>
  <c r="N99" i="64"/>
  <c r="Y34" i="64"/>
  <c r="Z34" i="64" s="1"/>
  <c r="W31" i="64"/>
  <c r="X31" i="64"/>
  <c r="AB31" i="64" s="1"/>
  <c r="V53" i="64"/>
  <c r="W53" i="64" s="1"/>
  <c r="Y53" i="64" s="1"/>
  <c r="T114" i="64"/>
  <c r="U114" i="64" s="1"/>
  <c r="T97" i="64"/>
  <c r="T99" i="64" s="1"/>
  <c r="U108" i="64"/>
  <c r="T87" i="64"/>
  <c r="Q87" i="64"/>
  <c r="N87" i="64"/>
  <c r="U103" i="64"/>
  <c r="P103" i="64"/>
  <c r="R103" i="64" s="1"/>
  <c r="T75" i="64"/>
  <c r="N75" i="64"/>
  <c r="P113" i="64"/>
  <c r="R113" i="64" s="1"/>
  <c r="U113" i="64"/>
  <c r="I131" i="64" s="1"/>
  <c r="O116" i="64"/>
  <c r="O118" i="64" s="1"/>
  <c r="U104" i="64"/>
  <c r="P104" i="64"/>
  <c r="R104" i="64" s="1"/>
  <c r="O89" i="64"/>
  <c r="T78" i="64"/>
  <c r="N78" i="64"/>
  <c r="Q78" i="64"/>
  <c r="T77" i="64"/>
  <c r="Q77" i="64"/>
  <c r="N77" i="64"/>
  <c r="T83" i="64"/>
  <c r="N83" i="64"/>
  <c r="U101" i="64"/>
  <c r="W56" i="64"/>
  <c r="AA56" i="64" s="1"/>
  <c r="AC56" i="64" s="1"/>
  <c r="U98" i="64"/>
  <c r="I130" i="64" s="1"/>
  <c r="D37" i="61" s="1"/>
  <c r="P98" i="64"/>
  <c r="R98" i="64" s="1"/>
  <c r="U109" i="64"/>
  <c r="T73" i="64"/>
  <c r="N73" i="64"/>
  <c r="U106" i="64"/>
  <c r="P106" i="64"/>
  <c r="R106" i="64" s="1"/>
  <c r="N72" i="64"/>
  <c r="AA50" i="64"/>
  <c r="AB50" i="64" s="1"/>
  <c r="AC50" i="64" s="1"/>
  <c r="T85" i="64"/>
  <c r="Q85" i="64"/>
  <c r="N85" i="64"/>
  <c r="U107" i="64"/>
  <c r="U111" i="64"/>
  <c r="Q115" i="64"/>
  <c r="Q116" i="64" s="1"/>
  <c r="T84" i="64"/>
  <c r="Q84" i="64"/>
  <c r="N84" i="64"/>
  <c r="P60" i="64"/>
  <c r="P61" i="64" s="1"/>
  <c r="P63" i="64" s="1"/>
  <c r="U105" i="64"/>
  <c r="P105" i="64"/>
  <c r="R105" i="64" s="1"/>
  <c r="T76" i="64"/>
  <c r="N76" i="64"/>
  <c r="Q76" i="64"/>
  <c r="U112" i="64"/>
  <c r="T74" i="64"/>
  <c r="N74" i="64"/>
  <c r="R63" i="64"/>
  <c r="T79" i="64"/>
  <c r="N79" i="64"/>
  <c r="Q79" i="64"/>
  <c r="U102" i="64"/>
  <c r="P102" i="64"/>
  <c r="R102" i="64" s="1"/>
  <c r="N115" i="64"/>
  <c r="S116" i="64"/>
  <c r="S118" i="64" s="1"/>
  <c r="U96" i="64"/>
  <c r="I126" i="64" s="1"/>
  <c r="D33" i="61" s="1"/>
  <c r="M89" i="64"/>
  <c r="N82" i="64"/>
  <c r="U110" i="64"/>
  <c r="T86" i="64"/>
  <c r="N86" i="64"/>
  <c r="Q86" i="64"/>
  <c r="T88" i="64"/>
  <c r="N88" i="64"/>
  <c r="Q88" i="64"/>
  <c r="P97" i="64"/>
  <c r="P99" i="64" s="1"/>
  <c r="T71" i="64"/>
  <c r="M80" i="64"/>
  <c r="Q71" i="64"/>
  <c r="N71" i="64"/>
  <c r="V42" i="64"/>
  <c r="V44" i="64" s="1"/>
  <c r="W27" i="64"/>
  <c r="AA27" i="64" s="1"/>
  <c r="K63" i="64"/>
  <c r="O63" i="64"/>
  <c r="AA26" i="64"/>
  <c r="AB26" i="64" s="1"/>
  <c r="AC26" i="64" s="1"/>
  <c r="M63" i="64"/>
  <c r="Y36" i="64"/>
  <c r="Z36" i="64" s="1"/>
  <c r="Y16" i="64"/>
  <c r="Z16" i="64" s="1"/>
  <c r="AA40" i="64"/>
  <c r="AB40" i="64" s="1"/>
  <c r="AC40" i="64" s="1"/>
  <c r="Y40" i="64"/>
  <c r="Z40" i="64" s="1"/>
  <c r="W32" i="64"/>
  <c r="AA32" i="64" s="1"/>
  <c r="X32" i="64"/>
  <c r="AB32" i="64" s="1"/>
  <c r="AB30" i="64"/>
  <c r="AC30" i="64" s="1"/>
  <c r="Z30" i="64"/>
  <c r="AC19" i="64"/>
  <c r="W13" i="64"/>
  <c r="Y59" i="64"/>
  <c r="W55" i="64"/>
  <c r="AA55" i="64" s="1"/>
  <c r="X55" i="64"/>
  <c r="X29" i="64"/>
  <c r="AB29" i="64" s="1"/>
  <c r="W29" i="64"/>
  <c r="AA29" i="64" s="1"/>
  <c r="S63" i="64"/>
  <c r="AA23" i="64"/>
  <c r="AB23" i="64" s="1"/>
  <c r="AC23" i="64" s="1"/>
  <c r="AA14" i="64"/>
  <c r="AA37" i="64"/>
  <c r="AB37" i="64" s="1"/>
  <c r="AC37" i="64" s="1"/>
  <c r="AB52" i="64"/>
  <c r="AC52" i="64" s="1"/>
  <c r="Y52" i="64"/>
  <c r="Y49" i="64"/>
  <c r="V51" i="64"/>
  <c r="AB35" i="64"/>
  <c r="AC35" i="64" s="1"/>
  <c r="AB49" i="64"/>
  <c r="N63" i="64"/>
  <c r="AB27" i="64"/>
  <c r="I131" i="65" l="1"/>
  <c r="W56" i="65"/>
  <c r="AA56" i="65" s="1"/>
  <c r="AC56" i="65" s="1"/>
  <c r="AA51" i="65"/>
  <c r="Z41" i="64"/>
  <c r="Z27" i="64"/>
  <c r="Z28" i="64"/>
  <c r="L60" i="65"/>
  <c r="L61" i="65" s="1"/>
  <c r="L63" i="65" s="1"/>
  <c r="Z56" i="65"/>
  <c r="N60" i="65"/>
  <c r="N61" i="65" s="1"/>
  <c r="N63" i="65" s="1"/>
  <c r="O60" i="65"/>
  <c r="O61" i="65" s="1"/>
  <c r="O63" i="65" s="1"/>
  <c r="P60" i="65"/>
  <c r="P61" i="65" s="1"/>
  <c r="P63" i="65" s="1"/>
  <c r="I128" i="65"/>
  <c r="S126" i="65" s="1"/>
  <c r="Z33" i="65"/>
  <c r="Z31" i="65"/>
  <c r="W55" i="65"/>
  <c r="AA55" i="65" s="1"/>
  <c r="Z56" i="64"/>
  <c r="Z31" i="64"/>
  <c r="U70" i="65"/>
  <c r="I124" i="65" s="1"/>
  <c r="S124" i="65" s="1"/>
  <c r="R60" i="65"/>
  <c r="R61" i="65" s="1"/>
  <c r="R63" i="65" s="1"/>
  <c r="Z55" i="65"/>
  <c r="U60" i="65"/>
  <c r="U61" i="65" s="1"/>
  <c r="U63" i="65" s="1"/>
  <c r="K60" i="65"/>
  <c r="K61" i="65" s="1"/>
  <c r="K63" i="65" s="1"/>
  <c r="Y54" i="65"/>
  <c r="T89" i="65"/>
  <c r="P88" i="65"/>
  <c r="P79" i="65"/>
  <c r="S60" i="65"/>
  <c r="S61" i="65" s="1"/>
  <c r="S63" i="65" s="1"/>
  <c r="V52" i="65"/>
  <c r="R71" i="65"/>
  <c r="R79" i="65" s="1"/>
  <c r="Z18" i="65"/>
  <c r="Z42" i="65" s="1"/>
  <c r="Z44" i="65" s="1"/>
  <c r="Y42" i="65"/>
  <c r="Y44" i="65" s="1"/>
  <c r="M60" i="65"/>
  <c r="M61" i="65" s="1"/>
  <c r="M63" i="65" s="1"/>
  <c r="V58" i="65"/>
  <c r="AC55" i="65"/>
  <c r="N89" i="65"/>
  <c r="U88" i="65"/>
  <c r="R81" i="65"/>
  <c r="R88" i="65" s="1"/>
  <c r="AA18" i="65"/>
  <c r="W42" i="65"/>
  <c r="W44" i="65" s="1"/>
  <c r="I133" i="64"/>
  <c r="S128" i="64"/>
  <c r="AA53" i="64"/>
  <c r="AB53" i="64" s="1"/>
  <c r="AC53" i="64" s="1"/>
  <c r="AC17" i="65"/>
  <c r="AB51" i="65"/>
  <c r="AC51" i="65" s="1"/>
  <c r="W49" i="65"/>
  <c r="AA49" i="65" s="1"/>
  <c r="N116" i="64"/>
  <c r="T115" i="64"/>
  <c r="T116" i="64" s="1"/>
  <c r="AA31" i="64"/>
  <c r="AC31" i="64" s="1"/>
  <c r="U97" i="64"/>
  <c r="I128" i="64" s="1"/>
  <c r="U99" i="64"/>
  <c r="T80" i="64"/>
  <c r="R115" i="64"/>
  <c r="P83" i="64"/>
  <c r="R83" i="64" s="1"/>
  <c r="U83" i="64"/>
  <c r="U86" i="64"/>
  <c r="U79" i="64"/>
  <c r="U77" i="64"/>
  <c r="U84" i="64"/>
  <c r="P75" i="64"/>
  <c r="R75" i="64" s="1"/>
  <c r="U75" i="64"/>
  <c r="Q89" i="64"/>
  <c r="U71" i="64"/>
  <c r="I125" i="64" s="1"/>
  <c r="D32" i="61" s="1"/>
  <c r="N80" i="64"/>
  <c r="Q80" i="64"/>
  <c r="N89" i="64"/>
  <c r="P82" i="64"/>
  <c r="U73" i="64"/>
  <c r="P73" i="64"/>
  <c r="R73" i="64" s="1"/>
  <c r="M90" i="64"/>
  <c r="M118" i="64" s="1"/>
  <c r="E14" i="61" s="1"/>
  <c r="S89" i="64"/>
  <c r="P74" i="64"/>
  <c r="R74" i="64" s="1"/>
  <c r="U74" i="64"/>
  <c r="U78" i="64"/>
  <c r="T82" i="64"/>
  <c r="T89" i="64" s="1"/>
  <c r="R97" i="64"/>
  <c r="R99" i="64" s="1"/>
  <c r="U87" i="64"/>
  <c r="U76" i="64"/>
  <c r="AC27" i="64"/>
  <c r="S80" i="64"/>
  <c r="U88" i="64"/>
  <c r="P115" i="64"/>
  <c r="P116" i="64" s="1"/>
  <c r="P118" i="64" s="1"/>
  <c r="U72" i="64"/>
  <c r="I127" i="64" s="1"/>
  <c r="D34" i="61" s="1"/>
  <c r="P72" i="64"/>
  <c r="U115" i="64"/>
  <c r="AC32" i="64"/>
  <c r="Z32" i="64"/>
  <c r="X42" i="64"/>
  <c r="X44" i="64" s="1"/>
  <c r="AC29" i="64"/>
  <c r="W42" i="64"/>
  <c r="W44" i="64" s="1"/>
  <c r="AA13" i="64"/>
  <c r="Z29" i="64"/>
  <c r="AB14" i="64"/>
  <c r="AC14" i="64" s="1"/>
  <c r="Y13" i="64"/>
  <c r="Y42" i="64" s="1"/>
  <c r="Y44" i="64" s="1"/>
  <c r="Z55" i="64"/>
  <c r="AB55" i="64"/>
  <c r="AC55" i="64" s="1"/>
  <c r="X60" i="64"/>
  <c r="X61" i="64" s="1"/>
  <c r="W51" i="64"/>
  <c r="W60" i="64" s="1"/>
  <c r="W61" i="64" s="1"/>
  <c r="V60" i="64"/>
  <c r="V61" i="64" s="1"/>
  <c r="V63" i="64" s="1"/>
  <c r="AC49" i="64"/>
  <c r="Z60" i="64" l="1"/>
  <c r="Z61" i="64" s="1"/>
  <c r="U79" i="65"/>
  <c r="V60" i="65"/>
  <c r="V61" i="65" s="1"/>
  <c r="V63" i="65" s="1"/>
  <c r="S126" i="64"/>
  <c r="D35" i="61"/>
  <c r="R116" i="64"/>
  <c r="R118" i="64" s="1"/>
  <c r="W52" i="65"/>
  <c r="Y52" i="65" s="1"/>
  <c r="AB18" i="65"/>
  <c r="AA42" i="65"/>
  <c r="AA44" i="65" s="1"/>
  <c r="Q89" i="65"/>
  <c r="U89" i="65"/>
  <c r="X58" i="65"/>
  <c r="W58" i="65"/>
  <c r="AA58" i="65" s="1"/>
  <c r="AA42" i="64"/>
  <c r="AA44" i="64" s="1"/>
  <c r="AB49" i="65"/>
  <c r="Y49" i="65"/>
  <c r="AB13" i="64"/>
  <c r="AB42" i="64" s="1"/>
  <c r="AB44" i="64" s="1"/>
  <c r="I129" i="64"/>
  <c r="W63" i="64"/>
  <c r="N90" i="64"/>
  <c r="N118" i="64" s="1"/>
  <c r="S125" i="64"/>
  <c r="U116" i="64"/>
  <c r="P89" i="64"/>
  <c r="P80" i="64"/>
  <c r="T90" i="64"/>
  <c r="T118" i="64" s="1"/>
  <c r="U80" i="64"/>
  <c r="R72" i="64"/>
  <c r="R80" i="64" s="1"/>
  <c r="R82" i="64"/>
  <c r="R89" i="64" s="1"/>
  <c r="X63" i="64"/>
  <c r="U82" i="64"/>
  <c r="I132" i="64" s="1"/>
  <c r="D39" i="61" s="1"/>
  <c r="Z13" i="64"/>
  <c r="Z42" i="64" s="1"/>
  <c r="Z44" i="64" s="1"/>
  <c r="Z63" i="64" s="1"/>
  <c r="Y51" i="64"/>
  <c r="Y60" i="64" s="1"/>
  <c r="Y61" i="64" s="1"/>
  <c r="Y63" i="64" s="1"/>
  <c r="AA51" i="64"/>
  <c r="Y60" i="65" l="1"/>
  <c r="Y61" i="65" s="1"/>
  <c r="Y63" i="65" s="1"/>
  <c r="AA52" i="65"/>
  <c r="S127" i="64"/>
  <c r="D36" i="61"/>
  <c r="W60" i="65"/>
  <c r="W61" i="65" s="1"/>
  <c r="W63" i="65" s="1"/>
  <c r="E13" i="61" s="1"/>
  <c r="AC13" i="64"/>
  <c r="K112" i="65"/>
  <c r="K113" i="65"/>
  <c r="L113" i="65" s="1"/>
  <c r="AB58" i="65"/>
  <c r="AC58" i="65" s="1"/>
  <c r="X60" i="65"/>
  <c r="X61" i="65" s="1"/>
  <c r="X63" i="65" s="1"/>
  <c r="Z58" i="65"/>
  <c r="Z60" i="65" s="1"/>
  <c r="Z61" i="65" s="1"/>
  <c r="Z63" i="65" s="1"/>
  <c r="AC18" i="65"/>
  <c r="AC42" i="65" s="1"/>
  <c r="AC44" i="65" s="1"/>
  <c r="I122" i="65" s="1"/>
  <c r="AB42" i="65"/>
  <c r="AB44" i="65" s="1"/>
  <c r="Q90" i="64"/>
  <c r="Q118" i="64" s="1"/>
  <c r="AB52" i="65"/>
  <c r="AC52" i="65" s="1"/>
  <c r="AC49" i="65"/>
  <c r="AA60" i="65"/>
  <c r="AA61" i="65" s="1"/>
  <c r="AA63" i="65" s="1"/>
  <c r="U89" i="64"/>
  <c r="U90" i="64" s="1"/>
  <c r="AB51" i="64"/>
  <c r="AB60" i="64" s="1"/>
  <c r="AB61" i="64" s="1"/>
  <c r="AB63" i="64" s="1"/>
  <c r="AA60" i="64"/>
  <c r="AA61" i="64" s="1"/>
  <c r="AA63" i="64" s="1"/>
  <c r="K114" i="65" l="1"/>
  <c r="AC42" i="64"/>
  <c r="AC44" i="64" s="1"/>
  <c r="I123" i="64" s="1"/>
  <c r="S122" i="65"/>
  <c r="C13" i="61"/>
  <c r="M113" i="65"/>
  <c r="S113" i="65" s="1"/>
  <c r="O113" i="65"/>
  <c r="T113" i="65" s="1"/>
  <c r="L112" i="65"/>
  <c r="K115" i="65"/>
  <c r="K117" i="65" s="1"/>
  <c r="AC60" i="65"/>
  <c r="AC61" i="65" s="1"/>
  <c r="AB60" i="65"/>
  <c r="AB61" i="65" s="1"/>
  <c r="AB63" i="65" s="1"/>
  <c r="U118" i="64"/>
  <c r="AC51" i="64"/>
  <c r="AC60" i="64" s="1"/>
  <c r="AC61" i="64" s="1"/>
  <c r="D30" i="61" l="1"/>
  <c r="S123" i="64"/>
  <c r="M112" i="65"/>
  <c r="O112" i="65"/>
  <c r="L114" i="65"/>
  <c r="L115" i="65" s="1"/>
  <c r="L117" i="65" s="1"/>
  <c r="N113" i="65"/>
  <c r="U113" i="65" s="1"/>
  <c r="I132" i="65" s="1"/>
  <c r="D40" i="61" s="1"/>
  <c r="Q113" i="65"/>
  <c r="AC63" i="65"/>
  <c r="I123" i="65"/>
  <c r="AC63" i="64"/>
  <c r="D13" i="61" s="1"/>
  <c r="I124" i="64"/>
  <c r="I134" i="64" s="1"/>
  <c r="D31" i="61" l="1"/>
  <c r="O114" i="65"/>
  <c r="S112" i="65"/>
  <c r="S114" i="65" s="1"/>
  <c r="M114" i="65"/>
  <c r="O115" i="65"/>
  <c r="O117" i="65" s="1"/>
  <c r="M115" i="65"/>
  <c r="M117" i="65" s="1"/>
  <c r="N112" i="65"/>
  <c r="N114" i="65" s="1"/>
  <c r="Q112" i="65"/>
  <c r="S123" i="65"/>
  <c r="S124" i="64"/>
  <c r="S129" i="64" s="1"/>
  <c r="Q114" i="65" l="1"/>
  <c r="Q115" i="65" s="1"/>
  <c r="Q117" i="65" s="1"/>
  <c r="T112" i="65"/>
  <c r="T114" i="65" s="1"/>
  <c r="P112" i="65"/>
  <c r="N115" i="65"/>
  <c r="N117" i="65" s="1"/>
  <c r="C14" i="61" s="1"/>
  <c r="T115" i="65"/>
  <c r="T117" i="65" s="1"/>
  <c r="P114" i="65" l="1"/>
  <c r="P115" i="65" s="1"/>
  <c r="P117" i="65" s="1"/>
  <c r="U112" i="65"/>
  <c r="R112" i="65"/>
  <c r="U114" i="65" l="1"/>
  <c r="U115" i="65" s="1"/>
  <c r="I130" i="65"/>
  <c r="R114" i="65"/>
  <c r="R115" i="65" s="1"/>
  <c r="R117" i="65" s="1"/>
  <c r="U117" i="65"/>
  <c r="D14" i="61" s="1"/>
  <c r="S127" i="65" l="1"/>
  <c r="S128" i="65" s="1"/>
  <c r="D38" i="61"/>
  <c r="D25" i="61" s="1"/>
  <c r="I133" i="65"/>
  <c r="I117" i="61"/>
  <c r="B83" i="62"/>
  <c r="B81" i="62"/>
  <c r="H133" i="62" l="1"/>
  <c r="H127" i="62"/>
  <c r="H159" i="62" l="1"/>
  <c r="H149" i="62"/>
  <c r="C72" i="62"/>
  <c r="C73" i="62" s="1"/>
  <c r="C74" i="62" s="1"/>
  <c r="H76" i="62"/>
  <c r="H70" i="62"/>
  <c r="C66" i="62"/>
  <c r="C67" i="62" s="1"/>
  <c r="C68" i="62" s="1"/>
  <c r="C60" i="62"/>
  <c r="C59" i="62"/>
  <c r="C48" i="62"/>
  <c r="B48" i="62"/>
  <c r="B47" i="62"/>
  <c r="C46" i="62"/>
  <c r="B46" i="62"/>
  <c r="B45" i="62"/>
  <c r="E41" i="62"/>
  <c r="E43" i="62" s="1"/>
  <c r="D41" i="62"/>
  <c r="D50" i="62" s="1"/>
  <c r="I38" i="62"/>
  <c r="E46" i="62" l="1"/>
  <c r="E47" i="62"/>
  <c r="D45" i="62"/>
  <c r="D46" i="62"/>
  <c r="D48" i="62"/>
  <c r="E45" i="62"/>
  <c r="E48" i="62"/>
  <c r="D51" i="62"/>
  <c r="D54" i="62"/>
  <c r="E54" i="62"/>
  <c r="E51" i="62"/>
  <c r="D52" i="62"/>
  <c r="E52" i="62"/>
  <c r="D44" i="62"/>
  <c r="D49" i="62"/>
  <c r="E50" i="62"/>
  <c r="E49" i="62"/>
  <c r="D47" i="62"/>
  <c r="E42" i="62"/>
  <c r="E53" i="62"/>
  <c r="D53" i="62"/>
  <c r="E44" i="62"/>
  <c r="D43" i="62"/>
  <c r="D42" i="62"/>
  <c r="K30" i="62" l="1"/>
  <c r="L30" i="62" s="1"/>
  <c r="L31" i="62" s="1"/>
  <c r="L32" i="62" s="1"/>
  <c r="L33" i="62" s="1"/>
  <c r="N27" i="62"/>
  <c r="N29" i="62" s="1"/>
  <c r="G27" i="62"/>
  <c r="G29" i="62" s="1"/>
  <c r="C29" i="62"/>
  <c r="D29" i="62" s="1"/>
  <c r="K29" i="62"/>
  <c r="J29" i="62"/>
  <c r="F26" i="61"/>
  <c r="N30" i="62" l="1"/>
  <c r="D30" i="62"/>
  <c r="C75" i="62"/>
  <c r="C76" i="62" s="1"/>
  <c r="C61" i="62"/>
  <c r="D61" i="62" s="1"/>
  <c r="E30" i="62" l="1"/>
  <c r="C69" i="62"/>
  <c r="C70" i="62" s="1"/>
  <c r="G30" i="62" l="1"/>
  <c r="E31" i="62"/>
  <c r="E32" i="62" s="1"/>
  <c r="E33" i="62" s="1"/>
  <c r="C100" i="62" l="1"/>
  <c r="C101" i="62" l="1"/>
  <c r="C102" i="62" s="1"/>
  <c r="C103" i="62" s="1"/>
  <c r="C104" i="62" s="1"/>
  <c r="C105" i="62" s="1"/>
  <c r="C108" i="62"/>
  <c r="C109" i="62" s="1"/>
  <c r="C110" i="62" s="1"/>
  <c r="C111" i="62" s="1"/>
  <c r="C112" i="62" s="1"/>
  <c r="H112" i="62"/>
  <c r="J112" i="62" s="1"/>
  <c r="H105" i="62"/>
  <c r="J105" i="62" s="1"/>
  <c r="G13" i="49" l="1"/>
  <c r="H12" i="49"/>
  <c r="H13" i="49"/>
  <c r="L12" i="49"/>
  <c r="L13" i="49"/>
  <c r="K12" i="49"/>
  <c r="K13" i="49"/>
  <c r="Q13" i="49"/>
  <c r="M13" i="49"/>
  <c r="K11" i="49"/>
  <c r="H11" i="49"/>
  <c r="L11" i="49"/>
  <c r="L10" i="49"/>
  <c r="K10" i="49"/>
  <c r="H10" i="49"/>
  <c r="J10" i="49"/>
  <c r="N9" i="49"/>
  <c r="N13" i="49"/>
  <c r="O2" i="49"/>
  <c r="H9" i="49"/>
  <c r="O9" i="49"/>
  <c r="O13" i="49"/>
  <c r="J9" i="49"/>
  <c r="K8" i="49"/>
  <c r="I8" i="49"/>
  <c r="I13" i="49"/>
  <c r="H8" i="49"/>
  <c r="J8" i="49"/>
  <c r="K7" i="49"/>
  <c r="H7" i="49"/>
  <c r="J7" i="49"/>
  <c r="L6" i="49"/>
  <c r="K6" i="49"/>
  <c r="J6" i="49"/>
  <c r="J11" i="49"/>
  <c r="AI135" i="48"/>
  <c r="AL135" i="48"/>
  <c r="AM135" i="48"/>
  <c r="AH135" i="48"/>
  <c r="AJ135" i="48"/>
  <c r="X135" i="48"/>
  <c r="AK134" i="48"/>
  <c r="AM134" i="48"/>
  <c r="AJ134" i="48"/>
  <c r="AI134" i="48"/>
  <c r="AL134" i="48"/>
  <c r="AH134" i="48"/>
  <c r="AH133" i="48"/>
  <c r="AK133" i="48"/>
  <c r="AH132" i="48"/>
  <c r="Y132" i="48"/>
  <c r="Y131" i="48"/>
  <c r="AH131" i="48"/>
  <c r="Y130" i="48"/>
  <c r="Y127" i="48"/>
  <c r="AH127" i="48"/>
  <c r="AK126" i="48"/>
  <c r="AH126" i="48"/>
  <c r="Y126" i="48"/>
  <c r="Y125" i="48"/>
  <c r="AH125" i="48"/>
  <c r="AK124" i="48"/>
  <c r="AH124" i="48"/>
  <c r="Y124" i="48"/>
  <c r="Y123" i="48"/>
  <c r="AH123" i="48"/>
  <c r="AL122" i="48"/>
  <c r="AM122" i="48"/>
  <c r="AJ122" i="48"/>
  <c r="Y122" i="48"/>
  <c r="AH122" i="48"/>
  <c r="AI122" i="48"/>
  <c r="AH121" i="48"/>
  <c r="AL121" i="48"/>
  <c r="AM121" i="48"/>
  <c r="Y121" i="48"/>
  <c r="AI120" i="48"/>
  <c r="AH120" i="48"/>
  <c r="Y120" i="48"/>
  <c r="Y119" i="48"/>
  <c r="Y128" i="48"/>
  <c r="F108" i="48"/>
  <c r="F109" i="48"/>
  <c r="F112" i="48"/>
  <c r="E108" i="48"/>
  <c r="E112" i="48"/>
  <c r="W107" i="48"/>
  <c r="V107" i="48"/>
  <c r="U107" i="48"/>
  <c r="T107" i="48"/>
  <c r="S107" i="48"/>
  <c r="R107" i="48"/>
  <c r="Q107" i="48"/>
  <c r="P107" i="48"/>
  <c r="W106" i="48"/>
  <c r="V106" i="48"/>
  <c r="U106" i="48"/>
  <c r="T106" i="48"/>
  <c r="S106" i="48"/>
  <c r="R106" i="48"/>
  <c r="Q106" i="48"/>
  <c r="P106" i="48"/>
  <c r="W105" i="48"/>
  <c r="V105" i="48"/>
  <c r="U105" i="48"/>
  <c r="T105" i="48"/>
  <c r="S105" i="48"/>
  <c r="R105" i="48"/>
  <c r="Q105" i="48"/>
  <c r="P105" i="48"/>
  <c r="W104" i="48"/>
  <c r="V104" i="48"/>
  <c r="U104" i="48"/>
  <c r="T104" i="48"/>
  <c r="S104" i="48"/>
  <c r="R104" i="48"/>
  <c r="Q104" i="48"/>
  <c r="P104" i="48"/>
  <c r="W103" i="48"/>
  <c r="V103" i="48"/>
  <c r="U103" i="48"/>
  <c r="T103" i="48"/>
  <c r="S103" i="48"/>
  <c r="R103" i="48"/>
  <c r="Q103" i="48"/>
  <c r="P103" i="48"/>
  <c r="W102" i="48"/>
  <c r="V102" i="48"/>
  <c r="U102" i="48"/>
  <c r="T102" i="48"/>
  <c r="S102" i="48"/>
  <c r="R102" i="48"/>
  <c r="Q102" i="48"/>
  <c r="P102" i="48"/>
  <c r="V101" i="48"/>
  <c r="U101" i="48"/>
  <c r="T101" i="48"/>
  <c r="S101" i="48"/>
  <c r="R101" i="48"/>
  <c r="Q101" i="48"/>
  <c r="P101" i="48"/>
  <c r="W99" i="48"/>
  <c r="V99" i="48"/>
  <c r="U99" i="48"/>
  <c r="T99" i="48"/>
  <c r="S99" i="48"/>
  <c r="R99" i="48"/>
  <c r="Q99" i="48"/>
  <c r="P99" i="48"/>
  <c r="AK98" i="48"/>
  <c r="AL98" i="48"/>
  <c r="W98" i="48"/>
  <c r="V98" i="48"/>
  <c r="U98" i="48"/>
  <c r="T98" i="48"/>
  <c r="S98" i="48"/>
  <c r="R98" i="48"/>
  <c r="Q98" i="48"/>
  <c r="P98" i="48"/>
  <c r="V97" i="48"/>
  <c r="U97" i="48"/>
  <c r="T97" i="48"/>
  <c r="S97" i="48"/>
  <c r="R97" i="48"/>
  <c r="Q97" i="48"/>
  <c r="P97" i="48"/>
  <c r="V96" i="48"/>
  <c r="U96" i="48"/>
  <c r="T96" i="48"/>
  <c r="S96" i="48"/>
  <c r="R96" i="48"/>
  <c r="Q96" i="48"/>
  <c r="P96" i="48"/>
  <c r="V95" i="48"/>
  <c r="U95" i="48"/>
  <c r="T95" i="48"/>
  <c r="S95" i="48"/>
  <c r="R95" i="48"/>
  <c r="Q95" i="48"/>
  <c r="P95" i="48"/>
  <c r="V94" i="48"/>
  <c r="U94" i="48"/>
  <c r="T94" i="48"/>
  <c r="S94" i="48"/>
  <c r="R94" i="48"/>
  <c r="Q94" i="48"/>
  <c r="P94" i="48"/>
  <c r="V93" i="48"/>
  <c r="U93" i="48"/>
  <c r="T93" i="48"/>
  <c r="S93" i="48"/>
  <c r="R93" i="48"/>
  <c r="Q93" i="48"/>
  <c r="P93" i="48"/>
  <c r="V92" i="48"/>
  <c r="U92" i="48"/>
  <c r="T92" i="48"/>
  <c r="S92" i="48"/>
  <c r="R92" i="48"/>
  <c r="Q92" i="48"/>
  <c r="P92" i="48"/>
  <c r="V91" i="48"/>
  <c r="U91" i="48"/>
  <c r="T91" i="48"/>
  <c r="S91" i="48"/>
  <c r="R91" i="48"/>
  <c r="Q91" i="48"/>
  <c r="P91" i="48"/>
  <c r="W90" i="48"/>
  <c r="V90" i="48"/>
  <c r="U90" i="48"/>
  <c r="T90" i="48"/>
  <c r="S90" i="48"/>
  <c r="R90" i="48"/>
  <c r="Q90" i="48"/>
  <c r="P90" i="48"/>
  <c r="W89" i="48"/>
  <c r="V89" i="48"/>
  <c r="U89" i="48"/>
  <c r="T89" i="48"/>
  <c r="S89" i="48"/>
  <c r="R89" i="48"/>
  <c r="Q89" i="48"/>
  <c r="P89" i="48"/>
  <c r="W88" i="48"/>
  <c r="V88" i="48"/>
  <c r="U88" i="48"/>
  <c r="T88" i="48"/>
  <c r="S88" i="48"/>
  <c r="R88" i="48"/>
  <c r="Q88" i="48"/>
  <c r="P88" i="48"/>
  <c r="W87" i="48"/>
  <c r="V87" i="48"/>
  <c r="U87" i="48"/>
  <c r="T87" i="48"/>
  <c r="S87" i="48"/>
  <c r="R87" i="48"/>
  <c r="Q87" i="48"/>
  <c r="P87" i="48"/>
  <c r="W86" i="48"/>
  <c r="V86" i="48"/>
  <c r="U86" i="48"/>
  <c r="T86" i="48"/>
  <c r="S86" i="48"/>
  <c r="R86" i="48"/>
  <c r="Q86" i="48"/>
  <c r="P86" i="48"/>
  <c r="W85" i="48"/>
  <c r="V85" i="48"/>
  <c r="U85" i="48"/>
  <c r="T85" i="48"/>
  <c r="S85" i="48"/>
  <c r="R85" i="48"/>
  <c r="Q85" i="48"/>
  <c r="P85" i="48"/>
  <c r="W84" i="48"/>
  <c r="V84" i="48"/>
  <c r="U84" i="48"/>
  <c r="T84" i="48"/>
  <c r="S84" i="48"/>
  <c r="R84" i="48"/>
  <c r="Q84" i="48"/>
  <c r="P84" i="48"/>
  <c r="W83" i="48"/>
  <c r="V83" i="48"/>
  <c r="U83" i="48"/>
  <c r="T83" i="48"/>
  <c r="S83" i="48"/>
  <c r="R83" i="48"/>
  <c r="Q83" i="48"/>
  <c r="P83" i="48"/>
  <c r="W82" i="48"/>
  <c r="V82" i="48"/>
  <c r="U82" i="48"/>
  <c r="T82" i="48"/>
  <c r="S82" i="48"/>
  <c r="R82" i="48"/>
  <c r="Q82" i="48"/>
  <c r="P82" i="48"/>
  <c r="W81" i="48"/>
  <c r="V81" i="48"/>
  <c r="U81" i="48"/>
  <c r="T81" i="48"/>
  <c r="S81" i="48"/>
  <c r="R81" i="48"/>
  <c r="Q81" i="48"/>
  <c r="P81" i="48"/>
  <c r="W80" i="48"/>
  <c r="V80" i="48"/>
  <c r="U80" i="48"/>
  <c r="T80" i="48"/>
  <c r="S80" i="48"/>
  <c r="R80" i="48"/>
  <c r="Q80" i="48"/>
  <c r="P80" i="48"/>
  <c r="W79" i="48"/>
  <c r="V79" i="48"/>
  <c r="U79" i="48"/>
  <c r="T79" i="48"/>
  <c r="S79" i="48"/>
  <c r="R79" i="48"/>
  <c r="Q79" i="48"/>
  <c r="P79" i="48"/>
  <c r="W78" i="48"/>
  <c r="V78" i="48"/>
  <c r="U78" i="48"/>
  <c r="T78" i="48"/>
  <c r="S78" i="48"/>
  <c r="R78" i="48"/>
  <c r="Q78" i="48"/>
  <c r="P78" i="48"/>
  <c r="W77" i="48"/>
  <c r="V77" i="48"/>
  <c r="U77" i="48"/>
  <c r="T77" i="48"/>
  <c r="S77" i="48"/>
  <c r="R77" i="48"/>
  <c r="Q77" i="48"/>
  <c r="P77" i="48"/>
  <c r="W76" i="48"/>
  <c r="V76" i="48"/>
  <c r="U76" i="48"/>
  <c r="T76" i="48"/>
  <c r="S76" i="48"/>
  <c r="R76" i="48"/>
  <c r="Q76" i="48"/>
  <c r="P76" i="48"/>
  <c r="W75" i="48"/>
  <c r="V75" i="48"/>
  <c r="U75" i="48"/>
  <c r="T75" i="48"/>
  <c r="S75" i="48"/>
  <c r="R75" i="48"/>
  <c r="Q75" i="48"/>
  <c r="P75" i="48"/>
  <c r="W74" i="48"/>
  <c r="V74" i="48"/>
  <c r="U74" i="48"/>
  <c r="T74" i="48"/>
  <c r="S74" i="48"/>
  <c r="R74" i="48"/>
  <c r="Q74" i="48"/>
  <c r="P74" i="48"/>
  <c r="V73" i="48"/>
  <c r="U73" i="48"/>
  <c r="T73" i="48"/>
  <c r="S73" i="48"/>
  <c r="R73" i="48"/>
  <c r="Q73" i="48"/>
  <c r="P73" i="48"/>
  <c r="V72" i="48"/>
  <c r="U72" i="48"/>
  <c r="T72" i="48"/>
  <c r="S72" i="48"/>
  <c r="R72" i="48"/>
  <c r="Q72" i="48"/>
  <c r="P72" i="48"/>
  <c r="V71" i="48"/>
  <c r="U71" i="48"/>
  <c r="T71" i="48"/>
  <c r="S71" i="48"/>
  <c r="R71" i="48"/>
  <c r="Q71" i="48"/>
  <c r="P71" i="48"/>
  <c r="W70" i="48"/>
  <c r="V70" i="48"/>
  <c r="U70" i="48"/>
  <c r="T70" i="48"/>
  <c r="S70" i="48"/>
  <c r="R70" i="48"/>
  <c r="Q70" i="48"/>
  <c r="P70" i="48"/>
  <c r="W69" i="48"/>
  <c r="V69" i="48"/>
  <c r="U69" i="48"/>
  <c r="T69" i="48"/>
  <c r="S69" i="48"/>
  <c r="R69" i="48"/>
  <c r="Q69" i="48"/>
  <c r="P69" i="48"/>
  <c r="W68" i="48"/>
  <c r="V68" i="48"/>
  <c r="U68" i="48"/>
  <c r="T68" i="48"/>
  <c r="S68" i="48"/>
  <c r="R68" i="48"/>
  <c r="Q68" i="48"/>
  <c r="P68" i="48"/>
  <c r="V67" i="48"/>
  <c r="U67" i="48"/>
  <c r="T67" i="48"/>
  <c r="S67" i="48"/>
  <c r="R67" i="48"/>
  <c r="Q67" i="48"/>
  <c r="P67" i="48"/>
  <c r="V66" i="48"/>
  <c r="U66" i="48"/>
  <c r="T66" i="48"/>
  <c r="S66" i="48"/>
  <c r="R66" i="48"/>
  <c r="Q66" i="48"/>
  <c r="P66" i="48"/>
  <c r="V65" i="48"/>
  <c r="U65" i="48"/>
  <c r="T65" i="48"/>
  <c r="S65" i="48"/>
  <c r="R65" i="48"/>
  <c r="Q65" i="48"/>
  <c r="P65" i="48"/>
  <c r="V64" i="48"/>
  <c r="U64" i="48"/>
  <c r="T64" i="48"/>
  <c r="S64" i="48"/>
  <c r="R64" i="48"/>
  <c r="Q64" i="48"/>
  <c r="P64" i="48"/>
  <c r="V63" i="48"/>
  <c r="U63" i="48"/>
  <c r="T63" i="48"/>
  <c r="S63" i="48"/>
  <c r="R63" i="48"/>
  <c r="Q63" i="48"/>
  <c r="P63" i="48"/>
  <c r="V62" i="48"/>
  <c r="U62" i="48"/>
  <c r="T62" i="48"/>
  <c r="S62" i="48"/>
  <c r="R62" i="48"/>
  <c r="Q62" i="48"/>
  <c r="P62" i="48"/>
  <c r="V61" i="48"/>
  <c r="U61" i="48"/>
  <c r="T61" i="48"/>
  <c r="S61" i="48"/>
  <c r="R61" i="48"/>
  <c r="Q61" i="48"/>
  <c r="P61" i="48"/>
  <c r="V60" i="48"/>
  <c r="U60" i="48"/>
  <c r="T60" i="48"/>
  <c r="S60" i="48"/>
  <c r="R60" i="48"/>
  <c r="Q60" i="48"/>
  <c r="P60" i="48"/>
  <c r="V59" i="48"/>
  <c r="U59" i="48"/>
  <c r="T59" i="48"/>
  <c r="S59" i="48"/>
  <c r="R59" i="48"/>
  <c r="Q59" i="48"/>
  <c r="P59" i="48"/>
  <c r="W58" i="48"/>
  <c r="V58" i="48"/>
  <c r="U58" i="48"/>
  <c r="T58" i="48"/>
  <c r="S58" i="48"/>
  <c r="R58" i="48"/>
  <c r="Q58" i="48"/>
  <c r="P58" i="48"/>
  <c r="W57" i="48"/>
  <c r="V57" i="48"/>
  <c r="U57" i="48"/>
  <c r="T57" i="48"/>
  <c r="S57" i="48"/>
  <c r="R57" i="48"/>
  <c r="Q57" i="48"/>
  <c r="P57" i="48"/>
  <c r="W56" i="48"/>
  <c r="V56" i="48"/>
  <c r="U56" i="48"/>
  <c r="T56" i="48"/>
  <c r="S56" i="48"/>
  <c r="R56" i="48"/>
  <c r="Q56" i="48"/>
  <c r="P56" i="48"/>
  <c r="W55" i="48"/>
  <c r="V55" i="48"/>
  <c r="U55" i="48"/>
  <c r="T55" i="48"/>
  <c r="S55" i="48"/>
  <c r="R55" i="48"/>
  <c r="Q55" i="48"/>
  <c r="P55" i="48"/>
  <c r="W54" i="48"/>
  <c r="V54" i="48"/>
  <c r="U54" i="48"/>
  <c r="T54" i="48"/>
  <c r="S54" i="48"/>
  <c r="R54" i="48"/>
  <c r="Q54" i="48"/>
  <c r="P54" i="48"/>
  <c r="W53" i="48"/>
  <c r="V53" i="48"/>
  <c r="U53" i="48"/>
  <c r="T53" i="48"/>
  <c r="S53" i="48"/>
  <c r="R53" i="48"/>
  <c r="Q53" i="48"/>
  <c r="P53" i="48"/>
  <c r="W52" i="48"/>
  <c r="V52" i="48"/>
  <c r="U52" i="48"/>
  <c r="T52" i="48"/>
  <c r="S52" i="48"/>
  <c r="R52" i="48"/>
  <c r="Q52" i="48"/>
  <c r="P52" i="48"/>
  <c r="X52" i="48"/>
  <c r="AF52" i="48"/>
  <c r="W51" i="48"/>
  <c r="V51" i="48"/>
  <c r="U51" i="48"/>
  <c r="T51" i="48"/>
  <c r="S51" i="48"/>
  <c r="R51" i="48"/>
  <c r="Q51" i="48"/>
  <c r="P51" i="48"/>
  <c r="W50" i="48"/>
  <c r="V50" i="48"/>
  <c r="U50" i="48"/>
  <c r="T50" i="48"/>
  <c r="S50" i="48"/>
  <c r="R50" i="48"/>
  <c r="Q50" i="48"/>
  <c r="P50" i="48"/>
  <c r="W49" i="48"/>
  <c r="V49" i="48"/>
  <c r="U49" i="48"/>
  <c r="T49" i="48"/>
  <c r="S49" i="48"/>
  <c r="R49" i="48"/>
  <c r="Q49" i="48"/>
  <c r="P49" i="48"/>
  <c r="W48" i="48"/>
  <c r="V48" i="48"/>
  <c r="U48" i="48"/>
  <c r="T48" i="48"/>
  <c r="S48" i="48"/>
  <c r="R48" i="48"/>
  <c r="Q48" i="48"/>
  <c r="P48" i="48"/>
  <c r="W47" i="48"/>
  <c r="V47" i="48"/>
  <c r="U47" i="48"/>
  <c r="T47" i="48"/>
  <c r="S47" i="48"/>
  <c r="R47" i="48"/>
  <c r="Q47" i="48"/>
  <c r="P47" i="48"/>
  <c r="W46" i="48"/>
  <c r="V46" i="48"/>
  <c r="U46" i="48"/>
  <c r="T46" i="48"/>
  <c r="S46" i="48"/>
  <c r="R46" i="48"/>
  <c r="Q46" i="48"/>
  <c r="P46" i="48"/>
  <c r="W45" i="48"/>
  <c r="V45" i="48"/>
  <c r="U45" i="48"/>
  <c r="T45" i="48"/>
  <c r="S45" i="48"/>
  <c r="R45" i="48"/>
  <c r="Q45" i="48"/>
  <c r="P45" i="48"/>
  <c r="W44" i="48"/>
  <c r="V44" i="48"/>
  <c r="U44" i="48"/>
  <c r="T44" i="48"/>
  <c r="S44" i="48"/>
  <c r="R44" i="48"/>
  <c r="Q44" i="48"/>
  <c r="P44" i="48"/>
  <c r="AM43" i="48"/>
  <c r="AK43" i="48"/>
  <c r="AL43" i="48"/>
  <c r="W43" i="48"/>
  <c r="V43" i="48"/>
  <c r="U43" i="48"/>
  <c r="T43" i="48"/>
  <c r="S43" i="48"/>
  <c r="R43" i="48"/>
  <c r="Q43" i="48"/>
  <c r="P43" i="48"/>
  <c r="W42" i="48"/>
  <c r="V42" i="48"/>
  <c r="U42" i="48"/>
  <c r="T42" i="48"/>
  <c r="S42" i="48"/>
  <c r="R42" i="48"/>
  <c r="Q42" i="48"/>
  <c r="P42" i="48"/>
  <c r="W41" i="48"/>
  <c r="V41" i="48"/>
  <c r="U41" i="48"/>
  <c r="T41" i="48"/>
  <c r="S41" i="48"/>
  <c r="R41" i="48"/>
  <c r="Q41" i="48"/>
  <c r="P41" i="48"/>
  <c r="W40" i="48"/>
  <c r="V40" i="48"/>
  <c r="U40" i="48"/>
  <c r="T40" i="48"/>
  <c r="S40" i="48"/>
  <c r="R40" i="48"/>
  <c r="Q40" i="48"/>
  <c r="P40" i="48"/>
  <c r="W39" i="48"/>
  <c r="V39" i="48"/>
  <c r="U39" i="48"/>
  <c r="T39" i="48"/>
  <c r="S39" i="48"/>
  <c r="R39" i="48"/>
  <c r="Q39" i="48"/>
  <c r="P39" i="48"/>
  <c r="W38" i="48"/>
  <c r="V38" i="48"/>
  <c r="U38" i="48"/>
  <c r="T38" i="48"/>
  <c r="S38" i="48"/>
  <c r="R38" i="48"/>
  <c r="Q38" i="48"/>
  <c r="P38" i="48"/>
  <c r="W37" i="48"/>
  <c r="V37" i="48"/>
  <c r="U37" i="48"/>
  <c r="T37" i="48"/>
  <c r="S37" i="48"/>
  <c r="R37" i="48"/>
  <c r="Q37" i="48"/>
  <c r="P37" i="48"/>
  <c r="W36" i="48"/>
  <c r="V36" i="48"/>
  <c r="U36" i="48"/>
  <c r="T36" i="48"/>
  <c r="S36" i="48"/>
  <c r="R36" i="48"/>
  <c r="Q36" i="48"/>
  <c r="P36" i="48"/>
  <c r="W35" i="48"/>
  <c r="V35" i="48"/>
  <c r="U35" i="48"/>
  <c r="T35" i="48"/>
  <c r="S35" i="48"/>
  <c r="R35" i="48"/>
  <c r="Q35" i="48"/>
  <c r="P35" i="48"/>
  <c r="W34" i="48"/>
  <c r="V34" i="48"/>
  <c r="U34" i="48"/>
  <c r="T34" i="48"/>
  <c r="S34" i="48"/>
  <c r="R34" i="48"/>
  <c r="Q34" i="48"/>
  <c r="P34" i="48"/>
  <c r="AK33" i="48"/>
  <c r="AL33" i="48"/>
  <c r="AM33" i="48"/>
  <c r="W33" i="48"/>
  <c r="V33" i="48"/>
  <c r="U33" i="48"/>
  <c r="T33" i="48"/>
  <c r="S33" i="48"/>
  <c r="R33" i="48"/>
  <c r="Q33" i="48"/>
  <c r="P33" i="48"/>
  <c r="AK32" i="48"/>
  <c r="AL32" i="48"/>
  <c r="W32" i="48"/>
  <c r="V32" i="48"/>
  <c r="U32" i="48"/>
  <c r="T32" i="48"/>
  <c r="S32" i="48"/>
  <c r="R32" i="48"/>
  <c r="Q32" i="48"/>
  <c r="P32" i="48"/>
  <c r="AK31" i="48"/>
  <c r="AL31" i="48"/>
  <c r="AM31" i="48"/>
  <c r="AN31" i="48"/>
  <c r="W31" i="48"/>
  <c r="V31" i="48"/>
  <c r="U31" i="48"/>
  <c r="T31" i="48"/>
  <c r="S31" i="48"/>
  <c r="R31" i="48"/>
  <c r="Q31" i="48"/>
  <c r="P31" i="48"/>
  <c r="W30" i="48"/>
  <c r="V30" i="48"/>
  <c r="U30" i="48"/>
  <c r="T30" i="48"/>
  <c r="S30" i="48"/>
  <c r="R30" i="48"/>
  <c r="Q30" i="48"/>
  <c r="P30" i="48"/>
  <c r="V29" i="48"/>
  <c r="U29" i="48"/>
  <c r="T29" i="48"/>
  <c r="S29" i="48"/>
  <c r="R29" i="48"/>
  <c r="Q29" i="48"/>
  <c r="P29" i="48"/>
  <c r="V28" i="48"/>
  <c r="U28" i="48"/>
  <c r="T28" i="48"/>
  <c r="S28" i="48"/>
  <c r="R28" i="48"/>
  <c r="Q28" i="48"/>
  <c r="P28" i="48"/>
  <c r="W27" i="48"/>
  <c r="V27" i="48"/>
  <c r="U27" i="48"/>
  <c r="T27" i="48"/>
  <c r="S27" i="48"/>
  <c r="R27" i="48"/>
  <c r="Q27" i="48"/>
  <c r="P27" i="48"/>
  <c r="W26" i="48"/>
  <c r="V26" i="48"/>
  <c r="U26" i="48"/>
  <c r="T26" i="48"/>
  <c r="S26" i="48"/>
  <c r="R26" i="48"/>
  <c r="Q26" i="48"/>
  <c r="P26" i="48"/>
  <c r="W25" i="48"/>
  <c r="V25" i="48"/>
  <c r="U25" i="48"/>
  <c r="T25" i="48"/>
  <c r="S25" i="48"/>
  <c r="R25" i="48"/>
  <c r="Q25" i="48"/>
  <c r="P25" i="48"/>
  <c r="W24" i="48"/>
  <c r="V24" i="48"/>
  <c r="U24" i="48"/>
  <c r="T24" i="48"/>
  <c r="S24" i="48"/>
  <c r="R24" i="48"/>
  <c r="Q24" i="48"/>
  <c r="P24" i="48"/>
  <c r="V23" i="48"/>
  <c r="U23" i="48"/>
  <c r="T23" i="48"/>
  <c r="S23" i="48"/>
  <c r="R23" i="48"/>
  <c r="Q23" i="48"/>
  <c r="P23" i="48"/>
  <c r="W22" i="48"/>
  <c r="V22" i="48"/>
  <c r="U22" i="48"/>
  <c r="T22" i="48"/>
  <c r="S22" i="48"/>
  <c r="R22" i="48"/>
  <c r="Q22" i="48"/>
  <c r="P22" i="48"/>
  <c r="V21" i="48"/>
  <c r="U21" i="48"/>
  <c r="T21" i="48"/>
  <c r="S21" i="48"/>
  <c r="R21" i="48"/>
  <c r="Q21" i="48"/>
  <c r="P21" i="48"/>
  <c r="V20" i="48"/>
  <c r="U20" i="48"/>
  <c r="T20" i="48"/>
  <c r="S20" i="48"/>
  <c r="R20" i="48"/>
  <c r="Q20" i="48"/>
  <c r="P20" i="48"/>
  <c r="W19" i="48"/>
  <c r="V19" i="48"/>
  <c r="U19" i="48"/>
  <c r="T19" i="48"/>
  <c r="S19" i="48"/>
  <c r="R19" i="48"/>
  <c r="Q19" i="48"/>
  <c r="P19" i="48"/>
  <c r="W18" i="48"/>
  <c r="V18" i="48"/>
  <c r="U18" i="48"/>
  <c r="T18" i="48"/>
  <c r="S18" i="48"/>
  <c r="R18" i="48"/>
  <c r="Q18" i="48"/>
  <c r="P18" i="48"/>
  <c r="W17" i="48"/>
  <c r="V17" i="48"/>
  <c r="U17" i="48"/>
  <c r="T17" i="48"/>
  <c r="S17" i="48"/>
  <c r="R17" i="48"/>
  <c r="Q17" i="48"/>
  <c r="P17" i="48"/>
  <c r="W16" i="48"/>
  <c r="V16" i="48"/>
  <c r="U16" i="48"/>
  <c r="T16" i="48"/>
  <c r="S16" i="48"/>
  <c r="R16" i="48"/>
  <c r="Q16" i="48"/>
  <c r="P16" i="48"/>
  <c r="W15" i="48"/>
  <c r="V15" i="48"/>
  <c r="U15" i="48"/>
  <c r="T15" i="48"/>
  <c r="S15" i="48"/>
  <c r="R15" i="48"/>
  <c r="Q15" i="48"/>
  <c r="P15" i="48"/>
  <c r="V14" i="48"/>
  <c r="U14" i="48"/>
  <c r="T14" i="48"/>
  <c r="S14" i="48"/>
  <c r="R14" i="48"/>
  <c r="Q14" i="48"/>
  <c r="P14" i="48"/>
  <c r="V13" i="48"/>
  <c r="U13" i="48"/>
  <c r="T13" i="48"/>
  <c r="S13" i="48"/>
  <c r="R13" i="48"/>
  <c r="Q13" i="48"/>
  <c r="P13" i="48"/>
  <c r="W12" i="48"/>
  <c r="V12" i="48"/>
  <c r="U12" i="48"/>
  <c r="T12" i="48"/>
  <c r="S12" i="48"/>
  <c r="R12" i="48"/>
  <c r="Q12" i="48"/>
  <c r="P12" i="48"/>
  <c r="W11" i="48"/>
  <c r="V11" i="48"/>
  <c r="U11" i="48"/>
  <c r="T11" i="48"/>
  <c r="S11" i="48"/>
  <c r="R11" i="48"/>
  <c r="Q11" i="48"/>
  <c r="P11" i="48"/>
  <c r="V10" i="48"/>
  <c r="U10" i="48"/>
  <c r="T10" i="48"/>
  <c r="S10" i="48"/>
  <c r="R10" i="48"/>
  <c r="Q10" i="48"/>
  <c r="P10" i="48"/>
  <c r="W9" i="48"/>
  <c r="V9" i="48"/>
  <c r="U9" i="48"/>
  <c r="T9" i="48"/>
  <c r="S9" i="48"/>
  <c r="R9" i="48"/>
  <c r="Q9" i="48"/>
  <c r="P9" i="48"/>
  <c r="AF35" i="48"/>
  <c r="X65" i="48"/>
  <c r="AA65" i="48"/>
  <c r="AF88" i="48"/>
  <c r="X33" i="48"/>
  <c r="AI33" i="48"/>
  <c r="X101" i="48"/>
  <c r="AH101" i="48"/>
  <c r="X106" i="48"/>
  <c r="Y106" i="48"/>
  <c r="X61" i="48"/>
  <c r="Y61" i="48"/>
  <c r="X72" i="48"/>
  <c r="Y72" i="48"/>
  <c r="X97" i="48"/>
  <c r="AF97" i="48"/>
  <c r="X55" i="48"/>
  <c r="AB55" i="48"/>
  <c r="X59" i="48"/>
  <c r="AI59" i="48"/>
  <c r="AN43" i="48"/>
  <c r="X73" i="48"/>
  <c r="AG73" i="48"/>
  <c r="X105" i="48"/>
  <c r="AI105" i="48"/>
  <c r="X44" i="48"/>
  <c r="AD44" i="48"/>
  <c r="X46" i="48"/>
  <c r="Z46" i="48"/>
  <c r="X69" i="48"/>
  <c r="AF69" i="48"/>
  <c r="X71" i="48"/>
  <c r="AG71" i="48"/>
  <c r="X14" i="48"/>
  <c r="Y14" i="48"/>
  <c r="X29" i="48"/>
  <c r="Y29" i="48"/>
  <c r="X36" i="48"/>
  <c r="AC36" i="48"/>
  <c r="AM98" i="48"/>
  <c r="AN98" i="48"/>
  <c r="X11" i="48"/>
  <c r="AA11" i="48"/>
  <c r="X13" i="48"/>
  <c r="AA13" i="48"/>
  <c r="X35" i="48"/>
  <c r="AH35" i="48"/>
  <c r="X37" i="48"/>
  <c r="AF37" i="48"/>
  <c r="X38" i="48"/>
  <c r="AF38" i="48"/>
  <c r="X81" i="48"/>
  <c r="AI81" i="48"/>
  <c r="X83" i="48"/>
  <c r="AF83" i="48"/>
  <c r="X30" i="48"/>
  <c r="Z30" i="48"/>
  <c r="X42" i="48"/>
  <c r="AI42" i="48"/>
  <c r="X50" i="48"/>
  <c r="AA50" i="48"/>
  <c r="X63" i="48"/>
  <c r="Z63" i="48"/>
  <c r="X99" i="48"/>
  <c r="AB99" i="48"/>
  <c r="X40" i="48"/>
  <c r="AB52" i="48"/>
  <c r="X15" i="48"/>
  <c r="AB15" i="48"/>
  <c r="X17" i="48"/>
  <c r="AH17" i="48"/>
  <c r="X19" i="48"/>
  <c r="AB19" i="48"/>
  <c r="X21" i="48"/>
  <c r="Z21" i="48"/>
  <c r="X23" i="48"/>
  <c r="AH23" i="48"/>
  <c r="X25" i="48"/>
  <c r="Y25" i="48"/>
  <c r="X27" i="48"/>
  <c r="AI27" i="48"/>
  <c r="X41" i="48"/>
  <c r="AG41" i="48"/>
  <c r="X43" i="48"/>
  <c r="AI43" i="48"/>
  <c r="X89" i="48"/>
  <c r="X91" i="48"/>
  <c r="AH91" i="48"/>
  <c r="X103" i="48"/>
  <c r="AI103" i="48"/>
  <c r="X9" i="48"/>
  <c r="AH9" i="48"/>
  <c r="X39" i="48"/>
  <c r="AG39" i="48"/>
  <c r="X48" i="48"/>
  <c r="Z48" i="48"/>
  <c r="R108" i="48"/>
  <c r="X24" i="48"/>
  <c r="AG24" i="48"/>
  <c r="X26" i="48"/>
  <c r="AG26" i="48"/>
  <c r="X28" i="48"/>
  <c r="AG28" i="48"/>
  <c r="X54" i="48"/>
  <c r="AA54" i="48"/>
  <c r="X68" i="48"/>
  <c r="AI68" i="48"/>
  <c r="X102" i="48"/>
  <c r="AD102" i="48"/>
  <c r="X104" i="48"/>
  <c r="Z104" i="48"/>
  <c r="X60" i="48"/>
  <c r="AC60" i="48"/>
  <c r="X74" i="48"/>
  <c r="Z74" i="48"/>
  <c r="X76" i="48"/>
  <c r="AI76" i="48"/>
  <c r="X56" i="48"/>
  <c r="Z56" i="48"/>
  <c r="X58" i="48"/>
  <c r="AH58" i="48"/>
  <c r="X95" i="48"/>
  <c r="AB95" i="48"/>
  <c r="X107" i="48"/>
  <c r="Z107" i="48"/>
  <c r="X22" i="48"/>
  <c r="AB22" i="48"/>
  <c r="X16" i="48"/>
  <c r="AI16" i="48"/>
  <c r="X18" i="48"/>
  <c r="AC18" i="48"/>
  <c r="AN33" i="48"/>
  <c r="X62" i="48"/>
  <c r="AF62" i="48"/>
  <c r="X66" i="48"/>
  <c r="AF66" i="48"/>
  <c r="X70" i="48"/>
  <c r="AD70" i="48"/>
  <c r="X78" i="48"/>
  <c r="Y78" i="48"/>
  <c r="X98" i="48"/>
  <c r="AF98" i="48"/>
  <c r="X45" i="48"/>
  <c r="Z45" i="48"/>
  <c r="X80" i="48"/>
  <c r="Z80" i="48"/>
  <c r="X96" i="48"/>
  <c r="AA96" i="48"/>
  <c r="X82" i="48"/>
  <c r="Z82" i="48"/>
  <c r="X84" i="48"/>
  <c r="AC84" i="48"/>
  <c r="X31" i="48"/>
  <c r="Z31" i="48"/>
  <c r="X47" i="48"/>
  <c r="AB47" i="48"/>
  <c r="X51" i="48"/>
  <c r="AD51" i="48"/>
  <c r="X92" i="48"/>
  <c r="Y92" i="48"/>
  <c r="X94" i="48"/>
  <c r="AI94" i="48"/>
  <c r="X12" i="48"/>
  <c r="Y12" i="48"/>
  <c r="X32" i="48"/>
  <c r="AI32" i="48"/>
  <c r="X86" i="48"/>
  <c r="AG86" i="48"/>
  <c r="X90" i="48"/>
  <c r="Z90" i="48"/>
  <c r="X10" i="48"/>
  <c r="Y10" i="48"/>
  <c r="X20" i="48"/>
  <c r="AD20" i="48"/>
  <c r="X34" i="48"/>
  <c r="AH34" i="48"/>
  <c r="X53" i="48"/>
  <c r="AG53" i="48"/>
  <c r="X67" i="48"/>
  <c r="AF67" i="48"/>
  <c r="AB29" i="48"/>
  <c r="AI12" i="48"/>
  <c r="AK132" i="48"/>
  <c r="AJ132" i="48"/>
  <c r="U108" i="48"/>
  <c r="U109" i="48"/>
  <c r="U112" i="48"/>
  <c r="AI132" i="48"/>
  <c r="AL132" i="48"/>
  <c r="V108" i="48"/>
  <c r="V109" i="48"/>
  <c r="V112" i="48"/>
  <c r="AM133" i="48"/>
  <c r="W108" i="48"/>
  <c r="W109" i="48"/>
  <c r="W112" i="48"/>
  <c r="X75" i="48"/>
  <c r="X93" i="48"/>
  <c r="AK125" i="48"/>
  <c r="AM125" i="48"/>
  <c r="AI125" i="48"/>
  <c r="AL125" i="48"/>
  <c r="AN134" i="48"/>
  <c r="AD55" i="48"/>
  <c r="Y137" i="48"/>
  <c r="Y140" i="48"/>
  <c r="AM32" i="48"/>
  <c r="AN32" i="48"/>
  <c r="AF61" i="48"/>
  <c r="X77" i="48"/>
  <c r="X85" i="48"/>
  <c r="AL123" i="48"/>
  <c r="AM123" i="48"/>
  <c r="AI123" i="48"/>
  <c r="AJ123" i="48"/>
  <c r="AN123" i="48"/>
  <c r="AL120" i="48"/>
  <c r="AM120" i="48"/>
  <c r="AJ120" i="48"/>
  <c r="AN135" i="48"/>
  <c r="X49" i="48"/>
  <c r="X57" i="48"/>
  <c r="AH72" i="48"/>
  <c r="AF72" i="48"/>
  <c r="AD72" i="48"/>
  <c r="AA72" i="48"/>
  <c r="Z72" i="48"/>
  <c r="X64" i="48"/>
  <c r="X79" i="48"/>
  <c r="X87" i="48"/>
  <c r="AK127" i="48"/>
  <c r="AI127" i="48"/>
  <c r="AL127" i="48"/>
  <c r="AL131" i="48"/>
  <c r="AM131" i="48"/>
  <c r="AJ131" i="48"/>
  <c r="AN131" i="48"/>
  <c r="AI131" i="48"/>
  <c r="AH47" i="48"/>
  <c r="AG47" i="48"/>
  <c r="P108" i="48"/>
  <c r="P109" i="48"/>
  <c r="P112" i="48"/>
  <c r="AH54" i="48"/>
  <c r="AG54" i="48"/>
  <c r="AF54" i="48"/>
  <c r="S108" i="48"/>
  <c r="T108" i="48"/>
  <c r="Q108" i="48"/>
  <c r="AG104" i="48"/>
  <c r="AN122" i="48"/>
  <c r="Y136" i="48"/>
  <c r="AH130" i="48"/>
  <c r="X88" i="48"/>
  <c r="AH119" i="48"/>
  <c r="AI121" i="48"/>
  <c r="AJ121" i="48"/>
  <c r="AI133" i="48"/>
  <c r="AL133" i="48"/>
  <c r="AI124" i="48"/>
  <c r="AL124" i="48"/>
  <c r="AM124" i="48"/>
  <c r="AI126" i="48"/>
  <c r="AL126" i="48"/>
  <c r="AM126" i="48"/>
  <c r="Y39" i="48"/>
  <c r="AG65" i="48"/>
  <c r="AC65" i="48"/>
  <c r="AI65" i="48"/>
  <c r="Z99" i="48"/>
  <c r="AD65" i="48"/>
  <c r="AB65" i="48"/>
  <c r="Y65" i="48"/>
  <c r="AB61" i="48"/>
  <c r="AA61" i="48"/>
  <c r="AC61" i="48"/>
  <c r="Z47" i="48"/>
  <c r="AG61" i="48"/>
  <c r="AA47" i="48"/>
  <c r="AF47" i="48"/>
  <c r="AH37" i="48"/>
  <c r="Z61" i="48"/>
  <c r="AJ61" i="48"/>
  <c r="AK61" i="48"/>
  <c r="AL61" i="48"/>
  <c r="AD61" i="48"/>
  <c r="AG62" i="48"/>
  <c r="AH61" i="48"/>
  <c r="AD62" i="48"/>
  <c r="AI61" i="48"/>
  <c r="AD37" i="48"/>
  <c r="AA14" i="48"/>
  <c r="AC89" i="48"/>
  <c r="AF89" i="48"/>
  <c r="AF104" i="48"/>
  <c r="AC59" i="48"/>
  <c r="AH40" i="48"/>
  <c r="AF40" i="48"/>
  <c r="AC104" i="48"/>
  <c r="Y27" i="48"/>
  <c r="AD104" i="48"/>
  <c r="Z19" i="48"/>
  <c r="AA19" i="48"/>
  <c r="Z33" i="48"/>
  <c r="AB48" i="48"/>
  <c r="AB14" i="48"/>
  <c r="Z14" i="48"/>
  <c r="Y22" i="48"/>
  <c r="AH27" i="48"/>
  <c r="Y21" i="48"/>
  <c r="Y81" i="48"/>
  <c r="Z81" i="48"/>
  <c r="Y40" i="48"/>
  <c r="AI37" i="48"/>
  <c r="AF65" i="48"/>
  <c r="AJ65" i="48"/>
  <c r="AM65" i="48"/>
  <c r="AH65" i="48"/>
  <c r="Z65" i="48"/>
  <c r="AG99" i="48"/>
  <c r="AB72" i="48"/>
  <c r="AH39" i="48"/>
  <c r="AA107" i="48"/>
  <c r="AC99" i="48"/>
  <c r="AI99" i="48"/>
  <c r="Y99" i="48"/>
  <c r="AI39" i="48"/>
  <c r="AA99" i="48"/>
  <c r="AB39" i="48"/>
  <c r="AB90" i="48"/>
  <c r="AH104" i="48"/>
  <c r="AB62" i="48"/>
  <c r="AC37" i="48"/>
  <c r="AG81" i="48"/>
  <c r="AC81" i="48"/>
  <c r="AF22" i="48"/>
  <c r="AC41" i="48"/>
  <c r="AG25" i="48"/>
  <c r="AF81" i="48"/>
  <c r="AB60" i="48"/>
  <c r="Y70" i="48"/>
  <c r="Y47" i="48"/>
  <c r="AD68" i="48"/>
  <c r="AC70" i="48"/>
  <c r="AH13" i="48"/>
  <c r="AA106" i="48"/>
  <c r="AC106" i="48"/>
  <c r="AH70" i="48"/>
  <c r="AI95" i="48"/>
  <c r="AG84" i="48"/>
  <c r="AF84" i="48"/>
  <c r="AI84" i="48"/>
  <c r="AA95" i="48"/>
  <c r="AC90" i="48"/>
  <c r="AI13" i="48"/>
  <c r="AH95" i="48"/>
  <c r="AH90" i="48"/>
  <c r="AD59" i="48"/>
  <c r="AF70" i="48"/>
  <c r="AI25" i="48"/>
  <c r="AB102" i="48"/>
  <c r="AI102" i="48"/>
  <c r="AA102" i="48"/>
  <c r="AC102" i="48"/>
  <c r="AA33" i="48"/>
  <c r="AC95" i="48"/>
  <c r="AG37" i="48"/>
  <c r="AF55" i="48"/>
  <c r="AG95" i="48"/>
  <c r="AG102" i="48"/>
  <c r="AH81" i="48"/>
  <c r="AG55" i="48"/>
  <c r="AA104" i="48"/>
  <c r="AA28" i="48"/>
  <c r="AF33" i="48"/>
  <c r="AA94" i="48"/>
  <c r="AI17" i="48"/>
  <c r="AG70" i="48"/>
  <c r="AF86" i="48"/>
  <c r="AB106" i="48"/>
  <c r="AH102" i="48"/>
  <c r="AB84" i="48"/>
  <c r="AF102" i="48"/>
  <c r="Y102" i="48"/>
  <c r="Y37" i="48"/>
  <c r="AB27" i="48"/>
  <c r="Y38" i="48"/>
  <c r="AD95" i="48"/>
  <c r="AD84" i="48"/>
  <c r="AF95" i="48"/>
  <c r="Z102" i="48"/>
  <c r="AA37" i="48"/>
  <c r="AC27" i="48"/>
  <c r="AA38" i="48"/>
  <c r="AH84" i="48"/>
  <c r="AA90" i="48"/>
  <c r="AI90" i="48"/>
  <c r="AI104" i="48"/>
  <c r="AB25" i="48"/>
  <c r="AB38" i="48"/>
  <c r="Y104" i="48"/>
  <c r="AB66" i="48"/>
  <c r="AC25" i="48"/>
  <c r="AC38" i="48"/>
  <c r="AA89" i="48"/>
  <c r="Z52" i="48"/>
  <c r="AI66" i="48"/>
  <c r="AF76" i="48"/>
  <c r="AF44" i="48"/>
  <c r="AA44" i="48"/>
  <c r="Y105" i="48"/>
  <c r="AI70" i="48"/>
  <c r="AF25" i="48"/>
  <c r="AG38" i="48"/>
  <c r="AH105" i="48"/>
  <c r="AF45" i="48"/>
  <c r="Y23" i="48"/>
  <c r="AI38" i="48"/>
  <c r="AG68" i="48"/>
  <c r="Y35" i="48"/>
  <c r="Y52" i="48"/>
  <c r="Y86" i="48"/>
  <c r="AA58" i="48"/>
  <c r="AG45" i="48"/>
  <c r="AH45" i="48"/>
  <c r="Y66" i="48"/>
  <c r="AG97" i="48"/>
  <c r="AH97" i="48"/>
  <c r="Z66" i="48"/>
  <c r="AA86" i="48"/>
  <c r="Z86" i="48"/>
  <c r="AA66" i="48"/>
  <c r="AC86" i="48"/>
  <c r="AC66" i="48"/>
  <c r="AH86" i="48"/>
  <c r="AB68" i="48"/>
  <c r="AD66" i="48"/>
  <c r="AI86" i="48"/>
  <c r="AB23" i="48"/>
  <c r="AC68" i="48"/>
  <c r="AG66" i="48"/>
  <c r="AD23" i="48"/>
  <c r="AF32" i="48"/>
  <c r="Y101" i="48"/>
  <c r="AF90" i="48"/>
  <c r="AI52" i="48"/>
  <c r="Z37" i="48"/>
  <c r="Z32" i="48"/>
  <c r="AF46" i="48"/>
  <c r="AD106" i="48"/>
  <c r="Z106" i="48"/>
  <c r="Z44" i="48"/>
  <c r="Z68" i="48"/>
  <c r="Y89" i="48"/>
  <c r="AF53" i="48"/>
  <c r="AB31" i="48"/>
  <c r="Z105" i="48"/>
  <c r="AH76" i="48"/>
  <c r="Z62" i="48"/>
  <c r="AA105" i="48"/>
  <c r="Z101" i="48"/>
  <c r="Z73" i="48"/>
  <c r="AB40" i="48"/>
  <c r="AG35" i="48"/>
  <c r="AG76" i="48"/>
  <c r="AC92" i="48"/>
  <c r="Y51" i="48"/>
  <c r="AA62" i="48"/>
  <c r="AB105" i="48"/>
  <c r="AD101" i="48"/>
  <c r="AD73" i="48"/>
  <c r="AB18" i="48"/>
  <c r="AI30" i="48"/>
  <c r="AC35" i="48"/>
  <c r="AC44" i="48"/>
  <c r="AF92" i="48"/>
  <c r="Z51" i="48"/>
  <c r="AC105" i="48"/>
  <c r="AG101" i="48"/>
  <c r="AF73" i="48"/>
  <c r="Z18" i="48"/>
  <c r="AA30" i="48"/>
  <c r="AI35" i="48"/>
  <c r="AF17" i="48"/>
  <c r="AG92" i="48"/>
  <c r="AB30" i="48"/>
  <c r="AC48" i="48"/>
  <c r="AF105" i="48"/>
  <c r="AI107" i="48"/>
  <c r="Z23" i="48"/>
  <c r="AA32" i="48"/>
  <c r="AD105" i="48"/>
  <c r="AD48" i="48"/>
  <c r="AB44" i="48"/>
  <c r="AG105" i="48"/>
  <c r="AH66" i="48"/>
  <c r="AB86" i="48"/>
  <c r="Z97" i="48"/>
  <c r="AG22" i="48"/>
  <c r="AA23" i="48"/>
  <c r="AB32" i="48"/>
  <c r="AG44" i="48"/>
  <c r="AB46" i="48"/>
  <c r="AH44" i="48"/>
  <c r="AI97" i="48"/>
  <c r="AH24" i="48"/>
  <c r="AI23" i="48"/>
  <c r="AI44" i="48"/>
  <c r="AB50" i="48"/>
  <c r="AH26" i="48"/>
  <c r="AG46" i="48"/>
  <c r="AI106" i="48"/>
  <c r="Y44" i="48"/>
  <c r="Z70" i="48"/>
  <c r="AG89" i="48"/>
  <c r="AF78" i="48"/>
  <c r="AA48" i="48"/>
  <c r="Z27" i="48"/>
  <c r="Z38" i="48"/>
  <c r="AD29" i="48"/>
  <c r="AA73" i="48"/>
  <c r="AF41" i="48"/>
  <c r="AD22" i="48"/>
  <c r="AH73" i="48"/>
  <c r="AH78" i="48"/>
  <c r="AB73" i="48"/>
  <c r="AA43" i="48"/>
  <c r="AC47" i="48"/>
  <c r="AC73" i="48"/>
  <c r="Z22" i="48"/>
  <c r="AF50" i="48"/>
  <c r="AG74" i="48"/>
  <c r="AA101" i="48"/>
  <c r="AD96" i="48"/>
  <c r="Z103" i="48"/>
  <c r="AA69" i="48"/>
  <c r="Z69" i="48"/>
  <c r="AC51" i="48"/>
  <c r="AB101" i="48"/>
  <c r="AC96" i="48"/>
  <c r="AH16" i="48"/>
  <c r="AA103" i="48"/>
  <c r="AI63" i="48"/>
  <c r="AC101" i="48"/>
  <c r="Y16" i="48"/>
  <c r="AF20" i="48"/>
  <c r="AG96" i="48"/>
  <c r="AD60" i="48"/>
  <c r="AF101" i="48"/>
  <c r="Z20" i="48"/>
  <c r="AD82" i="48"/>
  <c r="AI69" i="48"/>
  <c r="AA78" i="48"/>
  <c r="AI60" i="48"/>
  <c r="AG69" i="48"/>
  <c r="Y41" i="48"/>
  <c r="AG52" i="48"/>
  <c r="Y60" i="48"/>
  <c r="AI101" i="48"/>
  <c r="AB78" i="48"/>
  <c r="AA25" i="48"/>
  <c r="AB17" i="48"/>
  <c r="AA29" i="48"/>
  <c r="AI73" i="48"/>
  <c r="AH60" i="48"/>
  <c r="AH69" i="48"/>
  <c r="AH41" i="48"/>
  <c r="AI46" i="48"/>
  <c r="Z41" i="48"/>
  <c r="AH52" i="48"/>
  <c r="Z60" i="48"/>
  <c r="Y73" i="48"/>
  <c r="AD78" i="48"/>
  <c r="AI22" i="48"/>
  <c r="AF29" i="48"/>
  <c r="AA46" i="48"/>
  <c r="AD89" i="48"/>
  <c r="Z94" i="48"/>
  <c r="AI48" i="48"/>
  <c r="Z28" i="48"/>
  <c r="AF107" i="48"/>
  <c r="AC26" i="48"/>
  <c r="AG17" i="48"/>
  <c r="AI40" i="48"/>
  <c r="AI20" i="48"/>
  <c r="AB11" i="48"/>
  <c r="AB69" i="48"/>
  <c r="AB34" i="48"/>
  <c r="Y45" i="48"/>
  <c r="AA97" i="48"/>
  <c r="AC14" i="48"/>
  <c r="AF18" i="48"/>
  <c r="Y15" i="48"/>
  <c r="AC30" i="48"/>
  <c r="AC34" i="48"/>
  <c r="AC69" i="48"/>
  <c r="AH92" i="48"/>
  <c r="AA76" i="48"/>
  <c r="AC72" i="48"/>
  <c r="AI89" i="48"/>
  <c r="AC94" i="48"/>
  <c r="AA45" i="48"/>
  <c r="AB97" i="48"/>
  <c r="AF14" i="48"/>
  <c r="AG18" i="48"/>
  <c r="Z15" i="48"/>
  <c r="AD30" i="48"/>
  <c r="AD36" i="48"/>
  <c r="AB76" i="48"/>
  <c r="AD71" i="48"/>
  <c r="AB45" i="48"/>
  <c r="Y74" i="48"/>
  <c r="AC97" i="48"/>
  <c r="AG14" i="48"/>
  <c r="AH18" i="48"/>
  <c r="AA15" i="48"/>
  <c r="AF30" i="48"/>
  <c r="AG36" i="48"/>
  <c r="AI80" i="48"/>
  <c r="AD97" i="48"/>
  <c r="AD18" i="48"/>
  <c r="AF15" i="48"/>
  <c r="AG30" i="48"/>
  <c r="AH36" i="48"/>
  <c r="AC76" i="48"/>
  <c r="AH71" i="48"/>
  <c r="AC45" i="48"/>
  <c r="Y97" i="48"/>
  <c r="AD76" i="48"/>
  <c r="AC71" i="48"/>
  <c r="AG72" i="48"/>
  <c r="AH89" i="48"/>
  <c r="Z55" i="48"/>
  <c r="AF71" i="48"/>
  <c r="AD45" i="48"/>
  <c r="Y90" i="48"/>
  <c r="AD14" i="48"/>
  <c r="AI18" i="48"/>
  <c r="AF24" i="48"/>
  <c r="Z25" i="48"/>
  <c r="Y19" i="48"/>
  <c r="AB42" i="48"/>
  <c r="AC42" i="48"/>
  <c r="AD42" i="48"/>
  <c r="AI26" i="48"/>
  <c r="AA18" i="48"/>
  <c r="AD19" i="48"/>
  <c r="Y69" i="48"/>
  <c r="AH46" i="48"/>
  <c r="AA51" i="48"/>
  <c r="AH106" i="48"/>
  <c r="AI55" i="48"/>
  <c r="Z89" i="48"/>
  <c r="AI45" i="48"/>
  <c r="AD86" i="48"/>
  <c r="AF56" i="48"/>
  <c r="AB16" i="48"/>
  <c r="Y107" i="48"/>
  <c r="AF26" i="48"/>
  <c r="AD25" i="48"/>
  <c r="AI19" i="48"/>
  <c r="AA40" i="48"/>
  <c r="AB33" i="48"/>
  <c r="Y26" i="48"/>
  <c r="Y17" i="48"/>
  <c r="Y46" i="48"/>
  <c r="AI51" i="48"/>
  <c r="AB89" i="48"/>
  <c r="AB94" i="48"/>
  <c r="AB37" i="48"/>
  <c r="AG48" i="48"/>
  <c r="Z16" i="48"/>
  <c r="AC107" i="48"/>
  <c r="AA26" i="48"/>
  <c r="AH25" i="48"/>
  <c r="Z17" i="48"/>
  <c r="AC40" i="48"/>
  <c r="Z11" i="48"/>
  <c r="AA31" i="48"/>
  <c r="AD69" i="48"/>
  <c r="AI91" i="48"/>
  <c r="AG94" i="48"/>
  <c r="AH48" i="48"/>
  <c r="Y28" i="48"/>
  <c r="AD107" i="48"/>
  <c r="AB26" i="48"/>
  <c r="AA17" i="48"/>
  <c r="AG40" i="48"/>
  <c r="AH20" i="48"/>
  <c r="AI11" i="48"/>
  <c r="Y71" i="48"/>
  <c r="AG58" i="48"/>
  <c r="AD50" i="48"/>
  <c r="AB71" i="48"/>
  <c r="AB54" i="48"/>
  <c r="AC82" i="48"/>
  <c r="AC55" i="48"/>
  <c r="AG63" i="48"/>
  <c r="Z58" i="48"/>
  <c r="AB96" i="48"/>
  <c r="Y94" i="48"/>
  <c r="AA56" i="48"/>
  <c r="AH28" i="48"/>
  <c r="Y103" i="48"/>
  <c r="AF23" i="48"/>
  <c r="AH19" i="48"/>
  <c r="Z42" i="48"/>
  <c r="AF13" i="48"/>
  <c r="Y11" i="48"/>
  <c r="AA36" i="48"/>
  <c r="AA63" i="48"/>
  <c r="AB103" i="48"/>
  <c r="AI54" i="48"/>
  <c r="AH82" i="48"/>
  <c r="AC56" i="48"/>
  <c r="AH55" i="48"/>
  <c r="AG50" i="48"/>
  <c r="Y91" i="48"/>
  <c r="Y53" i="48"/>
  <c r="AB28" i="48"/>
  <c r="AI24" i="48"/>
  <c r="AC103" i="48"/>
  <c r="AA21" i="48"/>
  <c r="AF42" i="48"/>
  <c r="AC11" i="48"/>
  <c r="AI36" i="48"/>
  <c r="AI82" i="48"/>
  <c r="AA80" i="48"/>
  <c r="AH50" i="48"/>
  <c r="AA91" i="48"/>
  <c r="Z53" i="48"/>
  <c r="AC28" i="48"/>
  <c r="AA24" i="48"/>
  <c r="AD103" i="48"/>
  <c r="AC21" i="48"/>
  <c r="AG42" i="48"/>
  <c r="AD11" i="48"/>
  <c r="AD12" i="48"/>
  <c r="AD46" i="48"/>
  <c r="AC46" i="48"/>
  <c r="AC50" i="48"/>
  <c r="AF96" i="48"/>
  <c r="Y68" i="48"/>
  <c r="AC80" i="48"/>
  <c r="AI50" i="48"/>
  <c r="AB91" i="48"/>
  <c r="AA53" i="48"/>
  <c r="Y59" i="48"/>
  <c r="AD28" i="48"/>
  <c r="AB24" i="48"/>
  <c r="AF103" i="48"/>
  <c r="AD21" i="48"/>
  <c r="AH42" i="48"/>
  <c r="Y9" i="48"/>
  <c r="AF11" i="48"/>
  <c r="AG12" i="48"/>
  <c r="AF82" i="48"/>
  <c r="Y80" i="48"/>
  <c r="Z54" i="48"/>
  <c r="AD94" i="48"/>
  <c r="Y50" i="48"/>
  <c r="AC91" i="48"/>
  <c r="AB53" i="48"/>
  <c r="Z59" i="48"/>
  <c r="AF16" i="48"/>
  <c r="AF28" i="48"/>
  <c r="AC24" i="48"/>
  <c r="AG103" i="48"/>
  <c r="AF21" i="48"/>
  <c r="AB9" i="48"/>
  <c r="AB35" i="48"/>
  <c r="AG11" i="48"/>
  <c r="AH12" i="48"/>
  <c r="AG82" i="48"/>
  <c r="AD80" i="48"/>
  <c r="AI72" i="48"/>
  <c r="Y62" i="48"/>
  <c r="AG67" i="48"/>
  <c r="AA68" i="48"/>
  <c r="AF80" i="48"/>
  <c r="Z50" i="48"/>
  <c r="AG91" i="48"/>
  <c r="AC53" i="48"/>
  <c r="AA59" i="48"/>
  <c r="AG16" i="48"/>
  <c r="Y34" i="48"/>
  <c r="AD24" i="48"/>
  <c r="AH103" i="48"/>
  <c r="AI21" i="48"/>
  <c r="AD9" i="48"/>
  <c r="AG20" i="48"/>
  <c r="AD35" i="48"/>
  <c r="AH11" i="48"/>
  <c r="AA12" i="48"/>
  <c r="AI67" i="48"/>
  <c r="AD53" i="48"/>
  <c r="AB56" i="48"/>
  <c r="AB59" i="48"/>
  <c r="AA34" i="48"/>
  <c r="AC9" i="48"/>
  <c r="Z12" i="48"/>
  <c r="AF9" i="48"/>
  <c r="AG9" i="48"/>
  <c r="Y67" i="48"/>
  <c r="AG56" i="48"/>
  <c r="AI71" i="48"/>
  <c r="AB51" i="48"/>
  <c r="AC62" i="48"/>
  <c r="Y55" i="48"/>
  <c r="AF68" i="48"/>
  <c r="AB63" i="48"/>
  <c r="AI96" i="48"/>
  <c r="AF94" i="48"/>
  <c r="AH53" i="48"/>
  <c r="Y82" i="48"/>
  <c r="AH56" i="48"/>
  <c r="AF59" i="48"/>
  <c r="AC16" i="48"/>
  <c r="AG34" i="48"/>
  <c r="AC23" i="48"/>
  <c r="AC19" i="48"/>
  <c r="AC15" i="48"/>
  <c r="Z9" i="48"/>
  <c r="Y20" i="48"/>
  <c r="AA35" i="48"/>
  <c r="AH96" i="48"/>
  <c r="AI53" i="48"/>
  <c r="AI56" i="48"/>
  <c r="Z67" i="48"/>
  <c r="AG59" i="48"/>
  <c r="AI34" i="48"/>
  <c r="Y13" i="48"/>
  <c r="Z71" i="48"/>
  <c r="AF51" i="48"/>
  <c r="AA55" i="48"/>
  <c r="AH68" i="48"/>
  <c r="AD63" i="48"/>
  <c r="AI58" i="48"/>
  <c r="Z96" i="48"/>
  <c r="AH94" i="48"/>
  <c r="Y56" i="48"/>
  <c r="AH59" i="48"/>
  <c r="AI28" i="48"/>
  <c r="AG23" i="48"/>
  <c r="AF19" i="48"/>
  <c r="AG15" i="48"/>
  <c r="AH30" i="48"/>
  <c r="AB13" i="48"/>
  <c r="AA20" i="48"/>
  <c r="Z35" i="48"/>
  <c r="Y36" i="48"/>
  <c r="Y63" i="48"/>
  <c r="AC63" i="48"/>
  <c r="Y96" i="48"/>
  <c r="AD67" i="48"/>
  <c r="AD58" i="48"/>
  <c r="AA71" i="48"/>
  <c r="AC58" i="48"/>
  <c r="AH51" i="48"/>
  <c r="AA82" i="48"/>
  <c r="AD56" i="48"/>
  <c r="AF63" i="48"/>
  <c r="Y58" i="48"/>
  <c r="AC78" i="48"/>
  <c r="AF27" i="48"/>
  <c r="AG19" i="48"/>
  <c r="AH15" i="48"/>
  <c r="Y30" i="48"/>
  <c r="AC13" i="48"/>
  <c r="AB20" i="48"/>
  <c r="Z36" i="48"/>
  <c r="AF106" i="48"/>
  <c r="AG106" i="48"/>
  <c r="AF43" i="48"/>
  <c r="AI98" i="48"/>
  <c r="AD92" i="48"/>
  <c r="AD47" i="48"/>
  <c r="AG51" i="48"/>
  <c r="AG90" i="48"/>
  <c r="AF74" i="48"/>
  <c r="AI41" i="48"/>
  <c r="AH67" i="48"/>
  <c r="AB80" i="48"/>
  <c r="AD39" i="48"/>
  <c r="AB104" i="48"/>
  <c r="Z91" i="48"/>
  <c r="AI78" i="48"/>
  <c r="AF48" i="48"/>
  <c r="AD16" i="48"/>
  <c r="Z34" i="48"/>
  <c r="Y18" i="48"/>
  <c r="AB107" i="48"/>
  <c r="AC22" i="48"/>
  <c r="Z26" i="48"/>
  <c r="AA27" i="48"/>
  <c r="AB21" i="48"/>
  <c r="AD15" i="48"/>
  <c r="Z40" i="48"/>
  <c r="Z13" i="48"/>
  <c r="AH38" i="48"/>
  <c r="AF36" i="48"/>
  <c r="AC29" i="48"/>
  <c r="Z76" i="48"/>
  <c r="Y76" i="48"/>
  <c r="AF60" i="48"/>
  <c r="AG60" i="48"/>
  <c r="AH74" i="48"/>
  <c r="AI74" i="48"/>
  <c r="AA10" i="48"/>
  <c r="AI92" i="48"/>
  <c r="AG80" i="48"/>
  <c r="AA70" i="48"/>
  <c r="AB58" i="48"/>
  <c r="AD91" i="48"/>
  <c r="Y48" i="48"/>
  <c r="AH14" i="48"/>
  <c r="AA16" i="48"/>
  <c r="AD34" i="48"/>
  <c r="AC10" i="48"/>
  <c r="AG107" i="48"/>
  <c r="Y24" i="48"/>
  <c r="AD26" i="48"/>
  <c r="AD27" i="48"/>
  <c r="AG21" i="48"/>
  <c r="AC17" i="48"/>
  <c r="AI15" i="48"/>
  <c r="AD40" i="48"/>
  <c r="AD13" i="48"/>
  <c r="AC12" i="48"/>
  <c r="AG29" i="48"/>
  <c r="AA81" i="48"/>
  <c r="Y95" i="48"/>
  <c r="AI47" i="48"/>
  <c r="AA41" i="48"/>
  <c r="AA67" i="48"/>
  <c r="Z39" i="48"/>
  <c r="AA84" i="48"/>
  <c r="AB81" i="48"/>
  <c r="Z95" i="48"/>
  <c r="Z78" i="48"/>
  <c r="AB82" i="48"/>
  <c r="AB41" i="48"/>
  <c r="AB67" i="48"/>
  <c r="AH80" i="48"/>
  <c r="AA39" i="48"/>
  <c r="AB70" i="48"/>
  <c r="AF58" i="48"/>
  <c r="AF91" i="48"/>
  <c r="AI14" i="48"/>
  <c r="AF34" i="48"/>
  <c r="AD10" i="48"/>
  <c r="AH107" i="48"/>
  <c r="Z24" i="48"/>
  <c r="AG27" i="48"/>
  <c r="AH21" i="48"/>
  <c r="AD17" i="48"/>
  <c r="Y42" i="48"/>
  <c r="AI9" i="48"/>
  <c r="AG13" i="48"/>
  <c r="AC20" i="48"/>
  <c r="AB12" i="48"/>
  <c r="AI29" i="48"/>
  <c r="AI62" i="48"/>
  <c r="AH62" i="48"/>
  <c r="Z29" i="48"/>
  <c r="AC54" i="48"/>
  <c r="AD54" i="48"/>
  <c r="AI83" i="48"/>
  <c r="AF10" i="48"/>
  <c r="AD81" i="48"/>
  <c r="AC39" i="48"/>
  <c r="AG83" i="48"/>
  <c r="AG10" i="48"/>
  <c r="AH22" i="48"/>
  <c r="AA42" i="48"/>
  <c r="AA9" i="48"/>
  <c r="AF12" i="48"/>
  <c r="AH29" i="48"/>
  <c r="AH10" i="48"/>
  <c r="AF31" i="48"/>
  <c r="AB92" i="48"/>
  <c r="AA92" i="48"/>
  <c r="Z43" i="48"/>
  <c r="Y83" i="48"/>
  <c r="Z10" i="48"/>
  <c r="AI31" i="48"/>
  <c r="Z83" i="48"/>
  <c r="AB10" i="48"/>
  <c r="AD52" i="48"/>
  <c r="AC52" i="48"/>
  <c r="AA83" i="48"/>
  <c r="Z98" i="48"/>
  <c r="AI10" i="48"/>
  <c r="AB83" i="48"/>
  <c r="AA98" i="48"/>
  <c r="Z84" i="48"/>
  <c r="Y84" i="48"/>
  <c r="AF99" i="48"/>
  <c r="AD99" i="48"/>
  <c r="AB43" i="48"/>
  <c r="AH83" i="48"/>
  <c r="AB74" i="48"/>
  <c r="AA22" i="48"/>
  <c r="AC83" i="48"/>
  <c r="AB98" i="48"/>
  <c r="AD38" i="48"/>
  <c r="AB36" i="48"/>
  <c r="AH99" i="48"/>
  <c r="AF39" i="48"/>
  <c r="Z92" i="48"/>
  <c r="Y54" i="48"/>
  <c r="AD90" i="48"/>
  <c r="AC74" i="48"/>
  <c r="AD41" i="48"/>
  <c r="AA52" i="48"/>
  <c r="AA60" i="48"/>
  <c r="AC67" i="48"/>
  <c r="AH63" i="48"/>
  <c r="AD83" i="48"/>
  <c r="AG78" i="48"/>
  <c r="AA74" i="48"/>
  <c r="AD74" i="48"/>
  <c r="AN121" i="48"/>
  <c r="AM152" i="48"/>
  <c r="AI57" i="48"/>
  <c r="AH57" i="48"/>
  <c r="AG57" i="48"/>
  <c r="AF57" i="48"/>
  <c r="AD57" i="48"/>
  <c r="AC57" i="48"/>
  <c r="AB57" i="48"/>
  <c r="AA57" i="48"/>
  <c r="Z57" i="48"/>
  <c r="Y57" i="48"/>
  <c r="AF77" i="48"/>
  <c r="AD77" i="48"/>
  <c r="AC77" i="48"/>
  <c r="AB77" i="48"/>
  <c r="AA77" i="48"/>
  <c r="Z77" i="48"/>
  <c r="Y77" i="48"/>
  <c r="AG77" i="48"/>
  <c r="AI77" i="48"/>
  <c r="AH77" i="48"/>
  <c r="AI49" i="48"/>
  <c r="AH49" i="48"/>
  <c r="AG49" i="48"/>
  <c r="AF49" i="48"/>
  <c r="AD49" i="48"/>
  <c r="AC49" i="48"/>
  <c r="AB49" i="48"/>
  <c r="AA49" i="48"/>
  <c r="Z49" i="48"/>
  <c r="Y49" i="48"/>
  <c r="AF87" i="48"/>
  <c r="AD87" i="48"/>
  <c r="AC87" i="48"/>
  <c r="AB87" i="48"/>
  <c r="AA87" i="48"/>
  <c r="Z87" i="48"/>
  <c r="Y87" i="48"/>
  <c r="AG87" i="48"/>
  <c r="AI87" i="48"/>
  <c r="AH87" i="48"/>
  <c r="AI88" i="48"/>
  <c r="AH88" i="48"/>
  <c r="AG88" i="48"/>
  <c r="AD88" i="48"/>
  <c r="AC88" i="48"/>
  <c r="AB88" i="48"/>
  <c r="AA88" i="48"/>
  <c r="Y88" i="48"/>
  <c r="Z88" i="48"/>
  <c r="AF79" i="48"/>
  <c r="AD79" i="48"/>
  <c r="AC79" i="48"/>
  <c r="AB79" i="48"/>
  <c r="AA79" i="48"/>
  <c r="Z79" i="48"/>
  <c r="Y79" i="48"/>
  <c r="AG79" i="48"/>
  <c r="AI79" i="48"/>
  <c r="AH79" i="48"/>
  <c r="AJ125" i="48"/>
  <c r="AN125" i="48"/>
  <c r="X108" i="48"/>
  <c r="X109" i="48"/>
  <c r="X112" i="48"/>
  <c r="AF85" i="48"/>
  <c r="AD85" i="48"/>
  <c r="AC85" i="48"/>
  <c r="AB85" i="48"/>
  <c r="AA85" i="48"/>
  <c r="Z85" i="48"/>
  <c r="Y85" i="48"/>
  <c r="AG85" i="48"/>
  <c r="AI85" i="48"/>
  <c r="AH85" i="48"/>
  <c r="AH128" i="48"/>
  <c r="AH137" i="48"/>
  <c r="AH140" i="48"/>
  <c r="AK119" i="48"/>
  <c r="AJ119" i="48"/>
  <c r="AI119" i="48"/>
  <c r="AJ127" i="48"/>
  <c r="AH64" i="48"/>
  <c r="AG64" i="48"/>
  <c r="AF64" i="48"/>
  <c r="AD64" i="48"/>
  <c r="AC64" i="48"/>
  <c r="AB64" i="48"/>
  <c r="AA64" i="48"/>
  <c r="Z64" i="48"/>
  <c r="Y64" i="48"/>
  <c r="AI64" i="48"/>
  <c r="AH136" i="48"/>
  <c r="AL130" i="48"/>
  <c r="AM130" i="48"/>
  <c r="AI130" i="48"/>
  <c r="AI136" i="48"/>
  <c r="AF75" i="48"/>
  <c r="AD75" i="48"/>
  <c r="AC75" i="48"/>
  <c r="AB75" i="48"/>
  <c r="AA75" i="48"/>
  <c r="Z75" i="48"/>
  <c r="Y75" i="48"/>
  <c r="AG75" i="48"/>
  <c r="AI75" i="48"/>
  <c r="AH75" i="48"/>
  <c r="AI93" i="48"/>
  <c r="AH93" i="48"/>
  <c r="AG93" i="48"/>
  <c r="AF93" i="48"/>
  <c r="AD93" i="48"/>
  <c r="AC93" i="48"/>
  <c r="AB93" i="48"/>
  <c r="AA93" i="48"/>
  <c r="Z93" i="48"/>
  <c r="Y93" i="48"/>
  <c r="AJ124" i="48"/>
  <c r="AN124" i="48"/>
  <c r="AM151" i="48"/>
  <c r="AN120" i="48"/>
  <c r="AN151" i="48"/>
  <c r="AN132" i="48"/>
  <c r="AM127" i="48"/>
  <c r="AJ133" i="48"/>
  <c r="AN133" i="48"/>
  <c r="AJ126" i="48"/>
  <c r="AN126" i="48"/>
  <c r="AM132" i="48"/>
  <c r="AJ102" i="48"/>
  <c r="AM102" i="48"/>
  <c r="AJ37" i="48"/>
  <c r="AM37" i="48"/>
  <c r="AJ104" i="48"/>
  <c r="AM104" i="48"/>
  <c r="AJ72" i="48"/>
  <c r="AK72" i="48"/>
  <c r="AL72" i="48"/>
  <c r="AJ44" i="48"/>
  <c r="AM44" i="48"/>
  <c r="AJ66" i="48"/>
  <c r="AK66" i="48"/>
  <c r="AM61" i="48"/>
  <c r="AJ86" i="48"/>
  <c r="AK86" i="48"/>
  <c r="AL86" i="48"/>
  <c r="AM86" i="48"/>
  <c r="AN86" i="48"/>
  <c r="AJ105" i="48"/>
  <c r="AK105" i="48"/>
  <c r="AL105" i="48"/>
  <c r="AJ47" i="48"/>
  <c r="AM47" i="48"/>
  <c r="AJ45" i="48"/>
  <c r="AK45" i="48"/>
  <c r="AL45" i="48"/>
  <c r="AJ101" i="48"/>
  <c r="AK101" i="48"/>
  <c r="AL101" i="48"/>
  <c r="AM101" i="48"/>
  <c r="AN101" i="48"/>
  <c r="AJ106" i="48"/>
  <c r="AK106" i="48"/>
  <c r="AL106" i="48"/>
  <c r="AJ53" i="48"/>
  <c r="AM53" i="48"/>
  <c r="AJ59" i="48"/>
  <c r="AM59" i="48"/>
  <c r="AJ73" i="48"/>
  <c r="AK73" i="48"/>
  <c r="AL73" i="48"/>
  <c r="AJ25" i="48"/>
  <c r="AK25" i="48"/>
  <c r="AL25" i="48"/>
  <c r="AM25" i="48"/>
  <c r="AN25" i="48"/>
  <c r="AJ30" i="48"/>
  <c r="AK30" i="48"/>
  <c r="AL30" i="48"/>
  <c r="AM30" i="48"/>
  <c r="AN30" i="48"/>
  <c r="AJ96" i="48"/>
  <c r="AK96" i="48"/>
  <c r="AL96" i="48"/>
  <c r="AM96" i="48"/>
  <c r="AN96" i="48"/>
  <c r="AJ15" i="48"/>
  <c r="AK15" i="48"/>
  <c r="AL15" i="48"/>
  <c r="AJ36" i="48"/>
  <c r="AM36" i="48"/>
  <c r="AJ19" i="48"/>
  <c r="AK19" i="48"/>
  <c r="AL19" i="48"/>
  <c r="AM19" i="48"/>
  <c r="AN19" i="48"/>
  <c r="AJ11" i="48"/>
  <c r="AK11" i="48"/>
  <c r="AL11" i="48"/>
  <c r="AM11" i="48"/>
  <c r="AN11" i="48"/>
  <c r="AJ35" i="48"/>
  <c r="AK35" i="48"/>
  <c r="AL35" i="48"/>
  <c r="AJ51" i="48"/>
  <c r="AM51" i="48"/>
  <c r="AJ17" i="48"/>
  <c r="AK17" i="48"/>
  <c r="AL17" i="48"/>
  <c r="AM17" i="48"/>
  <c r="AN17" i="48"/>
  <c r="AJ46" i="48"/>
  <c r="AM46" i="48"/>
  <c r="AJ97" i="48"/>
  <c r="AK97" i="48"/>
  <c r="AL97" i="48"/>
  <c r="AM97" i="48"/>
  <c r="AN97" i="48"/>
  <c r="AJ94" i="48"/>
  <c r="AK94" i="48"/>
  <c r="AL94" i="48"/>
  <c r="AM94" i="48"/>
  <c r="AN94" i="48"/>
  <c r="AJ89" i="48"/>
  <c r="AK89" i="48"/>
  <c r="AL89" i="48"/>
  <c r="AM89" i="48"/>
  <c r="AN89" i="48"/>
  <c r="AJ38" i="48"/>
  <c r="AM38" i="48"/>
  <c r="AJ95" i="48"/>
  <c r="Z108" i="48"/>
  <c r="Z109" i="48"/>
  <c r="Z112" i="48"/>
  <c r="AJ34" i="48"/>
  <c r="AM34" i="48"/>
  <c r="AJ82" i="48"/>
  <c r="AK82" i="48"/>
  <c r="AL82" i="48"/>
  <c r="AM82" i="48"/>
  <c r="AN82" i="48"/>
  <c r="AJ21" i="48"/>
  <c r="AK21" i="48"/>
  <c r="AL21" i="48"/>
  <c r="AM21" i="48"/>
  <c r="AN21" i="48"/>
  <c r="AJ90" i="48"/>
  <c r="AK90" i="48"/>
  <c r="AL90" i="48"/>
  <c r="AM90" i="48"/>
  <c r="AN90" i="48"/>
  <c r="AJ12" i="48"/>
  <c r="AK12" i="48"/>
  <c r="AL12" i="48"/>
  <c r="AM12" i="48"/>
  <c r="AN12" i="48"/>
  <c r="AJ50" i="48"/>
  <c r="AM50" i="48"/>
  <c r="AJ69" i="48"/>
  <c r="AJ56" i="48"/>
  <c r="AM56" i="48"/>
  <c r="AJ9" i="48"/>
  <c r="AK9" i="48"/>
  <c r="AJ68" i="48"/>
  <c r="AK68" i="48"/>
  <c r="AL68" i="48"/>
  <c r="AJ26" i="48"/>
  <c r="AK26" i="48"/>
  <c r="AL26" i="48"/>
  <c r="AM26" i="48"/>
  <c r="AN26" i="48"/>
  <c r="AN61" i="48"/>
  <c r="AJ55" i="48"/>
  <c r="AJ14" i="48"/>
  <c r="AK14" i="48"/>
  <c r="AL14" i="48"/>
  <c r="AM14" i="48"/>
  <c r="AN14" i="48"/>
  <c r="AJ23" i="48"/>
  <c r="AK23" i="48"/>
  <c r="AL23" i="48"/>
  <c r="AJ22" i="48"/>
  <c r="AK22" i="48"/>
  <c r="AL22" i="48"/>
  <c r="AM22" i="48"/>
  <c r="AJ18" i="48"/>
  <c r="AK18" i="48"/>
  <c r="AL18" i="48"/>
  <c r="AM18" i="48"/>
  <c r="AN18" i="48"/>
  <c r="AJ28" i="48"/>
  <c r="AK28" i="48"/>
  <c r="AL28" i="48"/>
  <c r="AM28" i="48"/>
  <c r="AN28" i="48"/>
  <c r="AJ103" i="48"/>
  <c r="AK103" i="48"/>
  <c r="AL103" i="48"/>
  <c r="AJ63" i="48"/>
  <c r="AM63" i="48"/>
  <c r="AJ52" i="48"/>
  <c r="AJ76" i="48"/>
  <c r="AK76" i="48"/>
  <c r="AL76" i="48"/>
  <c r="AM76" i="48"/>
  <c r="AN76" i="48"/>
  <c r="AJ27" i="48"/>
  <c r="AK27" i="48"/>
  <c r="AL27" i="48"/>
  <c r="AM27" i="48"/>
  <c r="AJ13" i="48"/>
  <c r="AK13" i="48"/>
  <c r="AL13" i="48"/>
  <c r="AJ58" i="48"/>
  <c r="AM58" i="48"/>
  <c r="AM73" i="48"/>
  <c r="AJ54" i="48"/>
  <c r="AK54" i="48"/>
  <c r="AJ24" i="48"/>
  <c r="AK24" i="48"/>
  <c r="AL24" i="48"/>
  <c r="AM24" i="48"/>
  <c r="AN24" i="48"/>
  <c r="AJ70" i="48"/>
  <c r="AK70" i="48"/>
  <c r="AL70" i="48"/>
  <c r="AJ92" i="48"/>
  <c r="AK92" i="48"/>
  <c r="AL92" i="48"/>
  <c r="AM92" i="48"/>
  <c r="AN92" i="48"/>
  <c r="AJ99" i="48"/>
  <c r="AK99" i="48"/>
  <c r="AL99" i="48"/>
  <c r="AM99" i="48"/>
  <c r="AN99" i="48"/>
  <c r="AJ29" i="48"/>
  <c r="AK29" i="48"/>
  <c r="AL29" i="48"/>
  <c r="AM29" i="48"/>
  <c r="AN29" i="48"/>
  <c r="AJ40" i="48"/>
  <c r="AM40" i="48"/>
  <c r="AJ74" i="48"/>
  <c r="AK74" i="48"/>
  <c r="AL74" i="48"/>
  <c r="AM74" i="48"/>
  <c r="AN74" i="48"/>
  <c r="AJ78" i="48"/>
  <c r="AK78" i="48"/>
  <c r="AL78" i="48"/>
  <c r="AM78" i="48"/>
  <c r="AN78" i="48"/>
  <c r="AJ39" i="48"/>
  <c r="AK37" i="48"/>
  <c r="AL37" i="48"/>
  <c r="AN37" i="48"/>
  <c r="AJ10" i="48"/>
  <c r="AK10" i="48"/>
  <c r="AL10" i="48"/>
  <c r="AM10" i="48"/>
  <c r="AN10" i="48"/>
  <c r="AG108" i="48"/>
  <c r="AG109" i="48"/>
  <c r="AG112" i="48"/>
  <c r="AJ62" i="48"/>
  <c r="AK62" i="48"/>
  <c r="AL62" i="48"/>
  <c r="AJ64" i="48"/>
  <c r="AK64" i="48"/>
  <c r="AL64" i="48"/>
  <c r="AJ20" i="48"/>
  <c r="AK20" i="48"/>
  <c r="AL20" i="48"/>
  <c r="AM20" i="48"/>
  <c r="AN20" i="48"/>
  <c r="AJ107" i="48"/>
  <c r="AK107" i="48"/>
  <c r="AL107" i="48"/>
  <c r="AJ77" i="48"/>
  <c r="AK77" i="48"/>
  <c r="AL77" i="48"/>
  <c r="AJ67" i="48"/>
  <c r="AM67" i="48"/>
  <c r="AJ16" i="48"/>
  <c r="AK16" i="48"/>
  <c r="AL16" i="48"/>
  <c r="AJ60" i="48"/>
  <c r="AM60" i="48"/>
  <c r="AJ83" i="48"/>
  <c r="AK83" i="48"/>
  <c r="AL83" i="48"/>
  <c r="AM83" i="48"/>
  <c r="AN83" i="48"/>
  <c r="AJ80" i="48"/>
  <c r="AK80" i="48"/>
  <c r="AL80" i="48"/>
  <c r="AM80" i="48"/>
  <c r="AN80" i="48"/>
  <c r="AJ71" i="48"/>
  <c r="AK95" i="48"/>
  <c r="AL95" i="48"/>
  <c r="AM95" i="48"/>
  <c r="AN95" i="48"/>
  <c r="AK47" i="48"/>
  <c r="AL47" i="48"/>
  <c r="AB108" i="48"/>
  <c r="AB109" i="48"/>
  <c r="AB112" i="48"/>
  <c r="AC108" i="48"/>
  <c r="AC109" i="48"/>
  <c r="AC112" i="48"/>
  <c r="AF108" i="48"/>
  <c r="AF109" i="48"/>
  <c r="AF112" i="48"/>
  <c r="AJ79" i="48"/>
  <c r="AK79" i="48"/>
  <c r="AL79" i="48"/>
  <c r="AD108" i="48"/>
  <c r="AD109" i="48"/>
  <c r="AD112" i="48"/>
  <c r="AK65" i="48"/>
  <c r="AL65" i="48"/>
  <c r="AN65" i="48"/>
  <c r="AJ84" i="48"/>
  <c r="AK84" i="48"/>
  <c r="AL84" i="48"/>
  <c r="AM84" i="48"/>
  <c r="AN84" i="48"/>
  <c r="Y108" i="48"/>
  <c r="Y109" i="48"/>
  <c r="Y112" i="48"/>
  <c r="AI108" i="48"/>
  <c r="AI109" i="48"/>
  <c r="AI112" i="48"/>
  <c r="AJ41" i="48"/>
  <c r="AJ91" i="48"/>
  <c r="AL66" i="48"/>
  <c r="AH108" i="48"/>
  <c r="AH109" i="48"/>
  <c r="AH112" i="48"/>
  <c r="AM66" i="48"/>
  <c r="AA108" i="48"/>
  <c r="AA109" i="48"/>
  <c r="AA112" i="48"/>
  <c r="AJ81" i="48"/>
  <c r="AK81" i="48"/>
  <c r="AL81" i="48"/>
  <c r="AM81" i="48"/>
  <c r="AN81" i="48"/>
  <c r="AJ85" i="48"/>
  <c r="AK85" i="48"/>
  <c r="AL85" i="48"/>
  <c r="AJ93" i="48"/>
  <c r="AK93" i="48"/>
  <c r="AL93" i="48"/>
  <c r="AJ75" i="48"/>
  <c r="AK75" i="48"/>
  <c r="AL75" i="48"/>
  <c r="AJ42" i="48"/>
  <c r="AJ88" i="48"/>
  <c r="AJ87" i="48"/>
  <c r="AK87" i="48"/>
  <c r="AL87" i="48"/>
  <c r="AJ48" i="48"/>
  <c r="AJ128" i="48"/>
  <c r="AM150" i="48"/>
  <c r="AM119" i="48"/>
  <c r="AM128" i="48"/>
  <c r="AM137" i="48"/>
  <c r="AM140" i="48"/>
  <c r="AJ57" i="48"/>
  <c r="AJ49" i="48"/>
  <c r="AJ130" i="48"/>
  <c r="AN127" i="48"/>
  <c r="AN152" i="48"/>
  <c r="AM136" i="48"/>
  <c r="AI128" i="48"/>
  <c r="AI137" i="48"/>
  <c r="AI140" i="48"/>
  <c r="AL119" i="48"/>
  <c r="AM105" i="48"/>
  <c r="AN105" i="48"/>
  <c r="AK104" i="48"/>
  <c r="AL104" i="48"/>
  <c r="AN104" i="48"/>
  <c r="AM35" i="48"/>
  <c r="AN35" i="48"/>
  <c r="AM72" i="48"/>
  <c r="AK44" i="48"/>
  <c r="AL44" i="48"/>
  <c r="AN44" i="48"/>
  <c r="AK102" i="48"/>
  <c r="AL102" i="48"/>
  <c r="AN102" i="48"/>
  <c r="AM106" i="48"/>
  <c r="AN106" i="48"/>
  <c r="AK59" i="48"/>
  <c r="AL59" i="48"/>
  <c r="AN59" i="48"/>
  <c r="AM45" i="48"/>
  <c r="AN45" i="48"/>
  <c r="AM107" i="48"/>
  <c r="AN107" i="48"/>
  <c r="AN22" i="48"/>
  <c r="AM54" i="48"/>
  <c r="AK36" i="48"/>
  <c r="AL36" i="48"/>
  <c r="AN36" i="48"/>
  <c r="AK34" i="48"/>
  <c r="AL34" i="48"/>
  <c r="AN34" i="48"/>
  <c r="AK50" i="48"/>
  <c r="AL50" i="48"/>
  <c r="AN50" i="48"/>
  <c r="AM103" i="48"/>
  <c r="AN103" i="48"/>
  <c r="AK51" i="48"/>
  <c r="AL51" i="48"/>
  <c r="AN51" i="48"/>
  <c r="AK46" i="48"/>
  <c r="AL46" i="48"/>
  <c r="AN46" i="48"/>
  <c r="AM70" i="48"/>
  <c r="AN70" i="48"/>
  <c r="AK53" i="48"/>
  <c r="AL53" i="48"/>
  <c r="AN53" i="48"/>
  <c r="AN47" i="48"/>
  <c r="AK38" i="48"/>
  <c r="AL38" i="48"/>
  <c r="AN38" i="48"/>
  <c r="AK52" i="48"/>
  <c r="AL52" i="48"/>
  <c r="AK63" i="48"/>
  <c r="AL63" i="48"/>
  <c r="AN63" i="48"/>
  <c r="AM69" i="48"/>
  <c r="AK69" i="48"/>
  <c r="AL69" i="48"/>
  <c r="AL54" i="48"/>
  <c r="AM52" i="48"/>
  <c r="AL9" i="48"/>
  <c r="AP9" i="48"/>
  <c r="AM62" i="48"/>
  <c r="AN62" i="48"/>
  <c r="AK67" i="48"/>
  <c r="AL67" i="48"/>
  <c r="AN67" i="48"/>
  <c r="AM68" i="48"/>
  <c r="AN68" i="48"/>
  <c r="AN73" i="48"/>
  <c r="AM55" i="48"/>
  <c r="AK55" i="48"/>
  <c r="AL55" i="48"/>
  <c r="AK56" i="48"/>
  <c r="AL56" i="48"/>
  <c r="AN56" i="48"/>
  <c r="AM15" i="48"/>
  <c r="AN15" i="48"/>
  <c r="AM64" i="48"/>
  <c r="AN64" i="48"/>
  <c r="AK58" i="48"/>
  <c r="AL58" i="48"/>
  <c r="AN58" i="48"/>
  <c r="AK40" i="48"/>
  <c r="AL40" i="48"/>
  <c r="AN40" i="48"/>
  <c r="AK71" i="48"/>
  <c r="AL71" i="48"/>
  <c r="AM71" i="48"/>
  <c r="AK60" i="48"/>
  <c r="AL60" i="48"/>
  <c r="AN60" i="48"/>
  <c r="AN72" i="48"/>
  <c r="AM39" i="48"/>
  <c r="AK39" i="48"/>
  <c r="AL39" i="48"/>
  <c r="AN39" i="48"/>
  <c r="AK88" i="48"/>
  <c r="AL88" i="48"/>
  <c r="AM88" i="48"/>
  <c r="AN88" i="48"/>
  <c r="AN27" i="48"/>
  <c r="AM13" i="48"/>
  <c r="AN13" i="48"/>
  <c r="AM23" i="48"/>
  <c r="AN23" i="48"/>
  <c r="AM16" i="48"/>
  <c r="AN16" i="48"/>
  <c r="AN66" i="48"/>
  <c r="AM48" i="48"/>
  <c r="AK48" i="48"/>
  <c r="AL48" i="48"/>
  <c r="AK91" i="48"/>
  <c r="AL91" i="48"/>
  <c r="AM91" i="48"/>
  <c r="AN91" i="48"/>
  <c r="AK41" i="48"/>
  <c r="AL41" i="48"/>
  <c r="AM41" i="48"/>
  <c r="AK42" i="48"/>
  <c r="AL42" i="48"/>
  <c r="AM42" i="48"/>
  <c r="AM93" i="48"/>
  <c r="AN93" i="48"/>
  <c r="AM77" i="48"/>
  <c r="AN77" i="48"/>
  <c r="AM87" i="48"/>
  <c r="AN87" i="48"/>
  <c r="AM79" i="48"/>
  <c r="AN79" i="48"/>
  <c r="AM85" i="48"/>
  <c r="AN85" i="48"/>
  <c r="AK49" i="48"/>
  <c r="AL49" i="48"/>
  <c r="AM49" i="48"/>
  <c r="AK57" i="48"/>
  <c r="AL57" i="48"/>
  <c r="AM57" i="48"/>
  <c r="AN119" i="48"/>
  <c r="AJ108" i="48"/>
  <c r="AJ109" i="48"/>
  <c r="AJ112" i="48"/>
  <c r="AH142" i="48"/>
  <c r="AN130" i="48"/>
  <c r="AN136" i="48"/>
  <c r="AN153" i="48"/>
  <c r="AJ136" i="48"/>
  <c r="AM153" i="48"/>
  <c r="AM75" i="48"/>
  <c r="AN75" i="48"/>
  <c r="AN54" i="48"/>
  <c r="AN48" i="48"/>
  <c r="AN49" i="48"/>
  <c r="AN52" i="48"/>
  <c r="AN55" i="48"/>
  <c r="AM9" i="48"/>
  <c r="AM108" i="48"/>
  <c r="AM109" i="48"/>
  <c r="AM112" i="48"/>
  <c r="AM142" i="48"/>
  <c r="AN71" i="48"/>
  <c r="AN69" i="48"/>
  <c r="AN42" i="48"/>
  <c r="AN57" i="48"/>
  <c r="AN41" i="48"/>
  <c r="AJ137" i="48"/>
  <c r="AJ140" i="48"/>
  <c r="AN150" i="48"/>
  <c r="AN128" i="48"/>
  <c r="AN137" i="48"/>
  <c r="AN140" i="48"/>
  <c r="AK108" i="48"/>
  <c r="AK109" i="48"/>
  <c r="AK112" i="48"/>
  <c r="AI142" i="48"/>
  <c r="AL108" i="48"/>
  <c r="AL109" i="48"/>
  <c r="AN9" i="48"/>
  <c r="AN108" i="48"/>
  <c r="AN109" i="48"/>
  <c r="AM149" i="48"/>
  <c r="AM154" i="48"/>
  <c r="AL112" i="48"/>
  <c r="AJ142" i="48"/>
  <c r="AN112" i="48"/>
  <c r="AP112" i="48"/>
  <c r="AN149" i="48"/>
  <c r="AN154" i="48"/>
  <c r="AN142" i="48"/>
  <c r="H98" i="47"/>
  <c r="H99" i="47"/>
  <c r="I98" i="47"/>
  <c r="I99" i="47"/>
  <c r="J98" i="47"/>
  <c r="J99" i="47"/>
  <c r="K98" i="47"/>
  <c r="K99" i="47"/>
  <c r="L98" i="47"/>
  <c r="L99" i="47"/>
  <c r="M98" i="47"/>
  <c r="M99" i="47"/>
  <c r="N98" i="47"/>
  <c r="N99" i="47"/>
  <c r="O98" i="47"/>
  <c r="O99" i="47"/>
  <c r="P98" i="47"/>
  <c r="P99" i="47"/>
  <c r="Q98" i="47"/>
  <c r="Q99" i="47"/>
  <c r="R98" i="47"/>
  <c r="R99" i="47"/>
  <c r="S98" i="47"/>
  <c r="S99" i="47"/>
  <c r="T98" i="47"/>
  <c r="T99" i="47"/>
  <c r="U98" i="47"/>
  <c r="U99" i="47"/>
  <c r="V98" i="47"/>
  <c r="V99" i="47"/>
  <c r="W98" i="47"/>
  <c r="W99" i="47"/>
  <c r="X98" i="47"/>
  <c r="X99" i="47"/>
  <c r="Y98" i="47"/>
  <c r="Y99" i="47"/>
  <c r="Z98" i="47"/>
  <c r="Z99" i="47"/>
  <c r="G98" i="47"/>
  <c r="G99" i="47"/>
  <c r="N20" i="23"/>
  <c r="Q19" i="23"/>
  <c r="N19" i="23"/>
  <c r="T18" i="23"/>
  <c r="R18" i="23"/>
  <c r="Q18" i="23"/>
  <c r="P18" i="23"/>
  <c r="O18" i="23"/>
  <c r="N18" i="23"/>
  <c r="M18" i="23"/>
  <c r="J18" i="23"/>
  <c r="I18" i="23"/>
  <c r="H18" i="23"/>
  <c r="G18" i="23"/>
  <c r="O17" i="23"/>
  <c r="N17" i="23"/>
  <c r="M17" i="23"/>
  <c r="J17" i="23"/>
  <c r="I17" i="23"/>
  <c r="O16" i="23"/>
  <c r="N16" i="23"/>
  <c r="M16" i="23"/>
  <c r="J16" i="23"/>
  <c r="I16" i="23"/>
  <c r="O15" i="23"/>
  <c r="N15" i="23"/>
  <c r="M15" i="23"/>
  <c r="J15" i="23"/>
  <c r="I15" i="23"/>
  <c r="R14" i="23"/>
  <c r="Q14" i="23"/>
  <c r="M14" i="23"/>
  <c r="J14" i="23"/>
  <c r="I14" i="23"/>
  <c r="O13" i="23"/>
  <c r="N13" i="23"/>
  <c r="M13" i="23"/>
  <c r="J13" i="23"/>
  <c r="I13" i="23"/>
  <c r="O12" i="23"/>
  <c r="N12" i="23"/>
  <c r="M12" i="23"/>
  <c r="J12" i="23"/>
  <c r="I12" i="23"/>
  <c r="O11" i="23"/>
  <c r="N11" i="23"/>
  <c r="M11" i="23"/>
  <c r="J11" i="23"/>
  <c r="I11" i="23"/>
  <c r="O10" i="23"/>
  <c r="N10" i="23"/>
  <c r="M10" i="23"/>
  <c r="J10" i="23"/>
  <c r="I10" i="23"/>
  <c r="O9" i="23"/>
  <c r="N9" i="23"/>
  <c r="M9" i="23"/>
  <c r="J9" i="23"/>
  <c r="I9" i="23"/>
  <c r="O8" i="23"/>
  <c r="N8" i="23"/>
  <c r="M8" i="23"/>
  <c r="J8" i="23"/>
  <c r="I8" i="23"/>
  <c r="O7" i="23"/>
  <c r="N7" i="23"/>
  <c r="M7" i="23"/>
  <c r="J7" i="23"/>
  <c r="I7" i="23"/>
  <c r="O6" i="23"/>
  <c r="N6" i="23"/>
  <c r="M6" i="23"/>
  <c r="J6" i="23"/>
  <c r="I6" i="23"/>
  <c r="R2" i="23"/>
  <c r="O2" i="23"/>
  <c r="O14" i="29"/>
  <c r="R13" i="29"/>
  <c r="O13" i="29"/>
  <c r="U12" i="29"/>
  <c r="R12" i="29"/>
  <c r="Q12" i="29"/>
  <c r="P12" i="29"/>
  <c r="O12" i="29"/>
  <c r="N12" i="29"/>
  <c r="K12" i="29"/>
  <c r="J12" i="29"/>
  <c r="I12" i="29"/>
  <c r="H12" i="29"/>
  <c r="G12" i="29"/>
  <c r="R11" i="29"/>
  <c r="N11" i="29"/>
  <c r="J11" i="29"/>
  <c r="G11" i="29"/>
  <c r="P10" i="29"/>
  <c r="O10" i="29"/>
  <c r="N10" i="29"/>
  <c r="K10" i="29"/>
  <c r="J10" i="29"/>
  <c r="P9" i="29"/>
  <c r="O9" i="29"/>
  <c r="N9" i="29"/>
  <c r="K9" i="29"/>
  <c r="J9" i="29"/>
  <c r="P8" i="29"/>
  <c r="O8" i="29"/>
  <c r="N8" i="29"/>
  <c r="K8" i="29"/>
  <c r="J8" i="29"/>
  <c r="P7" i="29"/>
  <c r="O7" i="29"/>
  <c r="N7" i="29"/>
  <c r="K7" i="29"/>
  <c r="J7" i="29"/>
  <c r="P6" i="29"/>
  <c r="O6" i="29"/>
  <c r="N6" i="29"/>
  <c r="K6" i="29"/>
  <c r="J6" i="29"/>
  <c r="S2" i="29"/>
  <c r="P2" i="29"/>
  <c r="M11" i="11"/>
  <c r="J12" i="49"/>
  <c r="J13" i="49"/>
  <c r="L8" i="49"/>
  <c r="L7" i="49"/>
  <c r="L2" i="49"/>
  <c r="D10" i="11"/>
  <c r="D11" i="11"/>
  <c r="L10" i="11" s="1"/>
  <c r="D9" i="11"/>
  <c r="L9" i="11" s="1"/>
  <c r="D12" i="11"/>
  <c r="D8" i="11"/>
  <c r="D13" i="11" s="1"/>
  <c r="L8" i="11" l="1"/>
  <c r="L11" i="11" s="1"/>
  <c r="D22" i="61" l="1"/>
  <c r="D23" i="61"/>
  <c r="D24" i="61"/>
  <c r="E15" i="61" l="1"/>
  <c r="C15" i="61" l="1"/>
  <c r="C9" i="61" s="1"/>
  <c r="D20" i="61" l="1"/>
  <c r="D15" i="61" l="1"/>
  <c r="D41" i="61" l="1"/>
  <c r="D21" i="61"/>
  <c r="D26" i="61" s="1"/>
  <c r="D9" i="61"/>
  <c r="I9" i="61" l="1"/>
  <c r="G9" i="61"/>
  <c r="H9" i="61" s="1"/>
  <c r="J70" i="62"/>
  <c r="J76" i="62"/>
  <c r="S115" i="65"/>
  <c r="S117" i="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tc={D9D9969B-F286-42AE-9B15-333216E50F7B}</author>
  </authors>
  <commentList>
    <comment ref="M8" authorId="0" shapeId="0" xr:uid="{D9D9969B-F286-42AE-9B15-333216E50F7B}">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con el RP</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tc={3550B550-A3E6-4955-B537-1B8FD58CFB41}</author>
  </authors>
  <commentList>
    <comment ref="A86" authorId="0" shapeId="0" xr:uid="{3550B550-A3E6-4955-B537-1B8FD58CFB41}">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bien la proyección que se tenga desde el AMVA Sede...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Laura Pilar Hoyos Guerrero</author>
    <author>clemencia.lopez</author>
    <author>Jairo Alberto Villegas Cuervo</author>
    <author>tc={46268DE3-112A-4AE5-BAC1-C45C907A3084}</author>
  </authors>
  <commentList>
    <comment ref="Y7" authorId="0" shapeId="0" xr:uid="{AFDE9250-98C1-445A-A19F-F3B6497DD50B}">
      <text>
        <r>
          <rPr>
            <b/>
            <sz val="9"/>
            <rFont val="Tahoma"/>
            <family val="2"/>
          </rPr>
          <t>Laura Pilar Hoyos Guerrero:</t>
        </r>
        <r>
          <rPr>
            <sz val="9"/>
            <rFont val="Tahoma"/>
            <family val="2"/>
          </rPr>
          <t xml:space="preserve">
Para el cálculo de las Prestaciones sociales dentro de la base se debe incluir el Auxilio de transporte, excepto para las vacaciones</t>
        </r>
      </text>
    </comment>
    <comment ref="Z7" authorId="1" shapeId="0" xr:uid="{71B7DDC6-23F9-45B5-BB2D-4C7FB1440FC4}">
      <text>
        <r>
          <rPr>
            <b/>
            <sz val="8"/>
            <rFont val="Tahoma"/>
            <family val="2"/>
          </rPr>
          <t>Jairo:</t>
        </r>
        <r>
          <rPr>
            <sz val="8"/>
            <rFont val="Tahoma"/>
            <family val="2"/>
          </rPr>
          <t xml:space="preserve">
Para el cálculo de las Prestaciones sociales dentro de la base se debe incluir el Auxilio de transporte, excepto para las vacaciones.</t>
        </r>
      </text>
    </comment>
    <comment ref="AA7" authorId="1" shapeId="0" xr:uid="{8D888F70-BA09-4789-8C3D-87DFADC84AA1}">
      <text>
        <r>
          <rPr>
            <b/>
            <sz val="8"/>
            <rFont val="Tahoma"/>
            <family val="2"/>
          </rPr>
          <t>Jairo:</t>
        </r>
        <r>
          <rPr>
            <sz val="8"/>
            <rFont val="Tahoma"/>
            <family val="2"/>
          </rPr>
          <t xml:space="preserve">
Para el cálculo de las Prestaciones sociales dentro de la base se debe incluir el Auxilio de transporte, excepto para las vacaciones.</t>
        </r>
      </text>
    </comment>
    <comment ref="AB7" authorId="1" shapeId="0" xr:uid="{53AFE607-1D69-407D-9F01-F799CC3179B9}">
      <text>
        <r>
          <rPr>
            <b/>
            <sz val="8"/>
            <rFont val="Tahoma"/>
            <family val="2"/>
          </rPr>
          <t>Jairo:</t>
        </r>
        <r>
          <rPr>
            <sz val="8"/>
            <rFont val="Tahoma"/>
            <family val="2"/>
          </rPr>
          <t xml:space="preserve">
Para el cálculo de las Prestaciones sociales dentro de la base se debe incluir el Auxilio de transporte, excepto para las vacaciones.</t>
        </r>
      </text>
    </comment>
    <comment ref="AC7" authorId="0" shapeId="0" xr:uid="{57F45835-4248-4D2A-84F2-3673B2430773}">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D7" authorId="0" shapeId="0" xr:uid="{9B82765C-B1FC-4232-AB69-3E8D57C778AC}">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F7" authorId="0" shapeId="0" xr:uid="{83E7E1D7-D147-4DA1-B484-C1AD66EA66F7}">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G7" authorId="0" shapeId="0" xr:uid="{5A0F6BCC-4377-4909-A639-749DE809B579}">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H7" authorId="0" shapeId="0" xr:uid="{EBC622AD-F2B5-45EC-8E09-871BB994BAD2}">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I7" authorId="0" shapeId="0" xr:uid="{5C2A2E5B-DDD9-4EF5-A993-D069292C5F92}">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K7" authorId="2" shapeId="0" xr:uid="{7B682923-4477-43CC-84A8-B5E4934BAFBE}">
      <text>
        <r>
          <rPr>
            <sz val="9"/>
            <rFont val="Tahoma"/>
            <family val="2"/>
          </rPr>
          <t>Negociable
No superior a 8%
Sopena de rechazo cuando el valor es superior al 8%</t>
        </r>
      </text>
    </comment>
    <comment ref="B24" authorId="2" shapeId="0" xr:uid="{8A376941-4716-4D4B-B969-993DB9EE4827}">
      <text>
        <r>
          <rPr>
            <sz val="10"/>
            <rFont val="Tahoma"/>
            <family val="2"/>
          </rPr>
          <t>Incluye Electricidad, mecanica, construcciones entre otras</t>
        </r>
      </text>
    </comment>
    <comment ref="B25" authorId="2" shapeId="0" xr:uid="{B1E507FE-FAAA-498F-8FC1-6F3172A4982A}">
      <text>
        <r>
          <rPr>
            <sz val="10"/>
            <rFont val="Tahoma"/>
            <family val="2"/>
          </rPr>
          <t>Incluye Electricidad, mecanica, construcciones entre otras</t>
        </r>
      </text>
    </comment>
    <comment ref="B26" authorId="2" shapeId="0" xr:uid="{EB619B1E-1255-459A-A062-AF51E62B4E4B}">
      <text>
        <r>
          <rPr>
            <sz val="10"/>
            <rFont val="Tahoma"/>
            <family val="2"/>
          </rPr>
          <t>Incluye Electricidad, mecanica, construcciones entre otras</t>
        </r>
      </text>
    </comment>
    <comment ref="B27" authorId="2" shapeId="0" xr:uid="{0C405E49-C907-46D8-AC2E-A1921D255CCD}">
      <text>
        <r>
          <rPr>
            <sz val="10"/>
            <rFont val="Tahoma"/>
            <family val="2"/>
          </rPr>
          <t>Incluye Electricidad, mecanica, construcciones entre otras</t>
        </r>
      </text>
    </comment>
    <comment ref="B28" authorId="2" shapeId="0" xr:uid="{A0A2505C-E009-4341-8EA6-BC49D2F93F70}">
      <text>
        <r>
          <rPr>
            <sz val="10"/>
            <rFont val="Tahoma"/>
            <family val="2"/>
          </rPr>
          <t>Incluye Electricidad, mecanica, construcciones entre otras</t>
        </r>
      </text>
    </comment>
    <comment ref="B29" authorId="2" shapeId="0" xr:uid="{8504D24D-F073-43A6-B1C5-A502A7620CCB}">
      <text>
        <r>
          <rPr>
            <sz val="10"/>
            <rFont val="Tahoma"/>
            <family val="2"/>
          </rPr>
          <t>Incluye Electricidad, mecanica, construcciones entre otras</t>
        </r>
      </text>
    </comment>
    <comment ref="AF52" authorId="3" shapeId="0" xr:uid="{46268DE3-112A-4AE5-BAC1-C45C907A3084}">
      <text>
        <t>[Comentario encadenado]
Su versión de Excel le permite leer este comentario encadenado; sin embargo, las ediciones que se apliquen se quitarán si el archivo se abre en una versión más reciente de Excel. Más información: https://go.microsoft.com/fwlink/?linkid=870924
Comentario:
    Si presenta 2 dias de ausencia sin justa causa, porque se contempla el pago de riesgos</t>
      </text>
    </comment>
  </commentList>
</comments>
</file>

<file path=xl/sharedStrings.xml><?xml version="1.0" encoding="utf-8"?>
<sst xmlns="http://schemas.openxmlformats.org/spreadsheetml/2006/main" count="2256" uniqueCount="817">
  <si>
    <t>PREFACTURA SERVICIO: DEL 01 AL 31 DE AGOSTO 2025</t>
  </si>
  <si>
    <t>SERVICIOS GENERALES INTEGRALES PARA LA ADECUADA CONSERVACIÓN Y ATENCIÓN DE LOS SERVIDORES, USUARIOS Y DEMÁS VISITANTES DEL AMVA Y SUS DEMÁS SEDES</t>
  </si>
  <si>
    <t>RESUMEN CONSOLIDADO OFERTA ECONÓMICA - POR ALCANCE y POR RUBRO OFICIAL</t>
  </si>
  <si>
    <t>RESUMEN CONSOLIDADO MES - POR ALCANCE y POR RUBRO OFICIAL</t>
  </si>
  <si>
    <t>VALOR ACUMULADO CONSOLIDADA POR RUBRO PRESUPUESTAL</t>
  </si>
  <si>
    <t>TENER EN CUENTA NO EXCEDER ESTOS VALORES POR RUBRO PRESUPUESTAL  del PRESUPUESTO OFICIAL (POE)</t>
  </si>
  <si>
    <t>OFERTA ECONÓMICA CONSOLIDADA POR RUBRO PRESUPUESTAL</t>
  </si>
  <si>
    <t xml:space="preserve">DESCRIPCIÓN </t>
  </si>
  <si>
    <t>TOTAL OFERTA ECONÓMICA
INCLUIDO IVA</t>
  </si>
  <si>
    <t>RUBRO PRESUPUESTAL</t>
  </si>
  <si>
    <t xml:space="preserve">RUBRO PRESUPUESTAL /FICHA </t>
  </si>
  <si>
    <t>ACUMULADO VALOR TOTAL POR RUBRO PRESUPUESTAL
(INCLUIDOS  AU e IVA</t>
  </si>
  <si>
    <r>
      <t xml:space="preserve">RECURSO HUMANO - SEDE PARQUE METROPOLITANO DE LAS AGUAS
</t>
    </r>
    <r>
      <rPr>
        <sz val="11"/>
        <color rgb="FFFF0000"/>
        <rFont val="Calibri"/>
        <family val="2"/>
        <scheme val="minor"/>
      </rPr>
      <t>(Los salarios son Fijos e inmodificables)</t>
    </r>
    <r>
      <rPr>
        <sz val="10"/>
        <color rgb="FFFF0000"/>
        <rFont val="Arial"/>
        <family val="2"/>
      </rPr>
      <t>*</t>
    </r>
  </si>
  <si>
    <t>2.1.5.02.08</t>
  </si>
  <si>
    <t>RUBRO PRESUPUESTAL 2.1.5.02.08. - GASTOS DE FUNCIONAMIENTO - PARQUE</t>
  </si>
  <si>
    <t>DOTACION PERSONAL (Uniformes de labor) - SEDE PARQUE METROPOLITANO DE LAS AGUAS</t>
  </si>
  <si>
    <t>2.1.5.01.02</t>
  </si>
  <si>
    <t>RUBRO PRESUPUESTAL 2.1.5.01.02. - GASTOS DE FUNCIONAMIENTO - PARQUE</t>
  </si>
  <si>
    <t>SUMINISTROS  E INSUMOS DE CAFETERIA - SEDE PARQUE METROPOLITANO DE LAS AGUAS</t>
  </si>
  <si>
    <t>RUBRO PRESUPUESTAL 2.1.5.01.03. - GASTOS DE FUNCIONAMIENTO - PARQUE</t>
  </si>
  <si>
    <t>SUMINISTROS E INSUMOS DE ASEO, SALUD OCUPACIONAL, ENFERMERIA Y JARDINERIA - SEDE PARQUE METROPOLITANO DE LAS AGUAS</t>
  </si>
  <si>
    <t>2.1.5.01.03</t>
  </si>
  <si>
    <t>TOTAL OFERTA ECONÓMICA INCLUIDO IVA</t>
  </si>
  <si>
    <t>SERVICIOS COMPLEMENTARIOS y OTROS COSTOS DE OPERACIÓN - SEDE PARQUE METROPOLITANO DE LAS AGUAS</t>
  </si>
  <si>
    <t>EGRESOS - GASTOS - LOGISTICA-AGOSTO 2025</t>
  </si>
  <si>
    <t>RUBRO</t>
  </si>
  <si>
    <t>008</t>
  </si>
  <si>
    <t>006</t>
  </si>
  <si>
    <t>VALOR TOTAL</t>
  </si>
  <si>
    <t>ITEM</t>
  </si>
  <si>
    <t>FACTURA</t>
  </si>
  <si>
    <t>FECHA</t>
  </si>
  <si>
    <t>BENEFICIARIO</t>
  </si>
  <si>
    <t>NIT</t>
  </si>
  <si>
    <t>DETALLE</t>
  </si>
  <si>
    <t>Subtotal</t>
  </si>
  <si>
    <t>IVA</t>
  </si>
  <si>
    <t>RETEFUENTE</t>
  </si>
  <si>
    <t>VALOR A PAGAR</t>
  </si>
  <si>
    <t>Reparaciones locativas</t>
  </si>
  <si>
    <t>Iva Reparaciones Locativas</t>
  </si>
  <si>
    <t>Retenciones aplicadas</t>
  </si>
  <si>
    <t xml:space="preserve">Reconocimiento de Gastos Logisticos </t>
  </si>
  <si>
    <t>Iva Reconocimiento Gastos Logisticos</t>
  </si>
  <si>
    <t>IMPUESTO AL CONSUMO</t>
  </si>
  <si>
    <t>IMPOCONSUMO 8%</t>
  </si>
  <si>
    <t>Retef</t>
  </si>
  <si>
    <t>I</t>
  </si>
  <si>
    <t>FE - 1461</t>
  </si>
  <si>
    <t xml:space="preserve"> LUJAN VELASQUEZ CAROLINA</t>
  </si>
  <si>
    <t xml:space="preserve">materiales necesarios utlizados para trabajos en carpinteria </t>
  </si>
  <si>
    <t>FE - 713</t>
  </si>
  <si>
    <t>FERRETERIA MAKRO ELECTRICOS BELLO - MELISA CIFUENTES ALCARAZ</t>
  </si>
  <si>
    <t>1128393327-4</t>
  </si>
  <si>
    <t xml:space="preserve">materiales necesarios para trabajos de capínteria </t>
  </si>
  <si>
    <t>FE - 3197</t>
  </si>
  <si>
    <t>COMPOMEDICA S.A.S</t>
  </si>
  <si>
    <t>901074786-6</t>
  </si>
  <si>
    <t xml:space="preserve">insumo necesario utilizado para desfibriladores (DEA) para primeros auxilios </t>
  </si>
  <si>
    <t>FE - 4143</t>
  </si>
  <si>
    <t>BOBINADOS CORDOBA TABARES S.A.S</t>
  </si>
  <si>
    <t>900467460-4</t>
  </si>
  <si>
    <t xml:space="preserve">servicio necesario para mantenimineto correctivo bomba sumergible, cuarto de maquinas maxima velocidad </t>
  </si>
  <si>
    <t>FEC- 91326</t>
  </si>
  <si>
    <t>MATERIALES Y RACORES S.A.S</t>
  </si>
  <si>
    <t>900437333-9</t>
  </si>
  <si>
    <t xml:space="preserve">mantenimiento de baños de recreativa y guardaropa </t>
  </si>
  <si>
    <t>FE - 719</t>
  </si>
  <si>
    <t xml:space="preserve">materiales necesarios para trabajos de mantenimiento taller </t>
  </si>
  <si>
    <t>TOTAL</t>
  </si>
  <si>
    <t>ÁREA METROPOLITANA DEL VALLE DE ABURRÁ</t>
  </si>
  <si>
    <t>PRESUPUESTO OFICIAL QUE AMPARA EL PROYECTO - POP
(Máximo del Proyecto)</t>
  </si>
  <si>
    <t>OBJETO: “SERVICIOS GENERALES INTEGRALES PARA LA ADECUADA CONSERVACIÓN Y ATENCIÓN DE LOS SERVIDORES, USUARIOS Y DEMÁS VISITANTES DEL AMVA Y SUS DEMÁS SEDES”.</t>
  </si>
  <si>
    <t>PRESUPUESTO OFICIAL - POP - CONSOLIDADO</t>
  </si>
  <si>
    <t>RESUMEN CONSOLIDADO DEL PRESUPUESTO OFICIAL - POP (Máximo del Proyecto)</t>
  </si>
  <si>
    <t>TOTAL CONSOLIDADO - PRESUPUESTO OFICIAL QUE AMPARA EL PROYECTO - POP
(Máximo del Proyecto)</t>
  </si>
  <si>
    <t>TOTAL PRESUPUESTO OFICIAL - POP -
 ANTES DE IVA</t>
  </si>
  <si>
    <t>TOTAL PRESUPUESTO OFICIAL - POP -
INCLUIDO IVA</t>
  </si>
  <si>
    <t>% AU OFICIAL (POP)</t>
  </si>
  <si>
    <t>RESUMEN CONSOLIDADO DEL PRESUPUESTO OFICIAL - POP (Máximo del Proyecto) - POR COMPONENTE</t>
  </si>
  <si>
    <t>COMPONENTE</t>
  </si>
  <si>
    <t>% AU OFICIAL (POP) 8%</t>
  </si>
  <si>
    <t>COMPONENTE 1 - RECURSO HUMANO PARA EL PROCESO- AMBAS SEDES 
SEDE PARQUE METROPOLITANO DE LAS AGUAS MAS SEDE ADMINISTRATIVA</t>
  </si>
  <si>
    <t xml:space="preserve">COMPONENTE 2 - SUMINISTRO DE INSUMOS, DOTACION Y OTROS COSTOS DE OPERACIÓN PARA EL PROCESO- AMBAS SEDES 
SEDE PARQUE METROPOLITANO DE LAS AGUAS MAS SEDE ADMINISTRATIVA </t>
  </si>
  <si>
    <t>VALOR TOTAL PRESUPUESTO OFICIAL (POP)</t>
  </si>
  <si>
    <t>PRESUPUESTO OFICIAL (POP) CONSOLIDADO POR RUBRO PRESUPUESTAL</t>
  </si>
  <si>
    <t>VALOR TOTAL POR RUBRO PRESUPUESTAL
(INCLUIDOS  AU e IVA - PRESUPUESTO OFICIAL (POP)</t>
  </si>
  <si>
    <t>CDP XXXX</t>
  </si>
  <si>
    <t>RUBRO PRESUPUESTAL 2.1.2.02.02.008- GASTOS DE FUNCIONAMIENTO - SEDE ADMINISTRATIVA</t>
  </si>
  <si>
    <t>RUBRO PRESUPUESTAL 2.1.2.02.02.002. - GASTOS DE FUNCIONAMIENTO - SEDE ADMINISTRATIVA</t>
  </si>
  <si>
    <t>RUBRO PRESUPUESTAL 2.1.2.02.02.003. - GASTOS DE FUNCIONAMINTO - SEDE</t>
  </si>
  <si>
    <t>RESUMEN CONSOLIDADO DEL PRESUPUESTO OFICIAL - POP (Máximo del Proyecto) - POR ALCANCE y POR RUBRO OFICIAL</t>
  </si>
  <si>
    <t xml:space="preserve">RESUMEN VALOR PRESUPUESTO OFICIAL (POP) INCLUIDO IVA
 POR ALCANCE y POR RUBRO PRESUPUESTAL </t>
  </si>
  <si>
    <r>
      <t xml:space="preserve">RECURSO HUMANO - SEDE PARQUE METROPOLITANO DE LAS AGUAS
</t>
    </r>
    <r>
      <rPr>
        <b/>
        <sz val="11"/>
        <color rgb="FFFF0000"/>
        <rFont val="Calibri"/>
        <family val="2"/>
        <scheme val="minor"/>
      </rPr>
      <t>(Los salarios son Fijos e inmodificables)</t>
    </r>
    <r>
      <rPr>
        <sz val="10"/>
        <color rgb="FFFF0000"/>
        <rFont val="Arial"/>
        <family val="2"/>
      </rPr>
      <t>*</t>
    </r>
  </si>
  <si>
    <r>
      <t xml:space="preserve">RECURSO HUMANO - SEDE ADMINISTRATIVA
</t>
    </r>
    <r>
      <rPr>
        <sz val="10"/>
        <color rgb="FFFF0000"/>
        <rFont val="Arial"/>
        <family val="2"/>
      </rPr>
      <t>(Los salarios son Fijos e inmodificables)*</t>
    </r>
  </si>
  <si>
    <t>2.1.2.02.02.008</t>
  </si>
  <si>
    <t>DOTACION PERSONAL (Uniformes de labor) - SEDE ADMINISTRATIVA</t>
  </si>
  <si>
    <t>2.1.2.02.02.002</t>
  </si>
  <si>
    <t>SUMINISTROS  E INSUMOS DE CAFETERIA - SEDE ADMINISTRATIVA</t>
  </si>
  <si>
    <t>SUMINISTROS E INSUMOS DE ASEO- SEDE ADMINISTRATIVA</t>
  </si>
  <si>
    <t>2.1.2.02.02.003</t>
  </si>
  <si>
    <t>SERVICIOS COMPLEMENTARIOS y OTROS COSTOS DE OPERACIÓN - SEDE ADMINISTRATIVA</t>
  </si>
  <si>
    <r>
      <rPr>
        <sz val="10"/>
        <color rgb="FFFF0000"/>
        <rFont val="Arial"/>
        <family val="2"/>
      </rPr>
      <t>(*) E</t>
    </r>
    <r>
      <rPr>
        <sz val="10"/>
        <rFont val="Arial"/>
        <family val="2"/>
      </rPr>
      <t>l Proponente debe tener en cuenta que</t>
    </r>
    <r>
      <rPr>
        <sz val="10"/>
        <color rgb="FFFF0000"/>
        <rFont val="Arial"/>
        <family val="2"/>
      </rPr>
      <t xml:space="preserve"> la Entidad estableció los Salarios como un Valor Fijo en Inmodificable, </t>
    </r>
    <r>
      <rPr>
        <sz val="10"/>
        <rFont val="Arial"/>
        <family val="2"/>
      </rPr>
      <t xml:space="preserve">de igual manera la </t>
    </r>
    <r>
      <rPr>
        <sz val="10"/>
        <color rgb="FFFF0000"/>
        <rFont val="Arial"/>
        <family val="2"/>
      </rPr>
      <t>Tarifa de ARL</t>
    </r>
    <r>
      <rPr>
        <sz val="10"/>
        <rFont val="Arial"/>
        <family val="2"/>
      </rPr>
      <t xml:space="preserve"> aplicada para cada Cargo </t>
    </r>
    <r>
      <rPr>
        <sz val="10"/>
        <color rgb="FFFF0000"/>
        <rFont val="Arial"/>
        <family val="2"/>
      </rPr>
      <t>es Inmodificable.</t>
    </r>
    <r>
      <rPr>
        <sz val="10"/>
        <rFont val="Arial"/>
        <family val="2"/>
      </rPr>
      <t xml:space="preserve"> Además </t>
    </r>
    <r>
      <rPr>
        <sz val="10"/>
        <color rgb="FFFF0000"/>
        <rFont val="Arial"/>
        <family val="2"/>
      </rPr>
      <t>las prestaciones de Ley y demas componentes de Norma son inmodificables</t>
    </r>
    <r>
      <rPr>
        <sz val="10"/>
        <rFont val="Arial"/>
        <family val="2"/>
      </rPr>
      <t>; en caso de alteraciones, se deberan  justificar con fundamentos legales sin afectar el desarrollo del proceso.</t>
    </r>
    <r>
      <rPr>
        <sz val="10"/>
        <color rgb="FFFF0000"/>
        <rFont val="Arial"/>
        <family val="2"/>
      </rPr>
      <t xml:space="preserve">
</t>
    </r>
    <r>
      <rPr>
        <sz val="10"/>
        <rFont val="Arial"/>
        <family val="2"/>
      </rPr>
      <t xml:space="preserve">Y entre los ítems del Componente de </t>
    </r>
    <r>
      <rPr>
        <b/>
        <sz val="10"/>
        <rFont val="Arial"/>
        <family val="2"/>
      </rPr>
      <t>SUMINISTRO DE INSUMOS, DOTACION Y OTROS COSTOS DE OPERACIÓN,</t>
    </r>
    <r>
      <rPr>
        <sz val="10"/>
        <rFont val="Arial"/>
        <family val="2"/>
      </rPr>
      <t xml:space="preserve"> </t>
    </r>
    <r>
      <rPr>
        <sz val="10"/>
        <color rgb="FFFF0000"/>
        <rFont val="Arial"/>
        <family val="2"/>
      </rPr>
      <t>señaló el COSTO DIRECTO de algunos  ítems se como un</t>
    </r>
    <r>
      <rPr>
        <sz val="10"/>
        <rFont val="Arial"/>
        <family val="2"/>
      </rPr>
      <t xml:space="preserve"> </t>
    </r>
    <r>
      <rPr>
        <sz val="10"/>
        <color rgb="FFFF0000"/>
        <rFont val="Arial"/>
        <family val="2"/>
      </rPr>
      <t xml:space="preserve">VALOR FIJO e INMODIFICABLE </t>
    </r>
    <r>
      <rPr>
        <sz val="10"/>
        <rFont val="Arial"/>
        <family val="2"/>
      </rPr>
      <t xml:space="preserve">por el Proponente y estableció que </t>
    </r>
    <r>
      <rPr>
        <b/>
        <sz val="10"/>
        <rFont val="Arial"/>
        <family val="2"/>
      </rPr>
      <t>todos los ítems de este Componente son REEMBOLSABLES</t>
    </r>
    <r>
      <rPr>
        <sz val="10"/>
        <rFont val="Arial"/>
        <family val="2"/>
      </rPr>
      <t xml:space="preserve">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r>
  </si>
  <si>
    <t>La Entidad para el cálculo de los Costos del Recurso Humano, dió aplicación a la ley 2101 de 2021 y en dicho sentido, considera una jornada máxima legal de 46 horas a la semana y 230 horas de jornada laboral máxima al mes.</t>
  </si>
  <si>
    <t>Los costos por Recargo Dominical o Festivo, se hicieron considerando el reconocimiento indicado por la norma del 75% y se proyectaron para una jornada laboral en dominical o festivo máxima de 8 horas, El reconocimiento sel pago se hace de acuerdo a la demanda del servicio y la ejecución real de dichas jornadas.</t>
  </si>
  <si>
    <r>
      <t xml:space="preserve">El presente proceso presenta el valor del IVA, previendo que entre sus condiciones técnicas e ítems incluidos en el Presupuesto Oficial contiene ítems que en su ejecución incluyen actividades requeridas para la limpieza y conservación de la Entidad, así como actividades relacionadas con la preparación y distribución café y aromática para consumo al interior de las instalaciones de la Entidad, sin que se genere contraprestación alguna por parte del consumidor de los mismos, por lo tanto estas actividades están amparadas por la base gravable especial prevista en el artículo 462-1 del ET, según el cual la </t>
    </r>
    <r>
      <rPr>
        <b/>
        <sz val="10"/>
        <color theme="1"/>
        <rFont val="Arial"/>
        <family val="2"/>
      </rPr>
      <t>base gravable es el AU</t>
    </r>
    <r>
      <rPr>
        <sz val="10"/>
        <color theme="1"/>
        <rFont val="Arial"/>
        <family val="2"/>
      </rPr>
      <t xml:space="preserve"> siempre y cuando sea igual o superior al 10% y si es inferior como es el caso del proceso, la base gravable especial será equivalente al 10% del Costo del Servicio,</t>
    </r>
  </si>
  <si>
    <t>Las Subdirecciones delegadas para el presente proceso, determinaron que el VALOR TOTAL DEL PRESUPUESTO OFICIAL (POE) ANTES DE IVA es la base de la Subasta</t>
  </si>
  <si>
    <r>
      <t xml:space="preserve">El Oferente al presentar su propuesta, debe tener en cuenta, que el VALOR  que defina en el PRECIO TOTAL OFERTA antes de IVA (Base para la Subasta) </t>
    </r>
    <r>
      <rPr>
        <b/>
        <sz val="10"/>
        <rFont val="Arial"/>
        <family val="2"/>
      </rPr>
      <t>en su Oferta Inicial de Precios</t>
    </r>
    <r>
      <rPr>
        <sz val="10"/>
        <rFont val="Arial"/>
        <family val="2"/>
      </rPr>
      <t>, debe ser igual al que coloque en la Plataforma del SECOP y no puede ser superior al PRESUPUESTO OFICIAL (POE) antes de IVA</t>
    </r>
  </si>
  <si>
    <t>SUMINISTROS E INSUMOS DE ASEO, SALUD OCUPACIONAL- SEDE ADMINISTRATIVA</t>
  </si>
  <si>
    <t>“SERVICIOS GENERALES INTEGRALES PARA LA ADECUADA CONSERVACIÓN Y ATENCIÓN DE LOS SERVIDORES, USUARIOS Y DEMÁS VISITANTES DEL AMVA Y SUS DEMÁS SEDES”.</t>
  </si>
  <si>
    <t>COMPONENTE 1 - COSTOS - RECURSO HUMANO</t>
  </si>
  <si>
    <t>1.1</t>
  </si>
  <si>
    <t xml:space="preserve"> COSTOS RECURSO HUMANO - SEDE PARQUE METROPOLITANO DE LAS AGUAS</t>
  </si>
  <si>
    <t>PERSONAL POR OFICIO</t>
  </si>
  <si>
    <t xml:space="preserve">CANTIDAD CONTRATADO DE PERSONAL </t>
  </si>
  <si>
    <r>
      <t xml:space="preserve">TOTAL COSTO UNITARIO
REMUNERACIÓN MENSUAL 
</t>
    </r>
    <r>
      <rPr>
        <b/>
        <sz val="9"/>
        <color rgb="FFFF0000"/>
        <rFont val="Arial"/>
        <family val="2"/>
      </rPr>
      <t>(FIJA E INMODIFICABLE) *</t>
    </r>
  </si>
  <si>
    <t>COSTO TOTAL REMUNERACIÓN MES</t>
  </si>
  <si>
    <t xml:space="preserve">
RECARGO DOMINICAL MES</t>
  </si>
  <si>
    <t xml:space="preserve">
RECARGO FESTIVO MES</t>
  </si>
  <si>
    <t xml:space="preserve">AUXILIO DE TRANSPORTE </t>
  </si>
  <si>
    <t>SALARIO TOTAL MES PROYECTADO      (A)</t>
  </si>
  <si>
    <t>VACACIONES
(B)</t>
  </si>
  <si>
    <t>PRIMA LEGAL
(C )</t>
  </si>
  <si>
    <t>CESANTÍAS
(D )</t>
  </si>
  <si>
    <t>INTERESES A LAS CESANTÍAS
(E )</t>
  </si>
  <si>
    <t>SALUD 
(F)</t>
  </si>
  <si>
    <t>PENSIÓN 
(G)</t>
  </si>
  <si>
    <r>
      <t xml:space="preserve">% Riesgos Profesionales
</t>
    </r>
    <r>
      <rPr>
        <b/>
        <sz val="8"/>
        <color rgb="FFFF0000"/>
        <rFont val="Arial"/>
        <family val="2"/>
      </rPr>
      <t>(%FIJO E INMODIFICABLE) *</t>
    </r>
  </si>
  <si>
    <t>RIESGOS PROFESIONALES
(H)</t>
  </si>
  <si>
    <t>SENA 
(I)</t>
  </si>
  <si>
    <t>ICBF 
(J)</t>
  </si>
  <si>
    <t>CAJA DE COMPENSACIÓN FAMILIAR
(K)</t>
  </si>
  <si>
    <t>TOTAL ACUMULADO SALARIO MES 
(L) = (SUMATORIA DESDE A HASTA K)</t>
  </si>
  <si>
    <t>AU
(M) = (%AU * N)</t>
  </si>
  <si>
    <t>base para excentos</t>
  </si>
  <si>
    <t>calculo base iva pleno</t>
  </si>
  <si>
    <t>calculo base excenta</t>
  </si>
  <si>
    <t>SUBTOTAL ANTES DE IVA
(N)  = M+N</t>
  </si>
  <si>
    <r>
      <t xml:space="preserve">IVA
(O) 
* </t>
    </r>
    <r>
      <rPr>
        <b/>
        <sz val="9"/>
        <color rgb="FFFF0000"/>
        <rFont val="Arial"/>
        <family val="2"/>
      </rPr>
      <t xml:space="preserve">Ver Notas IVA N° 1,  2  </t>
    </r>
  </si>
  <si>
    <t xml:space="preserve">VALOR TOTAL  MES INCLUIDO IVA
( P) =N + O </t>
  </si>
  <si>
    <t>1.1.1</t>
  </si>
  <si>
    <t>Coordinador General</t>
  </si>
  <si>
    <t>1.1.2</t>
  </si>
  <si>
    <t>Coordinador de mantenimiento locativo</t>
  </si>
  <si>
    <t>1.1.3</t>
  </si>
  <si>
    <t>Tecnico o Tecnologo en Atencion Prehospitalaria</t>
  </si>
  <si>
    <t>1.1.4</t>
  </si>
  <si>
    <t>Coordinador de Almacen</t>
  </si>
  <si>
    <t>1.1.5</t>
  </si>
  <si>
    <t xml:space="preserve">Auxiliar de Almacen </t>
  </si>
  <si>
    <t>1.1.6</t>
  </si>
  <si>
    <t>Tecnologo en Salud Ocupacional</t>
  </si>
  <si>
    <t>1.1.7</t>
  </si>
  <si>
    <t>Coordinador ambiental</t>
  </si>
  <si>
    <t>1.1.8</t>
  </si>
  <si>
    <t>Taquillero</t>
  </si>
  <si>
    <t>1.1.9</t>
  </si>
  <si>
    <t>Auxiliar operativo y de información</t>
  </si>
  <si>
    <t>1.1.10</t>
  </si>
  <si>
    <t>Auxiliar de Guarda Ropa</t>
  </si>
  <si>
    <t>1.1.11</t>
  </si>
  <si>
    <t>Tecnicos para adecuaciones y conservación en general</t>
  </si>
  <si>
    <t>1.1.12</t>
  </si>
  <si>
    <t>Mensajero</t>
  </si>
  <si>
    <t>1.1.13</t>
  </si>
  <si>
    <t>Auxiliar  Operativo o afines</t>
  </si>
  <si>
    <t>1.1.14</t>
  </si>
  <si>
    <t>Técnico Planta de Tratamiento de Aguas Residuales</t>
  </si>
  <si>
    <t>(*)</t>
  </si>
  <si>
    <t>1.1.15</t>
  </si>
  <si>
    <t>Manejo de agua de piscinas uso Recreativo M1</t>
  </si>
  <si>
    <t>1.1.16</t>
  </si>
  <si>
    <t>Piscineros</t>
  </si>
  <si>
    <t>1.1.17</t>
  </si>
  <si>
    <t xml:space="preserve">Auxiliar Mantenimiento y Reparación de Flotadores </t>
  </si>
  <si>
    <t>1.1.18</t>
  </si>
  <si>
    <t>Lider Servicios Generales</t>
  </si>
  <si>
    <t>1.1.19</t>
  </si>
  <si>
    <t>Auxiliar Servicios Generales</t>
  </si>
  <si>
    <t>1.1.20</t>
  </si>
  <si>
    <t>Auxilar Mantenimiento Jardines (Ornato)</t>
  </si>
  <si>
    <t>1.1.21</t>
  </si>
  <si>
    <t>Coordinador logistico</t>
  </si>
  <si>
    <t>1.1.22</t>
  </si>
  <si>
    <t xml:space="preserve">Guarda Acuático ( Salvavidas) </t>
  </si>
  <si>
    <t>1.1.23</t>
  </si>
  <si>
    <t>Promotor deportivo</t>
  </si>
  <si>
    <t>1.1.24</t>
  </si>
  <si>
    <t>Líder para el servcio de Carpinteria y afines.</t>
  </si>
  <si>
    <t>1.1.25</t>
  </si>
  <si>
    <t>Auxiliar para el servicio de Carpinteria y afines</t>
  </si>
  <si>
    <t>EVENTUALES</t>
  </si>
  <si>
    <t>1.1.26</t>
  </si>
  <si>
    <t>Eventual - Taquillero</t>
  </si>
  <si>
    <t>1.1.27</t>
  </si>
  <si>
    <t>Eventual - Auxiliar de Servicios Generales</t>
  </si>
  <si>
    <t>1.1.28</t>
  </si>
  <si>
    <t>Eventual - Auxiliar operativo o afines</t>
  </si>
  <si>
    <t xml:space="preserve">SUBTOTAL -COSTO RECURSO HUMANO   - SEDE PARQUE METROPOLITANO DE LAS AGUAS (VALOR NOMINA MES) </t>
  </si>
  <si>
    <t>TOTAL COSTOS RECURSO HUMANO - SEDE PARQUE METROPOLITANO DE LAS AGUAS  (VALOR NOMINA TOTAL  PARA EL PROCESO)</t>
  </si>
  <si>
    <t>1.2</t>
  </si>
  <si>
    <t xml:space="preserve"> COSTOS RECURSO HUMANO - SEDE ADMINISTRATIVA </t>
  </si>
  <si>
    <t xml:space="preserve">CANTIDAD REQUERIDA DE PERSONAL </t>
  </si>
  <si>
    <r>
      <t xml:space="preserve">COSTO UNITARIO
REMUNERACIÓN MENSUAL 
</t>
    </r>
    <r>
      <rPr>
        <b/>
        <sz val="9"/>
        <color rgb="FFFF0000"/>
        <rFont val="Arial"/>
        <family val="2"/>
      </rPr>
      <t>(FIJA E INMODIFICABLE) *</t>
    </r>
  </si>
  <si>
    <t>1.2.1</t>
  </si>
  <si>
    <t>Coordinador General o Supervisor del Contrarto</t>
  </si>
  <si>
    <t>1.2.2</t>
  </si>
  <si>
    <t>1.2.3</t>
  </si>
  <si>
    <t xml:space="preserve">Técnicos para adecuaciones y conservación en general </t>
  </si>
  <si>
    <t>1.2.4</t>
  </si>
  <si>
    <t>1.2.5</t>
  </si>
  <si>
    <t>1.2.6</t>
  </si>
  <si>
    <t>1.2.7</t>
  </si>
  <si>
    <t>1.2.8</t>
  </si>
  <si>
    <t>1.2.9</t>
  </si>
  <si>
    <t xml:space="preserve">SUBTOTAL -COSTO RECURSO HUMANO   - SEDE ADMINISTRATIVA (VALOR NOMINA MES) </t>
  </si>
  <si>
    <t>TOTAL COSTOS RECURSO HUMANO - SEDE PADMINISTRATIVA  (VALOR NOMINA TOTAL  PARA EL PROCESO)</t>
  </si>
  <si>
    <t>TOTAL COSTOS COMPONENTE 1 - RECURSO HUMANO PARA EL PROCESO- AMBAS SEDES 
SEDE PARQUE METROPOLITANO DE LAS AGUAS MAS SEDE ADMINISTRATIVA  (VALOR NOMINA TOTAL PARA EL PROCESO)</t>
  </si>
  <si>
    <r>
      <t>COMPONENTE 2 - SUMINISTRO DE INSUMOS, DOTACION, SERVICIOS COMPLEMENTARIOS Y OTROS COSTOS DE OPERACIÓN PARA LA PRESTACIÓN DE SERVICIOS GENERALES INTEGRALES PARA LA SEDE DEL PARQUE METROPOLITANO DE LAS AGUAS y LA SEDE ADMINISTRATIVA 
(</t>
    </r>
    <r>
      <rPr>
        <b/>
        <sz val="10"/>
        <color rgb="FFFF0000"/>
        <rFont val="Arial"/>
        <family val="2"/>
      </rPr>
      <t>Reembolsables : Pagados contra factura o soporte idoneo ejecutado en el mes del servicio o gasto, a fin de demostrar que estos realmente se causaron y se ejecutaron, en caso que exista variaciones de los valores revisados con respecto del valor propuesto en un menor valor se efectuaran los ajustes respectivos para establecer el efectivo valor a pagar. En todo caso, lo ejecutado no podrá superar el valor de la propuesta económica)</t>
    </r>
  </si>
  <si>
    <t>2.1</t>
  </si>
  <si>
    <t xml:space="preserve">  SUMINISTRO DE INSUMOS, DOTACION, SERVICIOS COMPLEMENTARIOS Y OTROS COSTOS DE OPERACIÓN PARA LA PRESTACIÓN DE SERVICIOS GENERALES INTEGRALES  - SEDE PARQUE METROPOLITANO DE LAS AGUAS</t>
  </si>
  <si>
    <t>DESCRIPCIÓN</t>
  </si>
  <si>
    <t>N° VECES DURANTE EL CONTRATO</t>
  </si>
  <si>
    <t xml:space="preserve">COSTO UNITARIO
</t>
  </si>
  <si>
    <t xml:space="preserve">COSTO TOTAL
</t>
  </si>
  <si>
    <t>AU
(T) = (%AU * S)</t>
  </si>
  <si>
    <t xml:space="preserve">SUBTOTAL ANTES DE IVA
</t>
  </si>
  <si>
    <r>
      <t xml:space="preserve">V1= IVA APLICABLE A BIEN O SERVICIO
</t>
    </r>
    <r>
      <rPr>
        <b/>
        <sz val="7"/>
        <color rgb="FFFF0000"/>
        <rFont val="Arial"/>
        <family val="2"/>
      </rPr>
      <t xml:space="preserve">(*) Ver Notas IVA N° 3 y 4 </t>
    </r>
  </si>
  <si>
    <r>
      <t xml:space="preserve">V2= IVA APLICABLE A A.U.
</t>
    </r>
    <r>
      <rPr>
        <b/>
        <sz val="7"/>
        <color rgb="FFFF0000"/>
        <rFont val="Arial"/>
        <family val="2"/>
      </rPr>
      <t>(*) Ver Notas IVA N° 3 Y 4</t>
    </r>
  </si>
  <si>
    <t>SUBTOTAL IVA
(V = V1 + V2)</t>
  </si>
  <si>
    <t xml:space="preserve">VALOR TOTAL  INCLUIDO IVA
(W) = U + V </t>
  </si>
  <si>
    <t>(Q)</t>
  </si>
  <si>
    <t>(R)</t>
  </si>
  <si>
    <t>(S) = Q * R</t>
  </si>
  <si>
    <t xml:space="preserve"> = (S)</t>
  </si>
  <si>
    <t>(U)  = S + T</t>
  </si>
  <si>
    <t>(V)  = V1+V2</t>
  </si>
  <si>
    <t>(W)  =U + V</t>
  </si>
  <si>
    <t>2.1.1</t>
  </si>
  <si>
    <t>SUMINISTRO DE INSUMOS Y DOTACION - SEDE PARQUE METROPOLITANO DE LAS AGUAS</t>
  </si>
  <si>
    <t>2.1.1.1</t>
  </si>
  <si>
    <t>Dotación del Personal (Uniformes)</t>
  </si>
  <si>
    <t>2.1.1.2</t>
  </si>
  <si>
    <t>Insumos de Cafetería (Mensual)</t>
  </si>
  <si>
    <t>Insumos de Aseo (Mensual)</t>
  </si>
  <si>
    <t>2.1.1.3</t>
  </si>
  <si>
    <t>Insumos de Aseo (Entrega unica)</t>
  </si>
  <si>
    <t>2.1.1.4</t>
  </si>
  <si>
    <t>Insumos de Jardinería (Entrega unica)</t>
  </si>
  <si>
    <t>2.1.1.5</t>
  </si>
  <si>
    <t>Insumos de Salud Ocupacional (Mensual)</t>
  </si>
  <si>
    <t>Insumos de EEP (Entrega única)</t>
  </si>
  <si>
    <t>2.1.1.6</t>
  </si>
  <si>
    <t>Insumos de Enfermería (Mensual)</t>
  </si>
  <si>
    <t>Insumos de Enfermería (Entrega única)</t>
  </si>
  <si>
    <t>SUBTOTAL - COSTOS SUMINISTRO DE INSUMOS Y DOTACION - SEDE PARQUE METROPOLITANO DE LAS AGUAS</t>
  </si>
  <si>
    <t>2.1.5.01.02 y 2.1.5.01.03</t>
  </si>
  <si>
    <t>2.1.2</t>
  </si>
  <si>
    <t>SERVICIOS COMPLEMENTARIOS Y OTROS COSTOS DE OPERACIÓN  - SEDE PARQUE METROPOLITANO DE LAS AGUAS</t>
  </si>
  <si>
    <t>2.1.2.1</t>
  </si>
  <si>
    <t>Conservación de Zonas Verdes (2 Veces durante el plazo del Contrato, previa coordinación con la Supervisión)</t>
  </si>
  <si>
    <t>2.1.2.2</t>
  </si>
  <si>
    <t>Servicios de Recolección de Residuos Peligrosos (4 Veces durante el plazo del Contrato, previa coordinación con la Supervisión)</t>
  </si>
  <si>
    <t>2.1.2.3</t>
  </si>
  <si>
    <t>Servicio de Fumigación y Control de Plagas</t>
  </si>
  <si>
    <t>2.1.2.4</t>
  </si>
  <si>
    <t>Servicio de Chipiado (Global)</t>
  </si>
  <si>
    <t>2.1.2.5</t>
  </si>
  <si>
    <t>Servicio de Mantenimiento a Equipos Menores (Global)</t>
  </si>
  <si>
    <t>2.1.2.6</t>
  </si>
  <si>
    <t>Bolsa maquinaria (Global) (30% del costo total de servicios complementarios)</t>
  </si>
  <si>
    <t>Otros Reembolsables - Valor  Fijo e Inmodificable y Reembolsable</t>
  </si>
  <si>
    <t>SUBTOTAL -   COSTOS POR SERVICIOS COMPLEMENTARIOS Y OTROS COSTOS DE OPERACIÓN  -  SEDE PARQUE METROPOLITANO DE LAS AGUAS</t>
  </si>
  <si>
    <t>TOTAL COSTOS  POR  SUMINISTRO DE INSUMOS, DOTACION, SERVICIOS COMPLEMENTARIOS Y OTROS COSTOS DE OPERACIÓN PARA LA PRESTACIÓN DE SERVICIOS GENERALES INTEGRALES  - SEDE PARQUE METROPOLITANO DE LAS AGUAS</t>
  </si>
  <si>
    <t>2.2</t>
  </si>
  <si>
    <t xml:space="preserve">   SUMINISTRO DE INSUMOS, DOTACION, SERVICIOS COMPLEMENTARIOS Y OTROS COSTOS DE OPERACIÓN PARA LA PRESTACIÓN DE SERVICIOS GENERALES INTEGRALES  - SEDE ADMINISTRATIVA</t>
  </si>
  <si>
    <t xml:space="preserve">N° VECES DURANTE EL CONTRATO
</t>
  </si>
  <si>
    <r>
      <rPr>
        <b/>
        <sz val="8"/>
        <rFont val="Arial"/>
        <family val="2"/>
      </rPr>
      <t xml:space="preserve">V1= IVA APLICABLE A BIEN O SERVICIO
</t>
    </r>
    <r>
      <rPr>
        <b/>
        <sz val="8"/>
        <color rgb="FFFF0000"/>
        <rFont val="Arial"/>
        <family val="2"/>
      </rPr>
      <t xml:space="preserve">(*) Ver Notas IVA N° 3 y 4 </t>
    </r>
  </si>
  <si>
    <r>
      <t xml:space="preserve">V2= IVA APLICABLE A A.U.
</t>
    </r>
    <r>
      <rPr>
        <b/>
        <sz val="8"/>
        <color rgb="FFFF0000"/>
        <rFont val="Arial"/>
        <family val="2"/>
      </rPr>
      <t>(*) Ver Notas IVA N° 3 Y 4</t>
    </r>
  </si>
  <si>
    <t xml:space="preserve">SUBTOTAL IVA
(V = V1 + V2)
</t>
  </si>
  <si>
    <t>2.2.1</t>
  </si>
  <si>
    <t>SUMINISTRO DE INSUMOS Y DOTACION - SEDE ADMINISTRATIVA</t>
  </si>
  <si>
    <t>2.2.1.1</t>
  </si>
  <si>
    <t>2.2.1.2</t>
  </si>
  <si>
    <t>2.2.1.3</t>
  </si>
  <si>
    <t>SUBTOTAL - COSTOS SUMINISTRO DE INSUMOS Y DOTACION - SEDE ADMINISTRATIVA</t>
  </si>
  <si>
    <t>2.1.2.02.02.002 y 2.1.2.02.02.003</t>
  </si>
  <si>
    <t>2.2.2</t>
  </si>
  <si>
    <t>SERVICIOS COMPLEMENTARIOS Y OTROS COSTOS DE OPERACIÓN  - SEDE ADMINISTRATIVA</t>
  </si>
  <si>
    <t>2.2.2.1</t>
  </si>
  <si>
    <t>Fumigación edificio (Rastreros, Voladores, Roedores)  ((previo acuerdo con la supervision)</t>
  </si>
  <si>
    <t>2.2.2.2</t>
  </si>
  <si>
    <t>Limpieza y desinfeccion a tanque de agua potable en FV de 9.000 litros (previo acuerdo con la supervision)</t>
  </si>
  <si>
    <t>2.2.2.3</t>
  </si>
  <si>
    <t>Limpieza y desinfeccion a  Fuentes – interna (1)  y externa (previo acuerdo con la supervision)</t>
  </si>
  <si>
    <t>2.2.2.4</t>
  </si>
  <si>
    <t>Limpieza y reparacion  a puertas vidrieras (cuando sea necesario)</t>
  </si>
  <si>
    <t>GLOBAL</t>
  </si>
  <si>
    <t>2.2.2.5</t>
  </si>
  <si>
    <t xml:space="preserve">Control y reparacion de  Humedades (cuando sea necesario) </t>
  </si>
  <si>
    <t>Limpieza, desinfeccion y tratamiento de Aguas a tanques de refrigeración del Aire acondicionado ubicados en la Torre 2. (previo acuerdo con la supervision)</t>
  </si>
  <si>
    <t>2.2.2.6</t>
  </si>
  <si>
    <t>Lavado industrial y reparacion de los muebles, silletería y tapetes de auditorios, cancelería (previo acuerdo con la supervision)</t>
  </si>
  <si>
    <t>2.2.2.7</t>
  </si>
  <si>
    <t>Limpieza y adecuación del archivo rodante (previo acuerdo con la supervision)</t>
  </si>
  <si>
    <t>2.2.2.8</t>
  </si>
  <si>
    <t>Mantenimiento a Video Beam - 6 unidades (cuando sea necesario)</t>
  </si>
  <si>
    <t>2.2.2.9</t>
  </si>
  <si>
    <t>Mantenimiento correctivo televisores (26) y (19) pantallas (cuando sea necesario)</t>
  </si>
  <si>
    <t>2.2.2.10</t>
  </si>
  <si>
    <t>Mantenimiento silletería secretarial y ejecutiva  – preventivo (cuando sea necesario)</t>
  </si>
  <si>
    <t>2.2.2.12</t>
  </si>
  <si>
    <t>SUBTOTAL - SERVICIOS COMPLEMENTARIOS y OTROS COSTOS DE OPERACIÓN - SEDE ADMINISTRATIVA</t>
  </si>
  <si>
    <t>2.1.2.02.02.008 y 2.1.2.02.02.003</t>
  </si>
  <si>
    <t>TOTAL COSTOS  POR  SUMINISTRO DE INSUMOS, DOTACION Y OTROS COSTOS DE OPERACIÓN PARA LA PRESTACIÓN DE SERVICIOS GENERALES INTEGRALES  - SEDE ADMINISTRATIVA</t>
  </si>
  <si>
    <t xml:space="preserve">TOTAL COSTOS COMPONENTE 2 - SUMINISTRO DE INSUMOS, DOTACION Y OTROS COSTOS DE OPERACIÓN PARA EL PROCESO- AMBAS SEDES 
SEDE PARQUE METROPOLITANO DE LAS AGUAS MAS SEDE ADMINISTRATIVA </t>
  </si>
  <si>
    <t>-</t>
  </si>
  <si>
    <t>El proponente favorecido con la adjudicación del Contrato,  al elaborar este FORMULARIO  con  los precios unitarios de cada uno de los Ítems, deberá tener en cuenta que el valor total de la Oferta Económica INCLUIDO IVA POR RUBRO PRESUPUESTAL  no puede superar el Valor Total del Presupuesto Oficial INCLUIDO  IVA por Rubro Presupuestal</t>
  </si>
  <si>
    <t>VALOR TOTAL OFERTA ECONÓMICA POR RUBRO PRESUPUESTAL
(INCLUIDOS  AU e IVA</t>
  </si>
  <si>
    <r>
      <t>(*) El Proponente debe tener en cuenta</t>
    </r>
    <r>
      <rPr>
        <sz val="9"/>
        <color rgb="FFFF0000"/>
        <rFont val="Arial"/>
        <family val="2"/>
      </rPr>
      <t xml:space="preserve"> que la Entidad estableció los Salarios como un Valor Fijo en Inmodificable</t>
    </r>
    <r>
      <rPr>
        <sz val="9"/>
        <rFont val="Arial"/>
        <family val="2"/>
      </rPr>
      <t>, de igual manera</t>
    </r>
    <r>
      <rPr>
        <sz val="9"/>
        <color rgb="FFFF0000"/>
        <rFont val="Arial"/>
        <family val="2"/>
      </rPr>
      <t xml:space="preserve"> la Tarifa de ARL aplicada para cada Cargo es Inmodificable</t>
    </r>
    <r>
      <rPr>
        <sz val="9"/>
        <rFont val="Arial"/>
        <family val="2"/>
      </rPr>
      <t xml:space="preserve">. Además </t>
    </r>
    <r>
      <rPr>
        <sz val="9"/>
        <color rgb="FFFF0000"/>
        <rFont val="Arial"/>
        <family val="2"/>
      </rPr>
      <t>las prestaciones de Ley y demas componentes de Norma son inmodificables</t>
    </r>
    <r>
      <rPr>
        <sz val="9"/>
        <rFont val="Arial"/>
        <family val="2"/>
      </rPr>
      <t>; en caso de alteraciones, se deberan  justificar con fundamentos legales sin afectar el desarrollo del proceso.
Y entre los ítems del Componente de SUMINISTRO DE INSUMOS, DOTACION Y OTROS COSTOS DE OPERACIÓN, señaló el COSTO DIRECTO de algunos  ítems se como un VALOR FIJO e INMODIFICABLE por el Proponente y estableció que todos los ítems de este Componente son REEMBOLSABLES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r>
  </si>
  <si>
    <r>
      <t xml:space="preserve">Y entre los ítems del Componente de </t>
    </r>
    <r>
      <rPr>
        <b/>
        <sz val="9"/>
        <rFont val="Arial"/>
        <family val="2"/>
      </rPr>
      <t>SUMINISTRO DE INSUMOS, DOTACION Y OTROS COSTOS DE OPERACIÓN</t>
    </r>
    <r>
      <rPr>
        <sz val="9"/>
        <rFont val="Arial"/>
        <family val="2"/>
      </rPr>
      <t xml:space="preserve">, </t>
    </r>
    <r>
      <rPr>
        <sz val="9"/>
        <color rgb="FFFF0000"/>
        <rFont val="Arial"/>
        <family val="2"/>
      </rPr>
      <t xml:space="preserve">señaló algunos con el COSTO DIRECTO de algunos  ítems se como un VALOR FIJO e INMODIFICABLE </t>
    </r>
    <r>
      <rPr>
        <sz val="9"/>
        <rFont val="Arial"/>
        <family val="2"/>
      </rPr>
      <t xml:space="preserve">por el Proponente </t>
    </r>
    <r>
      <rPr>
        <b/>
        <sz val="9"/>
        <rFont val="Arial"/>
        <family val="2"/>
      </rPr>
      <t>y estableció que todos los ítems de este Componente son REEMBOLSABLES</t>
    </r>
    <r>
      <rPr>
        <sz val="9"/>
        <rFont val="Arial"/>
        <family val="2"/>
      </rPr>
      <t xml:space="preserve">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r>
  </si>
  <si>
    <t>Valores y/o Porcentajes en Rojo; son inmodificales.</t>
  </si>
  <si>
    <t xml:space="preserve">EL PROPONENTE DEBERA OBSERVAR LA NORMATIVIDAD TRIBUTARIA VIGENTE A EFECTOS DE DETERMINAR EL VALOR CORRESPONDIENTE AL IVA </t>
  </si>
  <si>
    <t>Notas Adicionales:</t>
  </si>
  <si>
    <r>
      <t>a) El proponente favorecido con la adjudicación del Contrato,  deberá presentar este Formulario,</t>
    </r>
    <r>
      <rPr>
        <b/>
        <i/>
        <sz val="10"/>
        <color rgb="FFFF0000"/>
        <rFont val="Arial"/>
        <family val="2"/>
      </rPr>
      <t xml:space="preserve"> dentro del primer día hábil siguiente al Certamen</t>
    </r>
    <r>
      <rPr>
        <i/>
        <sz val="10"/>
        <color theme="1"/>
        <rFont val="Arial"/>
        <family val="2"/>
      </rPr>
      <t xml:space="preserve"> con  los precios unitarios de cada uno de los elementos (Ítems), de conformidad al valor total por el cual se adjudica y de conformidad con lo estipulado en el Pliego de Condiciones.</t>
    </r>
  </si>
  <si>
    <r>
      <t xml:space="preserve">b) El proponente favorecido con la adjudicación del Contrato,  al elaborar el presente formulario con  los precios unitarios de cada uno de los elementos (Ítems), deberá tener en cuenta que el valor total de la Oferta Económica INCLUIDO IVA  no puede superar el Valor Total del Presupuesto Oficial (POE) INCLUIDO IVA
Y que el valor total de la Oferta Económica INCLUIDO IVA </t>
    </r>
    <r>
      <rPr>
        <b/>
        <i/>
        <sz val="10"/>
        <color theme="1"/>
        <rFont val="Arial"/>
        <family val="2"/>
      </rPr>
      <t>POR RUBRO PRESUPUESTAL</t>
    </r>
    <r>
      <rPr>
        <i/>
        <sz val="10"/>
        <color theme="1"/>
        <rFont val="Arial"/>
        <family val="2"/>
      </rPr>
      <t xml:space="preserve">  no puede superar el Valor Total del Presupuesto Oficial (POE) INCLUIDO IVA </t>
    </r>
    <r>
      <rPr>
        <b/>
        <i/>
        <sz val="10"/>
        <color theme="1"/>
        <rFont val="Arial"/>
        <family val="2"/>
      </rPr>
      <t xml:space="preserve">por Rubro Presupuestal.  </t>
    </r>
  </si>
  <si>
    <r>
      <t xml:space="preserve">c) </t>
    </r>
    <r>
      <rPr>
        <i/>
        <sz val="10"/>
        <color rgb="FFFF0000"/>
        <rFont val="Arial"/>
        <family val="2"/>
      </rPr>
      <t>El porcentaje que determine de A.U</t>
    </r>
    <r>
      <rPr>
        <i/>
        <sz val="10"/>
        <color theme="1"/>
        <rFont val="Arial"/>
        <family val="2"/>
      </rPr>
      <t xml:space="preserve">, en este Formulario de Oferta Económica </t>
    </r>
    <r>
      <rPr>
        <i/>
        <sz val="10"/>
        <color rgb="FFFF0000"/>
        <rFont val="Arial"/>
        <family val="2"/>
      </rPr>
      <t>no podrá superar el porcentaje de A.U. del Presupuesto Oficial (POE), establecido en un 8.00%</t>
    </r>
  </si>
  <si>
    <r>
      <t>d) La Entidad podrá realizar las correcciones aritméticas a las que haya lugar, entendiendo por esto la corrección de una operación matemática por error de cálculo numérico en que se incurre al elaborar la oferta económica. Los errores aritméticos que pueda tener la oferta económica contenida en el Formulario, serán corregidos y con base en esta se suscribirá el respectivo Contrato. E</t>
    </r>
    <r>
      <rPr>
        <b/>
        <i/>
        <sz val="10"/>
        <color theme="1"/>
        <rFont val="Arial"/>
        <family val="2"/>
      </rPr>
      <t>n todo caso, el valor del mismo antes de IVA corresponderá al valor del último lance válido más el IVA que corresponda.</t>
    </r>
  </si>
  <si>
    <r>
      <t>e)</t>
    </r>
    <r>
      <rPr>
        <i/>
        <sz val="10"/>
        <color rgb="FF000000"/>
        <rFont val="Arial"/>
        <family val="2"/>
      </rPr>
      <t xml:space="preserve">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r>
    <r>
      <rPr>
        <i/>
        <sz val="10"/>
        <color theme="1"/>
        <rFont val="Arial"/>
        <family val="2"/>
      </rPr>
      <t xml:space="preserve">
Y si es necesario, solicitará al Proponente Adjudicatario que realice las correcciones a que haya lugar, previendo que el Valor total incluido IVA no exceda el Presupuesto Oficial incluido IVA  y que el valor total antes de IVA del presente formulario corresponda al valor del último lance válido</t>
    </r>
  </si>
  <si>
    <r>
      <t xml:space="preserve">f) </t>
    </r>
    <r>
      <rPr>
        <i/>
        <sz val="10"/>
        <color rgb="FF000000"/>
        <rFont val="Arial"/>
        <family val="2"/>
      </rPr>
      <t>Cada precio unitario y totales, deben estar ajustados al peso, sin centavos es decir CERO decimales</t>
    </r>
    <r>
      <rPr>
        <i/>
        <sz val="10"/>
        <color theme="1"/>
        <rFont val="Arial"/>
        <family val="2"/>
      </rPr>
      <t xml:space="preserve"> </t>
    </r>
  </si>
  <si>
    <t>g)La Entidad para el cálculo de los Costos del Recurso Humano, dió aplicación a la ley 2101 de 2021 y en dicho sentido, considera una jornada máxima legal de 46 horas a la semana y 230 horas de jornada laboral máxima al mes.</t>
  </si>
  <si>
    <t>h)Los costos por Recargo Dominical o Festivo, se hicieron considerando el reconocimiento indicado por la norma del 75% y se proyectaron para una jornada laboral en dominical o festivo máxima de 8 horas, El reconocimiento sel pago se hace de acuerdo a la demanda del servicio y la ejecución real de dichas jornadas.</t>
  </si>
  <si>
    <r>
      <t xml:space="preserve">i)El presente proceso presenta el valor del IVA, previendo que entre sus condiciones técnicas e ítems incluidos en el Presupuesto Oficial contiene ítems que en su ejecución incluyen actividades requeridas para la limpieza y conservación de la Entidad, así como actividades relacionadas con la preparación y distribución café y aromática para consumo al interior de las instalaciones de la Entidad, sin que se genere contraprestación alguna por parte del consumidor de los mismos, por lo tanto estas actividades están amparadas por la base gravable especial prevista en el artículo 462-1 del ET, según el cual la </t>
    </r>
    <r>
      <rPr>
        <b/>
        <i/>
        <sz val="10"/>
        <color theme="1"/>
        <rFont val="Arial"/>
        <family val="2"/>
      </rPr>
      <t>base gravable es el AU</t>
    </r>
    <r>
      <rPr>
        <i/>
        <sz val="10"/>
        <color theme="1"/>
        <rFont val="Arial"/>
        <family val="2"/>
      </rPr>
      <t xml:space="preserve"> siempre y cuando sea igual o superior al 10% y si es inferior como es el caso del proceso, la base gravable especial será equivalente al 10% del Costo.</t>
    </r>
  </si>
  <si>
    <t>FIRMA AUTORIZADA_____________________________________</t>
  </si>
  <si>
    <t>FECHA: ____________________</t>
  </si>
  <si>
    <t>La Tarifa de ARL aplicada para cada Cargo es Inmodificable</t>
  </si>
  <si>
    <t>Fuente: https://www.comunidadcontable.com/BancoConocimiento/Laboral/cambio-en-el-calculo-de-horas-extras-segun-la-reduccion-de-la-jornada-laboral-a-partir-del-15-de-jul.asp?#:~:text=El%20cambio%20se%20ha%20venido,horas%20la%20jornada%20laboral%20semanal.</t>
  </si>
  <si>
    <t>Cambio en el cálculo de horas extras según la reducción de la jornada laboral a partir del 16 de julio de 2024</t>
  </si>
  <si>
    <t>La reducción de la jornada máxima de trabajo obedece a la aplicación de la Ley 2101 de 2021, por medio de la cual se reduce la jornada máxima laboral semanal a 42 horas.</t>
  </si>
  <si>
    <t>La citada Ley modificó el artículo 161 del Código Sustantivo del Trabajo y establece la duración máxima de la jornada ordinaria de trabajo de 42 horas a la semana. </t>
  </si>
  <si>
    <t>El cambio se ha venido realizando de forma gradual, por lo que desde el 16 de julio de 2023 se redujo una hora, es decir a 47 horas semanales y ahora, desde el 16 de julio del año 2024, será de 46 horas la jornada laboral semanal.</t>
  </si>
  <si>
    <t>Para los siguientes dos años, continuará la reducción así:</t>
  </si>
  <si>
    <t>-) Desde el día 16 de julio del año 2025, pasará a 44 horas y finalmente,</t>
  </si>
  <si>
    <t>-) Desde el 16 de julio de 2026, será de 42 horas semanales, jornada máxima laboral en Colombia.</t>
  </si>
  <si>
    <t>La ley 2101 de 2021 se refiere a la jornada laboral máxima de los trabajadores y trabajadoras del sector privado, es decir, a las personas naturales que han suscrito contratos laborales con empresas privadas y no aplica para las y los servidores públicos salvo los que trabajen en empresas del Estado y cuyas relaciones laborales se rijan por el Código Sustantivo del Trabajo.</t>
  </si>
  <si>
    <t>Aumenta valor de la hora diaria</t>
  </si>
  <si>
    <t>La disminución de la jornada máxima laboral implica, el aumento del valor de la hora diaria, toda vez que, por menos tiempo laborado, el trabajador continuará devengando la misma remuneración.</t>
  </si>
  <si>
    <t>Los empleadores deben realizar el cálculo del nuevo valor de la hora de trabajo para liquidar el valor de las horas extras y los recargos nocturnos, dominicales y festivos, respetando siempre el principio de favorabilidad.</t>
  </si>
  <si>
    <t>Forma de Cálculo del valor Hora</t>
  </si>
  <si>
    <t>LEY 2101 DE 2021 - 01/05/2026 HASTA EL 15/07/2026 - 44 HORAS SEMANALES O 220 HORAS AL MES</t>
  </si>
  <si>
    <t>ANTES</t>
  </si>
  <si>
    <t>LEY 2101 DE 2021 - 16/07/2026 EN ADELANTE - 42 HORAS SEMANALES O 210 HORAS AL MES</t>
  </si>
  <si>
    <t>Fecha a partir de la cual inicia la aplicación</t>
  </si>
  <si>
    <t>Fórmula para sacar el valor de la hora laboral</t>
  </si>
  <si>
    <t>Horas laborales día</t>
  </si>
  <si>
    <t>Horas laboradas al mes</t>
  </si>
  <si>
    <t>La jornada semanal será entonces de 42 horas y la jornada diaria será de 7 horas</t>
  </si>
  <si>
    <t>16 de julio de 2026</t>
  </si>
  <si>
    <t>42/6 días X 30 días/30</t>
  </si>
  <si>
    <t>La jornada mensual será de 210 horas</t>
  </si>
  <si>
    <t>44/6 días X 30 días/30</t>
  </si>
  <si>
    <t>valor día</t>
  </si>
  <si>
    <t>LEY 2466 DE 2025 - PARAGRAFO TRANSITORIO DEL ARTICULO 14. REMUNERACIÓN EN DIAS DE DESCANSO OBLIGATORIO 
- 01/05/2026 HASTA EL 30/06/2026 - 80% RECARGO
- 01/07/2026 AL 30/06/2027 - 90% RECARGO</t>
  </si>
  <si>
    <t>recargo dominical día</t>
  </si>
  <si>
    <t>Recargo dominical x 26 domingos del plazo del Contrato entre 16/07/2026 en adelante</t>
  </si>
  <si>
    <t>Recargo dominical x 9 domingos de todo el plazo del Contrato</t>
  </si>
  <si>
    <t>´4085770/6 = 680,962 - Recargo dominical nomina mes</t>
  </si>
  <si>
    <t>´1257156/2 = 628,578 - Recargo dominical nomina mes</t>
  </si>
  <si>
    <t>Valor horas extras, dominicales y festivos</t>
  </si>
  <si>
    <t xml:space="preserve">A continuación se cálcula el valor de las horas extras, dominicales y festivos, basados en el salario mínimo mensual legal vigente para 2026, es decir: </t>
  </si>
  <si>
    <t>El valor de la hora se calculó así: $1.750.905 correspondiente a el SMMLV se dividió en 210 horas mensuales y como resultado se obtuvo $8.338</t>
  </si>
  <si>
    <t>VERIFICACIÓN VR HORA S/N SMMLV</t>
  </si>
  <si>
    <t>Valor extras, dominicales o festivos</t>
  </si>
  <si>
    <t>Factor
del 01/05/2026 al 15/07/2026</t>
  </si>
  <si>
    <t>Factor
del 16/07/2026 en adelante</t>
  </si>
  <si>
    <t>Valor
del 01/05/2026 al 15/07/2026</t>
  </si>
  <si>
    <t>Valor
del 16/07/2026 al 31/12/2026</t>
  </si>
  <si>
    <t>valor hora</t>
  </si>
  <si>
    <t>Hora extra diurna ordinaria</t>
  </si>
  <si>
    <t>Hora extra nocturna ordinaria</t>
  </si>
  <si>
    <t>Recargo por hora nocturna ordinaria</t>
  </si>
  <si>
    <t>Hora extra diurna dominical (hasta el 30/06/2026)</t>
  </si>
  <si>
    <t>No aplica</t>
  </si>
  <si>
    <t>Hora extra diurna dominical (desde el 01/07/2026 al 30/06/2027)</t>
  </si>
  <si>
    <t>Hora extra nocturna dominical (hasta el 30/06/2026)</t>
  </si>
  <si>
    <t>Hora extra nocturna dominical (desde el 01/07/2026 al 30/06/2027)</t>
  </si>
  <si>
    <t>Recargo dominical o festivo (hasta el 30/06/2026)</t>
  </si>
  <si>
    <t>Recargo dominical o festivo (desde el 01/07/2026 al 30/06/2027)</t>
  </si>
  <si>
    <t>Día dominical (hasta el 30/06/2026)</t>
  </si>
  <si>
    <t>TENER EN CUENTA QUE SE LABORAN LAS 8 HRS.</t>
  </si>
  <si>
    <t>Día dominical (desde el 01/07/2026 al 30/06/2027)</t>
  </si>
  <si>
    <t>Hora dominical (hasta el 30/06/2026)</t>
  </si>
  <si>
    <t>Hora dominical (desde el 01/07/2026 al 30/06/2027)</t>
  </si>
  <si>
    <t>VALIDACIÓN DEL RECARGO DOMINICAL Y DE LOS FESTIVOS - PROCESO 2026 - PERSONAL SEDE PARQUE METROPOLITANO DE LAS AGUAS</t>
  </si>
  <si>
    <t>ASIGNACIÓN DE LA JORNADA LABORAL ORDINARIA EN EL PARQUE METROPOLITANO DE LAS AGUAS - INFORMA JUAN GONZALO JARAMILLO - ASIGNADO COMO TÉCNICO</t>
  </si>
  <si>
    <t xml:space="preserve">Lunes  </t>
  </si>
  <si>
    <t>Descanso</t>
  </si>
  <si>
    <t>Martes a Viernes (de 9am a 4:30pm con 0,5hr de almuerzo)</t>
  </si>
  <si>
    <t>Sábados y Domingos (de 9am a 4:30pm con 0,5hr de almuerzo)</t>
  </si>
  <si>
    <t>Total Horas Semanales</t>
  </si>
  <si>
    <t>Total horas al mes</t>
  </si>
  <si>
    <t>PARA LA VALIDACIÓN FINANCIERA - SE TOMAN LOS DATOS DEL  CARGO DE COORDINADOR GENERAL DEL PARQUE</t>
  </si>
  <si>
    <t>RECARGO DOMINICALES - 26 DOMINICALES 
RECARGO FESTIVOS - 8 FESTIVOS
JORNADA DIA MÁXIMO 7 HORAS</t>
  </si>
  <si>
    <t>VALOR HORA ORDINARIA</t>
  </si>
  <si>
    <t>210 HORAS MES</t>
  </si>
  <si>
    <t>VALOR RECARGO X HORA - DOMINICAL o FESTIVO</t>
  </si>
  <si>
    <t>0,9% HORA</t>
  </si>
  <si>
    <t>RECARGO X HORA DOMINICAL o FESTIVO</t>
  </si>
  <si>
    <t>VALOR REGARGO X DIA (VR RECARGO HORA X TOTAL HORAS DIA - 7 horas DOMINGO/FESTIVOS)</t>
  </si>
  <si>
    <t>RECARGO X DIA DOMINICAL o FESTIVO - JORNADA MÁXIMA DE 7 HORAS</t>
  </si>
  <si>
    <t>TOTAL DIAS DOMINICALES  y RECARGO DURANTE EL CONTRATO</t>
  </si>
  <si>
    <t>TOTAL RECARGO DOMINICAL POR NÓMINA MES - DIVIDE EL TOTAL X 6 MESES</t>
  </si>
  <si>
    <t xml:space="preserve">ESTE ES EL VALOR DEL RECARGO POR DOMINICALES NOMINA MES </t>
  </si>
  <si>
    <t>1,9% HORA</t>
  </si>
  <si>
    <t>RECARGO X HORA DOMINICAL o FESTIVO (tener en cuenta que este dia no es compensado a comparación del dominical)</t>
  </si>
  <si>
    <t>TOTAL DIAS FESTIVOS y RECARGO DURANTE EL CONTRATO</t>
  </si>
  <si>
    <t>TOTAL RECARGO FESTIVO POR NÓMINA MES - DIVIDE EL TOTAL X 6 MESES</t>
  </si>
  <si>
    <t>ESTE ES EL VALOR DEL RECARGO POR FESTIVOS NOMINA MES</t>
  </si>
  <si>
    <t>VALIDACIÓN DEL RECARGO DOMINICAL Y DE LOS FESTIVOS - PROCESO 2026 - PERSONAL SEDE ADMINISTRATIVA</t>
  </si>
  <si>
    <r>
      <t xml:space="preserve">ASIGNACIÓN DE LA JORNADA LABORAL ORDINARIA EN LA SEDE ADMINISTRATIVA - </t>
    </r>
    <r>
      <rPr>
        <b/>
        <sz val="10"/>
        <color rgb="FFFF0000"/>
        <rFont val="Arial"/>
        <family val="2"/>
      </rPr>
      <t>INFORMA LINA MARCELA RESTREPO - ASIGNADO COMO TÉCNICO</t>
    </r>
  </si>
  <si>
    <t>HORARIO DIURNO DE LUNES A JUEVES (7AM A 4:30 PM)</t>
  </si>
  <si>
    <t>HORARIO DIURNO VIERNES (7 AM A 4 PM)</t>
  </si>
  <si>
    <t>HORARIO DIURNO DE LUNES A VIERNES</t>
  </si>
  <si>
    <t>TOTAL HORAS A NIVEL SEMANAL</t>
  </si>
  <si>
    <t>PAG 51, EP</t>
  </si>
  <si>
    <t>TOTAL HORAS A NIVEL MES</t>
  </si>
  <si>
    <t>OCASIONALMENTE LABORAN EN UN DOMINICAL O EN FESTIVO POR ALGUNA NECESIDAD DEL SERVICIO</t>
  </si>
  <si>
    <t>EL ÁREA TÉCNICA - SEDE ADMINISTRATIVA PROYECTA COSTOS POR RECARGO DOMINICAL PARA UN TOTAL DE 11 DOMINGOS DE UN TOTAL DE 13 QUE HAY EN EL PERIODO Y RECARGO PARA LOS 4 FESTIVOS</t>
  </si>
  <si>
    <t>Desde lo técnico, se consideró oportuno dejarlo calculado para los siguientes cargos, ya que este es un pago que solo se hace a demanda y como tal, la no ejecución del servicio no se pagaría, igual se calcula el recargo para una jornada laboral en dominical o festivo máxima de 7 horas</t>
  </si>
  <si>
    <t>Desde la parte técnica, se define que los cargos a los cuales se les podrá en algún momento programar labores en festivos o dominicales serian:</t>
  </si>
  <si>
    <t>Auxiliar  Operativo o afines</t>
  </si>
  <si>
    <t>Auxiliar Mantenimiento Jardines (Ornato)</t>
  </si>
  <si>
    <t xml:space="preserve">PARA LA VALIDACIÓN FINANCIERA - SE TOMAN LOS DATOS DEL CARGO DE TÉCNICO PARA ADECUACIONES Y CONSERVACIÓN EN GENERAL - SEDE </t>
  </si>
  <si>
    <t>0,90% HORA</t>
  </si>
  <si>
    <t>RECARGO X HORA  DOMINICAL o FESTIVO</t>
  </si>
  <si>
    <t>TOTAL PROYECTADO PARA LA SEDE  - DIAS DOMINICALES  y RECARGO DURANTE EL CONTRATO</t>
  </si>
  <si>
    <t>1,90% HORA</t>
  </si>
  <si>
    <t>RECARGO X HORA  DOMINICAL o FESTIVO (No se compensa el dia festivo trabajado)</t>
  </si>
  <si>
    <t>EL PLAZO DE EJECUCIÓN ES DE 8 MESES - partido en 2:
desde 01 mayo a 30 de junio de 2026
desde 01 de julio al 31 diciembre de 2026</t>
  </si>
  <si>
    <t>DOMINICALES - MAYO - JUNIO 2026</t>
  </si>
  <si>
    <t>JUNIO</t>
  </si>
  <si>
    <t>1-15 JULIO</t>
  </si>
  <si>
    <t xml:space="preserve">TOTAL </t>
  </si>
  <si>
    <t>FESTIVOS - MAYO - JUNIO 2026</t>
  </si>
  <si>
    <t>DOMINICALES - JULIO - DICIEMBRE 2026</t>
  </si>
  <si>
    <t>16-31 JULIO</t>
  </si>
  <si>
    <t>AGOSTO</t>
  </si>
  <si>
    <t>SEPTIEMBRE</t>
  </si>
  <si>
    <t>OCTUBRE</t>
  </si>
  <si>
    <t>NOVIEMBRE</t>
  </si>
  <si>
    <t>DICIEMBRE</t>
  </si>
  <si>
    <t>FESTIVOS - JULIO - DICIEMBRE 2026</t>
  </si>
  <si>
    <t>NÓMINA PARQUE METROPOLITANO DE LAS AGUAS</t>
  </si>
  <si>
    <t>AGOSTO DE 2025</t>
  </si>
  <si>
    <t>CENTRO DE COSTOS</t>
  </si>
  <si>
    <t>CEDULA</t>
  </si>
  <si>
    <t>NOMBRE</t>
  </si>
  <si>
    <t>SUELDO BASICO MENSUAL</t>
  </si>
  <si>
    <t>FECHA DE INGRESO</t>
  </si>
  <si>
    <t>FECHA DE RETIRO</t>
  </si>
  <si>
    <t>Horas Ordinarias</t>
  </si>
  <si>
    <t>Auxilio de Transporte</t>
  </si>
  <si>
    <t>125 hed Horas extras diurnas</t>
  </si>
  <si>
    <t>175 hen Horas extras nocturnas</t>
  </si>
  <si>
    <t>200 HEFD
Horas extras festivas diurnas</t>
  </si>
  <si>
    <t>250 HEFN Horas extras festivas nocturnas</t>
  </si>
  <si>
    <t>75 Domingo compensado</t>
  </si>
  <si>
    <t>175 Festivo laborado</t>
  </si>
  <si>
    <t>0.35 Recargo nocturno ordinario</t>
  </si>
  <si>
    <t>210 Recargo festivo nocturno</t>
  </si>
  <si>
    <t>110 Recargo noctuno compensado</t>
  </si>
  <si>
    <t>INCAPACIDAD ENFERMEDAD GENERAL (2) PRIMEROS DIAS</t>
  </si>
  <si>
    <t>INCAPACIDAD GENERAL ASEAR DESPUES DEL 3ER DIA</t>
  </si>
  <si>
    <t>AT</t>
  </si>
  <si>
    <t>Horas Permiso No Remunerado (Hrs.)</t>
  </si>
  <si>
    <t>Permiso remunerado.</t>
  </si>
  <si>
    <t>AUSENCIA SIN JUSTA CAUSA</t>
  </si>
  <si>
    <t>Horas extras diurnas</t>
  </si>
  <si>
    <t>Suspension</t>
  </si>
  <si>
    <t>CALAMIDAD (Hrs.)</t>
  </si>
  <si>
    <t>Observaciones</t>
  </si>
  <si>
    <t>COORDINADOR GENERAL (1)</t>
  </si>
  <si>
    <t>PARQUE METROPLITANO DE LAS AGUAS</t>
  </si>
  <si>
    <t xml:space="preserve"> HERNAN ALONSO BETANCUR MONTOYA</t>
  </si>
  <si>
    <r>
      <t xml:space="preserve">DOMINGO AGOSTO 3,10,17,24 Y 31. </t>
    </r>
    <r>
      <rPr>
        <sz val="11"/>
        <color rgb="FFFF0000"/>
        <rFont val="Calibri"/>
        <family val="2"/>
      </rPr>
      <t>FESTIVO AGOSTO  7 Y 18</t>
    </r>
  </si>
  <si>
    <t>ASISTENTE ADMINISTRATIVO Y DE OPERACIONES (1)</t>
  </si>
  <si>
    <t>RECEPCIONISTA (1)</t>
  </si>
  <si>
    <t xml:space="preserve"> LIZETH DANIELA PALACIO CARVAJAL</t>
  </si>
  <si>
    <t xml:space="preserve">DOMINGO AGOSTO 3,10,17,24 Y 31. </t>
  </si>
  <si>
    <t>TECNÓLOGO EN ATENCIÓN PRE HOSPITALARIA (2)</t>
  </si>
  <si>
    <t xml:space="preserve">CESAR ANDRES OBANDO SEPULVEDA </t>
  </si>
  <si>
    <t>COORDINADOR DE ALMACÉN (1)</t>
  </si>
  <si>
    <t>AUXILIAR DE ALMACÉN (1)</t>
  </si>
  <si>
    <t>JAIME ALBERTO BERRIO ARANGO</t>
  </si>
  <si>
    <t>TECNÓLOGO EN SALUD OCUPACIONAL (1)</t>
  </si>
  <si>
    <t>MARIA ALEJANDRA CARO SANCHEZ</t>
  </si>
  <si>
    <r>
      <t xml:space="preserve">DOMINGO AGOSTO 10,17 Y 24. </t>
    </r>
    <r>
      <rPr>
        <sz val="11"/>
        <color rgb="FFFF0000"/>
        <rFont val="Calibri"/>
        <family val="2"/>
      </rPr>
      <t>FESTIVO AGOSTO  7 Y 18</t>
    </r>
  </si>
  <si>
    <t>COORDINADOR AMBIENTAL(1)</t>
  </si>
  <si>
    <t>XAVIER ZAMIR GRAJALES RIOS</t>
  </si>
  <si>
    <t>TAQUILLERO (4)</t>
  </si>
  <si>
    <t>LAURA ALEXANDRA CHAVERRA GUERRA</t>
  </si>
  <si>
    <t>METROPARQUES</t>
  </si>
  <si>
    <t> YHOJANS SMIT AGUDELO HERNANDEZ</t>
  </si>
  <si>
    <t>AUXILIAR DE INFORMACION Y REGISTRO 2 (1)</t>
  </si>
  <si>
    <t xml:space="preserve">  JESSICA JOHANA  QUINTERO CARVAJAL</t>
  </si>
  <si>
    <t>AUXILIAR DE GUARDAROPA (3)</t>
  </si>
  <si>
    <t>TÉCNICO EN MANTENIMIENTO GENERAL (6)</t>
  </si>
  <si>
    <t>ARLEY FERNANDO JIMENEZ BETANCUR</t>
  </si>
  <si>
    <r>
      <t xml:space="preserve">DOMINGO AGOSTO 3,10,17 Y 24. </t>
    </r>
    <r>
      <rPr>
        <sz val="11"/>
        <color rgb="FFFF0000"/>
        <rFont val="Calibri"/>
        <family val="2"/>
      </rPr>
      <t>FESTIVO AGOSTO  7 Y 18</t>
    </r>
  </si>
  <si>
    <t xml:space="preserve"> WILLIAM JARAMILLO AGUDELO</t>
  </si>
  <si>
    <t xml:space="preserve">LIBARDO CADENA CADENA </t>
  </si>
  <si>
    <t>ELKIN STIVEN RESTREPO VALENCIA</t>
  </si>
  <si>
    <t>AUXILIAR OPERATIVO O AFINES (4)</t>
  </si>
  <si>
    <t xml:space="preserve"> ORLANDO CORDOBA BUSTAMANTE</t>
  </si>
  <si>
    <t>TÉCNICO DE MANNTENIMIENTO DE AGUAS RESIDUALES (1)</t>
  </si>
  <si>
    <t> JEFERSON ESTEWAR MORENO ARISTIZABAL</t>
  </si>
  <si>
    <r>
      <t xml:space="preserve">DOMINGO AGOSTO 10,17,24 Y 31. </t>
    </r>
    <r>
      <rPr>
        <sz val="11"/>
        <color rgb="FFFF0000"/>
        <rFont val="Calibri"/>
        <family val="2"/>
      </rPr>
      <t>FESTIVO AGOSTO  7 Y 18 IEG AGOSTO 3 Y 4</t>
    </r>
  </si>
  <si>
    <t>TÉCNICO MANEJO DE AGUA DE PISCINAS USO RECREATIVO (1)</t>
  </si>
  <si>
    <t xml:space="preserve"> DUVER ALEXANDER GARCÍA VASQUEZ</t>
  </si>
  <si>
    <r>
      <t xml:space="preserve">DOMINGO AGOSTO 3,10,17,24 Y 31. </t>
    </r>
    <r>
      <rPr>
        <sz val="11"/>
        <color rgb="FFFF0000"/>
        <rFont val="Calibri"/>
        <family val="2"/>
      </rPr>
      <t>FESTIVO AGOSTO  7 Y 18. PNR AGOSTO 5</t>
    </r>
  </si>
  <si>
    <t>PISCINEROS (6)</t>
  </si>
  <si>
    <t xml:space="preserve"> NATALI CARMONA MARIN</t>
  </si>
  <si>
    <t>DUVAN ARLEY CADAVID HERNANDEZ</t>
  </si>
  <si>
    <r>
      <t xml:space="preserve">DOMINGO AGOSTO 3,10,17,24 Y 31. </t>
    </r>
    <r>
      <rPr>
        <sz val="11"/>
        <color rgb="FFFF0000"/>
        <rFont val="Calibri"/>
        <family val="2"/>
      </rPr>
      <t>FESTIVO AGOSTO  7 Y 18. IEG AGOSTO 1</t>
    </r>
  </si>
  <si>
    <t xml:space="preserve"> DANIEL JOSE CASTRILLON JIMENEZ</t>
  </si>
  <si>
    <t>LUIS DANIEL POSADA VALENCIA</t>
  </si>
  <si>
    <t> JUAN DIEGO VELASQUEZ GIRALDO</t>
  </si>
  <si>
    <t>AUXILIAR MANTENIMIENTO Y REPARACIÓN DE FLOTADORES (1)</t>
  </si>
  <si>
    <t>JHONNY MAURICIO MONTOYA VELÁSQUEZ</t>
  </si>
  <si>
    <t>LÍDER SERVICIOS GENERALES (1)</t>
  </si>
  <si>
    <t>FRAN JOE DONADO ALVAREZ</t>
  </si>
  <si>
    <t>AUXILIAR SERVICIOS GENERALES (25)</t>
  </si>
  <si>
    <t xml:space="preserve"> LUZ DARY BOHORQUEZ TOBON</t>
  </si>
  <si>
    <r>
      <t xml:space="preserve">DOMINGO AGOSTO 3,10,17,24 Y 31. </t>
    </r>
    <r>
      <rPr>
        <sz val="11"/>
        <color rgb="FFFF0000"/>
        <rFont val="Calibri"/>
        <family val="2"/>
      </rPr>
      <t>FESTIVO AGOSTO  18</t>
    </r>
  </si>
  <si>
    <t>MARIBEL CASTRILLÓN HERNANDEZ</t>
  </si>
  <si>
    <r>
      <t xml:space="preserve">DOMINGO AGOSTO 3,10,17,24 Y 31. </t>
    </r>
    <r>
      <rPr>
        <sz val="11"/>
        <color rgb="FFFF0000"/>
        <rFont val="Calibri"/>
        <family val="2"/>
      </rPr>
      <t>FESTIVO AGOSTO  7 Y 18 IEG AGOSTO 20 Y 21</t>
    </r>
  </si>
  <si>
    <t>BERLEIDIS JUDITH VILLAMISAR GALÁN</t>
  </si>
  <si>
    <t>DAYANA ANDREA TOBON LONDOÑO</t>
  </si>
  <si>
    <r>
      <t xml:space="preserve">DOMINGO AGOSTO 3,10. </t>
    </r>
    <r>
      <rPr>
        <sz val="11"/>
        <color rgb="FFFF0000"/>
        <rFont val="Calibri"/>
        <family val="2"/>
      </rPr>
      <t>FESTIVO AGOSTO  7 Y 18</t>
    </r>
  </si>
  <si>
    <t>MARGARITA MARIA ORTIZ CARDONA</t>
  </si>
  <si>
    <t> YENNY LUCIA AGUDELO JARAMILLO</t>
  </si>
  <si>
    <r>
      <t xml:space="preserve">DOMINGO AGOSTO 10,17,24 Y 31. </t>
    </r>
    <r>
      <rPr>
        <sz val="11"/>
        <color rgb="FFFF0000"/>
        <rFont val="Calibri"/>
        <family val="2"/>
      </rPr>
      <t>FESTIVO AGOSTO  7 Y 18. IEG AGOSTO 4 Y 5</t>
    </r>
  </si>
  <si>
    <t> YESICA YOHANA MARTINEZ CATAÑO</t>
  </si>
  <si>
    <t xml:space="preserve"> JORGE HUMBERTO MENESES VILLA</t>
  </si>
  <si>
    <t>CARLOS ANDRES LOPEZ MAZO</t>
  </si>
  <si>
    <t>ALBERT JOHNNY VALENCIA AGUDELO</t>
  </si>
  <si>
    <r>
      <t xml:space="preserve">DOMINGO AGOSTO 3,10,17 Y 24. </t>
    </r>
    <r>
      <rPr>
        <sz val="11"/>
        <color rgb="FFFF0000"/>
        <rFont val="Calibri"/>
        <family val="2"/>
      </rPr>
      <t>FESTIVO AGOSTO  7</t>
    </r>
  </si>
  <si>
    <t> JOSE FELIPE CATAÑO CATAÑO</t>
  </si>
  <si>
    <r>
      <t xml:space="preserve">DOMINGO AGOSTO 3,17,24 Y 31. </t>
    </r>
    <r>
      <rPr>
        <sz val="11"/>
        <color rgb="FFFF0000"/>
        <rFont val="Calibri"/>
        <family val="2"/>
      </rPr>
      <t xml:space="preserve">FESTIVO AGOSTO  7 Y 18 </t>
    </r>
    <r>
      <rPr>
        <sz val="11"/>
        <rFont val="Calibri"/>
        <family val="2"/>
      </rPr>
      <t>IEG AGOS 1,</t>
    </r>
    <r>
      <rPr>
        <sz val="11"/>
        <color rgb="FFFF0000"/>
        <rFont val="Calibri"/>
        <family val="2"/>
      </rPr>
      <t xml:space="preserve"> AUS SIN JUSTA CAUSA AGOS 10 Y 11</t>
    </r>
  </si>
  <si>
    <t> SANDRA VIVIANA PEREA PASCUAS</t>
  </si>
  <si>
    <t>ALEXIS GARCIA CELIS</t>
  </si>
  <si>
    <t>ALEXANDRA LUCIA MAZO RUA</t>
  </si>
  <si>
    <t>JORGE MARIO OLAYA ESPINOSA</t>
  </si>
  <si>
    <t>RENUNCIA VOLUNTARIA AGOSTO 3</t>
  </si>
  <si>
    <t>AUXILIAR MANTENIMIENTO DE JARDINES (ORNATO) (5)</t>
  </si>
  <si>
    <t xml:space="preserve"> LUIS ALFONSO CASTRILLON CATAÑO</t>
  </si>
  <si>
    <t>RONY ALEXANDER AGUDELO AGUDELO</t>
  </si>
  <si>
    <t>YEFFERSON ARLEY AGUDELO SUAREZ</t>
  </si>
  <si>
    <t>COORDINADOR LOGISTICO (1)</t>
  </si>
  <si>
    <t>LUZ DARY CASTRILLÓN MORALES</t>
  </si>
  <si>
    <t>GUARDA ACUÁTICO SALVAVIDAS (22)</t>
  </si>
  <si>
    <t xml:space="preserve"> JHORDAN STEEVEN  BARRERA DAVID</t>
  </si>
  <si>
    <t xml:space="preserve"> JHOJAN ESTEBAN BETANCUR GIRALDO</t>
  </si>
  <si>
    <t>OVIDIO MANUEL OVIEDO MESTRA</t>
  </si>
  <si>
    <t xml:space="preserve"> DIEGO ALONSO CASTRO RAMÍREZ</t>
  </si>
  <si>
    <t xml:space="preserve">ANDREY NICOLAIN GARCIA GOMEZ </t>
  </si>
  <si>
    <t>EDISON JADER GALEANO PERDOMO</t>
  </si>
  <si>
    <t> JUAN CAMILO TORO OSPINA</t>
  </si>
  <si>
    <t xml:space="preserve">MARLA LIZET SANCHEZ CASTRO </t>
  </si>
  <si>
    <t>NASLY JULIETH GÓMEZ BEDOYA</t>
  </si>
  <si>
    <t xml:space="preserve"> YUDY ALEJANDRA OSPINA MARULANDA</t>
  </si>
  <si>
    <t> LUISA FERNANDA OCHOA CANO</t>
  </si>
  <si>
    <t xml:space="preserve"> ADRIANA MARCELA JARAMILLO MIRA</t>
  </si>
  <si>
    <t>CARLOS DANIEL CARDONA BOHORQUEZ</t>
  </si>
  <si>
    <t> EDGAR DAVID CHAVERRA MARIN</t>
  </si>
  <si>
    <r>
      <t xml:space="preserve">DOMINGO AGOSTO 3,10,17 Y 31. </t>
    </r>
    <r>
      <rPr>
        <sz val="11"/>
        <color rgb="FFFF0000"/>
        <rFont val="Calibri"/>
        <family val="2"/>
      </rPr>
      <t>FESTIVO AGOSTO  7 Y 18 CALAMIDAD POR LUTO AGOSTO 23, 25,26,27,28</t>
    </r>
  </si>
  <si>
    <t> JOHN JAIRO VASQUEZ PELAEZ</t>
  </si>
  <si>
    <r>
      <t xml:space="preserve">DOMINGO AGOSTO 3,10,17,24 Y 31. </t>
    </r>
    <r>
      <rPr>
        <sz val="11"/>
        <color rgb="FFFF0000"/>
        <rFont val="Calibri"/>
        <family val="2"/>
      </rPr>
      <t>FESTIVO AGOSTO  7 Y 18. IEG AGOSTO 19 AL 22</t>
    </r>
  </si>
  <si>
    <t>RODRIGO ESLEDY RIOS CARDEÑO</t>
  </si>
  <si>
    <r>
      <t xml:space="preserve">DOMINGO AGOSTO 17,24 Y 31. </t>
    </r>
    <r>
      <rPr>
        <sz val="11"/>
        <color rgb="FFFF0000"/>
        <rFont val="Calibri"/>
        <family val="2"/>
      </rPr>
      <t>FESTIVO AGOSTO 18</t>
    </r>
  </si>
  <si>
    <t>PROMOTOR DEPORTIVO (1)</t>
  </si>
  <si>
    <t>LIDER SERVICIO DE CARPINTERÍ Y AFINES (1)</t>
  </si>
  <si>
    <t>AUXILIAR CARPINTERÍ Y AFINES (1)</t>
  </si>
  <si>
    <t xml:space="preserve"> CARLOS ALBERTO ARENAS ARENAS</t>
  </si>
  <si>
    <t>SUPERNUMERIOS AEAR</t>
  </si>
  <si>
    <t>SUPERNUMERARIO ASEAR</t>
  </si>
  <si>
    <t>NOMBRE COMPLETO</t>
  </si>
  <si>
    <r>
      <t xml:space="preserve">COSTO UNITARIO
REMUNERACIÓN MENSUAL 
</t>
    </r>
    <r>
      <rPr>
        <b/>
        <sz val="8"/>
        <color rgb="FFFF0000"/>
        <rFont val="Arial"/>
        <family val="2"/>
      </rPr>
      <t>(FIJA E INMODIFICABLE) *</t>
    </r>
  </si>
  <si>
    <t>DIAS LABORADOS</t>
  </si>
  <si>
    <t>DIAS INCAPACIDAD AL 100%</t>
  </si>
  <si>
    <t>DIAS INCAPACIDAD AL 66,67%</t>
  </si>
  <si>
    <t>DIAS DE ACCIDENTE DE TRABAJO</t>
  </si>
  <si>
    <t>DOMINGOS LABORADOS [HORAS]</t>
  </si>
  <si>
    <t>FESTIVOS LABORADOS [HORAS]</t>
  </si>
  <si>
    <t>AUXILIO DE TRANSPORTE [DIAS]</t>
  </si>
  <si>
    <t>HORAS EXTRAS</t>
  </si>
  <si>
    <t>VALOR INCAPACIDAD AL 100%</t>
  </si>
  <si>
    <t>VALOR INCAPACIDAD AL 66%</t>
  </si>
  <si>
    <t>VALOR ACCIDENTE DE TRABAJO</t>
  </si>
  <si>
    <t>HORA EXTRA DIURNA</t>
  </si>
  <si>
    <r>
      <t xml:space="preserve">IVA
(O) 
* </t>
    </r>
    <r>
      <rPr>
        <b/>
        <sz val="8"/>
        <color rgb="FFFF0000"/>
        <rFont val="Arial"/>
        <family val="2"/>
      </rPr>
      <t xml:space="preserve">Ver Notas IVA N° 1,  2  </t>
    </r>
  </si>
  <si>
    <t>HERNAN ALONSO BETANCUR MONTOYA</t>
  </si>
  <si>
    <t>Tecnologo en mantenimiento locativo</t>
  </si>
  <si>
    <t>Recepcionista</t>
  </si>
  <si>
    <t>LIZETH DANIELA PALACIO CARVAJAL</t>
  </si>
  <si>
    <t>CESAR ANDRES OBANDO SEPULVEDA</t>
  </si>
  <si>
    <t>Auxiliar operativo y de Informacion</t>
  </si>
  <si>
    <t>JESSICA JOHANA QUINTERO CARVAJAL</t>
  </si>
  <si>
    <t>Tecnicos para adecuaciones y limpieza en general</t>
  </si>
  <si>
    <t>LIBARDO CADENA CADENA</t>
  </si>
  <si>
    <t>WILLIAM JARAMILLO AGUDELO</t>
  </si>
  <si>
    <t>Auxiliar operativo o afines</t>
  </si>
  <si>
    <t>ORLANDO ARTURO CORDOBA BUSTAMANTE</t>
  </si>
  <si>
    <t>JEFERSON ESTEWAR MORENO ARISTIZABAL</t>
  </si>
  <si>
    <t>DUVER ALEXANDER GARCIA VASQUEZ</t>
  </si>
  <si>
    <t>DUBAN ARLEY CADAVID HERNANDEZ</t>
  </si>
  <si>
    <t>DANIEL JOSE CASTRILLON JIMENEZ</t>
  </si>
  <si>
    <t>NATALI CARMONA MARIN</t>
  </si>
  <si>
    <t>JUAN DIEGO VELASQUEZ GIRALDO</t>
  </si>
  <si>
    <t>JHONNY MAURICIO MONTOYA VELASQUEZ</t>
  </si>
  <si>
    <t>MARIBEL CASTRILLON HERNANDEZ</t>
  </si>
  <si>
    <t>BERLEIDIS JUDITH VILLAMISAR GALAN</t>
  </si>
  <si>
    <t>JORGE HUMBERTO MENESES VILLA</t>
  </si>
  <si>
    <t>YENNY LUCIA AGUDELO JARAMILLO</t>
  </si>
  <si>
    <t>LUZ DARY BOHORQUEZ TOBON</t>
  </si>
  <si>
    <t>JOSE FELIPE CATAÑO CATAÑO</t>
  </si>
  <si>
    <t>YESICA YOHANA MARTINEZ CATAÑO</t>
  </si>
  <si>
    <t>SANDRA VIVIANA PEREA PASCUAS</t>
  </si>
  <si>
    <t xml:space="preserve">YEFFERSON ARLEY AGUDELO SUAREZ </t>
  </si>
  <si>
    <t>LUIS ALFONSO CASTRILLON CATAÑO</t>
  </si>
  <si>
    <t>LUZ DARY CASTRILLON MORALES</t>
  </si>
  <si>
    <t>NASLY JULIETH GOMEZ BEDOYA</t>
  </si>
  <si>
    <t>JHOJAN ESTEBAN BETANCUR GIRALDO</t>
  </si>
  <si>
    <t>ADRIANA MARCELA JARAMILLO MIRA</t>
  </si>
  <si>
    <t>JHORDAN STEEVEN BARRERA DAVID</t>
  </si>
  <si>
    <t>ANDREY NICOLAYN GARCIA GOMEZ</t>
  </si>
  <si>
    <t>LUISA FERNANDA OCHOA CANO</t>
  </si>
  <si>
    <t>JUAN CAMILO TORO OSPINA</t>
  </si>
  <si>
    <t>YUDY ALEJANDRA OSPINA MARULANDA</t>
  </si>
  <si>
    <t>MARLA LIZET SANCHEZ CASTRO</t>
  </si>
  <si>
    <t>DIEGO ALONSO CASTRO RAMIREZ</t>
  </si>
  <si>
    <t>EDGAR DAVID CHAVERRA MARIN</t>
  </si>
  <si>
    <t>JOHN JAIRO VASQUEZ PELAEZ</t>
  </si>
  <si>
    <t>Líder para el servicio de Carpinteria y afines.</t>
  </si>
  <si>
    <t>CARLOS ALBERTO ARENAS ARENAS</t>
  </si>
  <si>
    <t>TOTAL COSTOS COMPONENTE 1 - RECURSO HUMANO PARA EL PROCESO- 
SEDE PARQUE METROPOLITANO DE LAS AGUAS (VALOR NOMINA TOTAL PARA EL PROCESO)</t>
  </si>
  <si>
    <r>
      <t>COMPONENTE 2 - SUMINISTRO DE INSUMOS, DOTACION, SERVICIOS COMPLEMENTARIOS Y OTROS COSTOS DE OPERACIÓN PARA LA PRESTACIÓN DE SERVICIOS GENERALES INTEGRALES PARA LA SEDE DEL PARQUE METROPOLITANO DE LAS AGUAS y LA SEDE ADMINISTRATIVA 
(</t>
    </r>
    <r>
      <rPr>
        <b/>
        <sz val="8"/>
        <color rgb="FFFF0000"/>
        <rFont val="Arial"/>
        <family val="2"/>
      </rPr>
      <t>Reembolsables : Pagados contra factura o soporte idoneo ejecutado en el mes del servicio o gasto, a fin de demostrar que estos realmente se causaron y se ejecutaron, en caso que exista variaciones de los valores revisados con respecto del valor propuesto en un menor valor se efectuaran los ajustes respectivos para establecer el efectivo valor a pagar. En todo caso, lo ejecutado no podrá superar el valor de la propuesta económica)</t>
    </r>
  </si>
  <si>
    <r>
      <t xml:space="preserve">V1= IVA APLICABLE A BIEN O SERVICIO
</t>
    </r>
    <r>
      <rPr>
        <b/>
        <sz val="8"/>
        <color rgb="FFFF0000"/>
        <rFont val="Arial"/>
        <family val="2"/>
      </rPr>
      <t xml:space="preserve">(*) Ver Notas IVA N° 3 y 4 </t>
    </r>
  </si>
  <si>
    <t>Insumos de Aseo (entrega unica)</t>
  </si>
  <si>
    <t xml:space="preserve"> </t>
  </si>
  <si>
    <t>Insumos de Jardinería (trimestral)</t>
  </si>
  <si>
    <t>2.1.1.7</t>
  </si>
  <si>
    <t>Insumos de Salud Ocupacional (Espacios confinados unica entrega)</t>
  </si>
  <si>
    <t>2.1.1.8</t>
  </si>
  <si>
    <t>Insumos de Salud Ocupacional (Trabajo alturas unica entrega)</t>
  </si>
  <si>
    <t>2.1.1.9</t>
  </si>
  <si>
    <t>Servicio de Fumigación y Control de Plagas (Previa coordinación con la supervisión)</t>
  </si>
  <si>
    <t>ESTA DIFERENCIA OBEDECE A ERROR EN EL CALCULO DEL ITEM DENOMINADO INSUMOS DE SALUD OCUPACIONAL, NO LE COSTEARON EL % DE AU COMPLETO, SOLO POR EL 3,50% Y POR LA CORRECCIÓN EN EL CALCULO DEL IVA</t>
  </si>
  <si>
    <t>TOTAL PRESUPUESTO OFICIAL - POP</t>
  </si>
  <si>
    <t>(*) El Proponente debe tener en cuenta que la Entidad estableció los Salarios como un Valor Fijo en Inmodificable, de igual manera la Tarifa de ARL aplicada para cada Cargo es Inmodificable. Además las prestaciones de Ley y demas componentes de Norma son inmodificables; en caso de alteraciones, se deberan  justificar con fundamentos legales sin afectar el desarrollo del proceso.</t>
  </si>
  <si>
    <t>Y entre los ítems del Componente de SUMINISTRO DE INSUMOS, DOTACION Y OTROS COSTOS DE OPERACIÓN, señaló el COSTO DIRECTO de algunos  ítems se como un VALOR FIJO e INMODIFICABLE por el Proponente y estableció que todos los ítems de este Componente son REEMBOLSABLES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</si>
  <si>
    <t>Los Valores y porcentajes marcados con color rojo,  son Inmodificables.</t>
  </si>
  <si>
    <t>(*) NOTAS IVA</t>
  </si>
  <si>
    <t>PRESUPUESTO OFICIAL QUE AMPARA EL PROYECTO - POP - AU OFICIAL POP 7,53%
(Máximo del Proyecto)</t>
  </si>
  <si>
    <r>
      <rPr>
        <b/>
        <sz val="8"/>
        <rFont val="Arial"/>
        <family val="2"/>
      </rPr>
      <t>NOTA 1.</t>
    </r>
    <r>
      <rPr>
        <sz val="8"/>
        <rFont val="Arial"/>
        <family val="2"/>
      </rPr>
      <t xml:space="preserve"> (*) Para los Costos de Recurso Humano para los ítems resaltados en amarillo, ítems 1,1,14 al 1,1,21, el 1.1.29 y los ítems 1.2.5 y 1.2.6, el IVA fue calculado conforme al articulo 462-1. "Base gravable especial" del Estatuto Tributario. Los demás ítems, el IVA fue calculado con la norma general.</t>
    </r>
  </si>
  <si>
    <r>
      <rPr>
        <b/>
        <sz val="8"/>
        <rFont val="Arial"/>
        <family val="2"/>
      </rPr>
      <t>NOTA 2</t>
    </r>
    <r>
      <rPr>
        <sz val="8"/>
        <rFont val="Arial"/>
        <family val="2"/>
      </rPr>
      <t>. = Para el cálculo del IVA de los ítems de "Costos de Recurso Humano", se hizo lo siguiente:</t>
    </r>
  </si>
  <si>
    <r>
      <t xml:space="preserve">RECURSO HUMANO - SEDE PARQUE METROPOLITANO DE LAS AGUAS
</t>
    </r>
    <r>
      <rPr>
        <b/>
        <sz val="8"/>
        <color rgb="FFFF0000"/>
        <rFont val="Calibri"/>
        <family val="2"/>
        <scheme val="minor"/>
      </rPr>
      <t>(Los salarios son Fijos e inmodificables)</t>
    </r>
  </si>
  <si>
    <t>Para los demás ítems del Componente 1 - Recurso Humano, se aplicó la norma general por lo tanto la fórmula es: ((L)+ (M))*19%</t>
  </si>
  <si>
    <r>
      <rPr>
        <b/>
        <sz val="8"/>
        <rFont val="Arial"/>
        <family val="2"/>
      </rPr>
      <t>NOTA 3.</t>
    </r>
    <r>
      <rPr>
        <sz val="8"/>
        <rFont val="Arial"/>
        <family val="2"/>
      </rPr>
      <t xml:space="preserve"> (*) Para los Costos del Componente 2 - Suministro de Insumos, Dotación, Servicios Complementarios y Otros Costos de Operación para el proceso, para los ítems resaltados en amarillo, ítems 2.1.1.2 al 2.1.1.4, y los ítems 2.1.2.1 -  2.1.2.2.- 2.2.1.2 y 2.2.1.3., el IVA fue calculado conforme al articulo 462-1. "Base gravable especial" del Estatuto Tributario. Los demás ítems, el IVA fue calculado con la norma general.
</t>
    </r>
  </si>
  <si>
    <r>
      <rPr>
        <b/>
        <sz val="8"/>
        <rFont val="Arial"/>
        <family val="2"/>
      </rPr>
      <t>NOTA 4</t>
    </r>
    <r>
      <rPr>
        <sz val="8"/>
        <rFont val="Arial"/>
        <family val="2"/>
      </rPr>
      <t>. Para el cálculo del IVA de los ítems de  "Suministro de Insumos, Dotación, Servicios Complementarios y Otros Costos de Operación para el proceso,", se hizo lo siguiente:</t>
    </r>
  </si>
  <si>
    <t>Teniendo en cuenta que para los ítems resaltados en amarillo y relacionados en la Nota 3, se dió aplicación a lo establecido en el artículo 462-1 del ET, según el cual la base gravable es el AU siempre y cuando sea igual o superior al 10% y si es inferior como es el caso del proceso, la base gravable especial será equivalente al 10% del Costo del Servicio, por lo tanto solo se incluye el IVA aplicable al AU, acorde a lo indicado en la Nota 3</t>
  </si>
  <si>
    <t>Notas Adicionales</t>
  </si>
  <si>
    <t>Valores o porcentajes en Rojo; son inmodificales.</t>
  </si>
  <si>
    <t>El  AU máximo para la Oferta Económica no puede exceder del 8%, que corresponde al % AU Oficial del Presupuesto máximo para Ofertar</t>
  </si>
  <si>
    <t>Notas: Las prestaciones de Ley y demas componentes de Norma son inmodificables; en caso de alteraciones, se deberan  justificar con fundamentos legales sin afectar el desarrollo del proceso.</t>
  </si>
  <si>
    <t>La Entidad para el cálculo de los Costos del Recurso Humano, dió aplicación a la ley 2101 de 2021 y en dicho sentido, considera una jornada máxima legal de 46 horas a la semana y 230 horas de jornada laboral máxima al mes para los 3 primeros meses del contrato y su debida reducción a 44 horas a la semana y 220 horas de jornada laboral maxima al mes para los restantes 5.5 meses del contrato.</t>
  </si>
  <si>
    <t>Otras Notas Adicionales</t>
  </si>
  <si>
    <t>a)La Subdirecciones delegadas para el presente proceso, determinaron que el VALOR TOTAL DEL PRESUPUESTO OFICIAL (POE) ANTES DE IVA es la base de la Subasta</t>
  </si>
  <si>
    <r>
      <t xml:space="preserve">b)El Oferente al presentar su propuesta, debe tener en cuenta, que el VALOR  que defina en el PRECIO TOTAL OFERTA antes de IVA (Base para la Subasta) </t>
    </r>
    <r>
      <rPr>
        <b/>
        <sz val="8"/>
        <rFont val="Arial"/>
        <family val="2"/>
      </rPr>
      <t>en su Oferta Inicial de Precios</t>
    </r>
    <r>
      <rPr>
        <sz val="8"/>
        <rFont val="Arial"/>
        <family val="2"/>
      </rPr>
      <t>, debe ser igual al que coloque en la Plataforma del SECOP y no puede ser superior al PRESUPUESTO OFICIAL (POE) antes de IVA</t>
    </r>
  </si>
  <si>
    <t>La base gravable especial dispuesta para estos servicios en la Ley 1607 de 2012 se encuentra vigente. El artículo 462-1 del Estatuto Tributario solo fue modificado por la Ley 1819 de 2016 para prever que “la base gravable especial se aplicará igualmente al Impuesto de Industria y Comercio y Complementarios, para efectos de la aplicación de la retención en la fuente del impuesto sobre la renta y de la retención en la fuente sobre el Impuesto de Industria y Comercio y Complementarios, así como para otros impuestos, tasas y contribuciones de orden territorial”</t>
  </si>
  <si>
    <t>El AU o porcentaje que conforma los aspectos de Gastos de Administración y Utilidad depende de cada Contrato y no está regulado por ninguna norma. Por lo tanto, la Entidad a fin de atender la necesidad establecida en la presente Licitación Pública  definió  el AU en un 8%,</t>
  </si>
  <si>
    <r>
      <t>Ahora bien, para efectos Fiscales se indica que la base gravable especial es el 10% del AU como el mínimo para liquidar la base del Impuesto sobre las Ventas</t>
    </r>
    <r>
      <rPr>
        <sz val="8"/>
        <color rgb="FF666666"/>
        <rFont val="Arial"/>
        <family val="2"/>
      </rPr>
      <t xml:space="preserve"> – </t>
    </r>
    <r>
      <rPr>
        <sz val="8"/>
        <rFont val="Arial"/>
        <family val="2"/>
      </rPr>
      <t>IVA o si éste fuere inferior al 10%, la base gravable sobre la cual se liquida el impuesto sobre las ventas será igual al 10% del valor total del contrato. Esto lo establece la regla consagrada en el artículo 11 del Decreto Reglamentario 1794 de 2013, que indica</t>
    </r>
  </si>
  <si>
    <r>
      <t>"Artículo 11. Base gravable en contratos en </t>
    </r>
    <r>
      <rPr>
        <b/>
        <sz val="8"/>
        <rFont val="Arial"/>
        <family val="2"/>
      </rPr>
      <t>los cuales no</t>
    </r>
    <r>
      <rPr>
        <b/>
        <i/>
        <sz val="8"/>
        <rFont val="Arial"/>
        <family val="2"/>
      </rPr>
      <t> </t>
    </r>
    <r>
      <rPr>
        <b/>
        <sz val="8"/>
        <rFont val="Arial"/>
        <family val="2"/>
      </rPr>
      <t>se haya expresado cláusula</t>
    </r>
    <r>
      <rPr>
        <b/>
        <i/>
        <sz val="8"/>
        <rFont val="Arial"/>
        <family val="2"/>
      </rPr>
      <t> </t>
    </r>
    <r>
      <rPr>
        <i/>
        <sz val="8"/>
        <rFont val="Arial"/>
        <family val="2"/>
      </rPr>
      <t>AIU. En la prestación de los servicios expresamente señalados en los artículos 462-1 y 468-3 numeral 4° del Estatuto Tributario</t>
    </r>
    <r>
      <rPr>
        <i/>
        <u/>
        <sz val="8"/>
        <rFont val="Arial"/>
        <family val="2"/>
      </rPr>
      <t>,</t>
    </r>
    <r>
      <rPr>
        <i/>
        <sz val="8"/>
        <rFont val="Times New Roman"/>
        <family val="1"/>
      </rPr>
      <t> </t>
    </r>
    <r>
      <rPr>
        <i/>
        <sz val="8"/>
        <rFont val="Arial"/>
        <family val="2"/>
      </rPr>
      <t>en los que no se hubiere establecido la cláusula AIU,</t>
    </r>
    <r>
      <rPr>
        <i/>
        <u/>
        <sz val="8"/>
        <rFont val="Arial"/>
        <family val="2"/>
      </rPr>
      <t xml:space="preserve"> o esta fuere inferior al 10%, la base gravable sobre la cual se liquida el impuesto sobre las ventas será igual al 10% del valor total del contrato</t>
    </r>
    <r>
      <rPr>
        <i/>
        <sz val="8"/>
        <rFont val="Arial"/>
        <family val="2"/>
      </rPr>
      <t> o el 10% del valor total de la remuneración percibida por la prestación del servicio, cuando no exista contrato." </t>
    </r>
    <r>
      <rPr>
        <sz val="8"/>
        <rFont val="Arial"/>
        <family val="2"/>
      </rPr>
      <t>(Subrayado fuera de texto).</t>
    </r>
  </si>
  <si>
    <r>
      <t xml:space="preserve">Y en el artículo 14 del mismo Decreto establece:” Artículo 14. </t>
    </r>
    <r>
      <rPr>
        <b/>
        <sz val="8"/>
        <rFont val="Arial"/>
        <family val="2"/>
      </rPr>
      <t>Definición de servicios integrales de aseo y cafetería</t>
    </r>
    <r>
      <rPr>
        <sz val="8"/>
        <rFont val="Arial"/>
        <family val="2"/>
      </rPr>
      <t>. Para efectos del artículo 462-1 del Estatuto Tributario, se entiende por servicios integrales de aseo y cafe¬tería, todas aquellas actividades que se requieran para la limpieza y conservación de las instalaciones del contratante, así como las relacionadas con la preparación y distribución de alimentos y bebidas para consumo al interior de las instalaciones del contratante, sin que se genere contraprestación alguna por parte del consumidor de dichos alimentos y bebidas”</t>
    </r>
  </si>
  <si>
    <t>El contenido de la norma transcrita, es claro y preciso al señalar que en todos los casos en que se preste el “Servicio Integral de Aseo y Cafetería”, la base gravable sobre la que se liquida el Impuesto sobre las Ventas será el AU y si este fuere inferior al 10%, entonces la base gravable será igual al 10% del valor del Contrato para los “Servicios Integrales de Aseo y Cafetería</t>
  </si>
  <si>
    <t>EGRESOS - GASTOS - LOGISTICA-ABRIL 2025</t>
  </si>
  <si>
    <t>VALOR BRUTO</t>
  </si>
  <si>
    <t>Descuentos</t>
  </si>
  <si>
    <t>DESCUENTO</t>
  </si>
  <si>
    <t>C.Egreso</t>
  </si>
  <si>
    <t>Redondeo</t>
  </si>
  <si>
    <t>POS5939</t>
  </si>
  <si>
    <t>TECNIEMPAQUES SAS</t>
  </si>
  <si>
    <t>800121327-4</t>
  </si>
  <si>
    <t>Insumo necesario utilizado para bomba reforzadora recreativa</t>
  </si>
  <si>
    <t>IGNACIO GOMEZ IHM SAS</t>
  </si>
  <si>
    <t>FE02-11359</t>
  </si>
  <si>
    <t xml:space="preserve">INVESA </t>
  </si>
  <si>
    <t>890900652-3</t>
  </si>
  <si>
    <t>Insumo necesario para mantenimiento pintura Piscina Infantil</t>
  </si>
  <si>
    <t>FEV-11005</t>
  </si>
  <si>
    <t>RAFAEL IGNACIO POSADA BARRIENTOS</t>
  </si>
  <si>
    <t>Insumo necesario utilizado para mantenimiento de greca administracion</t>
  </si>
  <si>
    <t>FE642</t>
  </si>
  <si>
    <t>Insumos necesarios utilizados para pintura mesas Camping y puertas baños rojos pueblito</t>
  </si>
  <si>
    <t>CC 1487</t>
  </si>
  <si>
    <t>NABOR CATAÑO SALDARRIAGA</t>
  </si>
  <si>
    <t>70132573-1</t>
  </si>
  <si>
    <t>Servicio utilizado para trabajo de reubicacion  hojarasca sector malla rio medellin</t>
  </si>
  <si>
    <t>SALDOS</t>
  </si>
  <si>
    <t>EGRESOS - GASTOS - LOGISTICA-MARZO 2025</t>
  </si>
  <si>
    <t>MD20514</t>
  </si>
  <si>
    <t>ACUAMBIENTE SAS</t>
  </si>
  <si>
    <t>811009419-5</t>
  </si>
  <si>
    <t xml:space="preserve">Mantenimiento correctivo realizado a turbidimetro para analisis de agua </t>
  </si>
  <si>
    <t>FERRETERIA FERROVALVULAS SAS</t>
  </si>
  <si>
    <t>Suministro utilizado en cuarto de máquina infantil</t>
  </si>
  <si>
    <t>FE588</t>
  </si>
  <si>
    <t>Suministro utilizado en jutas toboganes infantil</t>
  </si>
  <si>
    <t>CM-63056</t>
  </si>
  <si>
    <t>MATERIALES LA 44 COMERCIAL MODELO SAS</t>
  </si>
  <si>
    <t>800002026-2</t>
  </si>
  <si>
    <t>Suministro necesario utilizado en cuarto de equilibrio piscina</t>
  </si>
  <si>
    <t>FE56226</t>
  </si>
  <si>
    <t>FERRETERIA EL PEDALISTA SAS</t>
  </si>
  <si>
    <t>890910244-4</t>
  </si>
  <si>
    <t>Suministro necesario utilizado en mantenimiento poleas</t>
  </si>
  <si>
    <t>ANDRES FELIPE RESTREPO ECHAVARRIA</t>
  </si>
  <si>
    <t>1017199726-6</t>
  </si>
  <si>
    <t>CM-63754</t>
  </si>
  <si>
    <t>AG 5629</t>
  </si>
  <si>
    <t>MONICA ALEJANDRA RÚA CATAÑO</t>
  </si>
  <si>
    <t xml:space="preserve"> 43511818-7</t>
  </si>
  <si>
    <t xml:space="preserve">Servicio necesario para analisis de agua en las piscinas </t>
  </si>
  <si>
    <t>FE614</t>
  </si>
  <si>
    <t>Suministro necesario utilizado para piscinas infantil</t>
  </si>
  <si>
    <t>DMME4918</t>
  </si>
  <si>
    <t>DEPOSITO DE MATERIALES LA GRAN AVENIDA EL MOCHO SAS</t>
  </si>
  <si>
    <t>901441038-1</t>
  </si>
  <si>
    <t>FE5149</t>
  </si>
  <si>
    <t>GOMEZ PALACIO DIANA MILENA</t>
  </si>
  <si>
    <t>1020394958-4</t>
  </si>
  <si>
    <t>VALORES SALARIOS 2022</t>
  </si>
  <si>
    <t>Para el Suministros y Elementos de protección personal (COVID19), es importante dar claridad de que no es necesario facturar la totalidad de insumos y EPP mensualmente que se establecen en el archivo adjunto según la siguiente ruta: PROCESO LP745 DE 2020 (ADMÓN. EDIFICIO, Pestaña: INSUMOS EEP – BIOSEGURIDAD), el listado adjunto se presenta como soporte dentro de la presente propuesta, con los precios unitarios, de tal modo que en la medida que se vayan consumiendo serán sustituidos con anterioridad mediante un pedido al contratista, cabe resaltar también, que algunos elementos tienen una periodicidad mensual, mientras que otros serán una única entrega, cuyas condiciones serán acordadas y quedaran consignadas en el acta de supervisión del periodo en el cual se ordenen, la supervisión hará el seguimiento respectivo a cada entrega del suministro sin afectar el equilibrio económico del contrato como fin para las partes</t>
  </si>
  <si>
    <r>
      <rPr>
        <sz val="11"/>
        <rFont val="Arial"/>
        <family val="2"/>
      </rPr>
      <t>Medellín, 05 febrero de 2021</t>
    </r>
  </si>
  <si>
    <r>
      <rPr>
        <sz val="11"/>
        <rFont val="Arial"/>
        <family val="2"/>
      </rPr>
      <t xml:space="preserve">Señores
</t>
    </r>
    <r>
      <rPr>
        <b/>
        <sz val="11"/>
        <rFont val="Arial"/>
        <family val="2"/>
      </rPr>
      <t xml:space="preserve">AREA METROPOLITANA DEL VALLE DE ABURRA
</t>
    </r>
    <r>
      <rPr>
        <sz val="11"/>
        <rFont val="Arial"/>
        <family val="2"/>
      </rPr>
      <t>Ciudad</t>
    </r>
  </si>
  <si>
    <r>
      <rPr>
        <sz val="11"/>
        <rFont val="Arial"/>
        <family val="2"/>
      </rPr>
      <t>OBJETO: “PRESTACIÓN DEL SERVICIO DE ASEO, CAFETERÍA Y MANTENIMIENTO LOCATIVO   NECESARIOS   PARA   LA   ADECUADA   UTILIZACIÓN,   OPERACIÓN   Y CONSERVACIÓN   DE   LOS   BIENES   MUEBLES   Y   DEL   EDIFICIO   DE   LA   SEDE ADMINISTRATIVA DEL ÁREA METROPOLITANA DEL VALLE DE ABURRÁ Y SERVICIOS COMPLEMENTARIOS”.</t>
    </r>
  </si>
  <si>
    <t>MODIFICACIÓN TABLA No 4 DEL CONTRATO INICIAL (ELEMNTOS DE SALUD OCUPACIONAL)</t>
  </si>
  <si>
    <t>Adicionar a la tabla No 4 los siguientes ITEM</t>
  </si>
  <si>
    <r>
      <rPr>
        <b/>
        <sz val="8"/>
        <rFont val="Calibri"/>
        <family val="2"/>
      </rPr>
      <t>ITEM</t>
    </r>
  </si>
  <si>
    <r>
      <rPr>
        <b/>
        <sz val="8"/>
        <rFont val="Calibri"/>
        <family val="2"/>
      </rPr>
      <t>DESTINO</t>
    </r>
  </si>
  <si>
    <r>
      <rPr>
        <b/>
        <sz val="8"/>
        <rFont val="Calibri"/>
        <family val="2"/>
      </rPr>
      <t>ACTIVIDAD</t>
    </r>
  </si>
  <si>
    <r>
      <rPr>
        <b/>
        <sz val="8"/>
        <rFont val="Calibri"/>
        <family val="2"/>
      </rPr>
      <t>UNIDAD DE MEDIDA</t>
    </r>
  </si>
  <si>
    <r>
      <rPr>
        <b/>
        <sz val="8"/>
        <rFont val="Calibri"/>
        <family val="2"/>
      </rPr>
      <t>DESCRIPCION</t>
    </r>
  </si>
  <si>
    <r>
      <rPr>
        <b/>
        <sz val="8"/>
        <rFont val="Calibri"/>
        <family val="2"/>
      </rPr>
      <t>CANTIDAD</t>
    </r>
  </si>
  <si>
    <r>
      <rPr>
        <b/>
        <sz val="8"/>
        <rFont val="Calibri"/>
        <family val="2"/>
      </rPr>
      <t>PERIODICIDAD</t>
    </r>
  </si>
  <si>
    <r>
      <rPr>
        <b/>
        <sz val="8"/>
        <rFont val="Calibri"/>
        <family val="2"/>
      </rPr>
      <t>VALOR UNITARIO</t>
    </r>
  </si>
  <si>
    <r>
      <rPr>
        <b/>
        <sz val="8"/>
        <rFont val="Calibri"/>
        <family val="2"/>
      </rPr>
      <t>Iva 19%</t>
    </r>
  </si>
  <si>
    <t>Total IVA</t>
  </si>
  <si>
    <r>
      <rPr>
        <b/>
        <sz val="8"/>
        <rFont val="Calibri"/>
        <family val="2"/>
      </rPr>
      <t>Valor Total</t>
    </r>
  </si>
  <si>
    <r>
      <rPr>
        <sz val="8"/>
        <rFont val="Calibri"/>
        <family val="2"/>
      </rPr>
      <t>AMVA</t>
    </r>
  </si>
  <si>
    <r>
      <rPr>
        <sz val="8"/>
        <rFont val="Calibri"/>
        <family val="2"/>
      </rPr>
      <t>HIPOCLORITO DE SODIO AL 15% / SLN DESINFECTANTE</t>
    </r>
  </si>
  <si>
    <r>
      <rPr>
        <sz val="8"/>
        <rFont val="Calibri"/>
        <family val="2"/>
      </rPr>
      <t>Bidon x 20 litros</t>
    </r>
  </si>
  <si>
    <r>
      <rPr>
        <sz val="8"/>
        <rFont val="Calibri"/>
        <family val="2"/>
      </rPr>
      <t>SOLUCIÓN DESINFECTANTE CON UN AMPLIO ESPECTRO BACTERICIDA, FUNGICIDA Y VIRUCIDA</t>
    </r>
  </si>
  <si>
    <r>
      <rPr>
        <sz val="8"/>
        <rFont val="Calibri"/>
        <family val="2"/>
      </rPr>
      <t>Mensual</t>
    </r>
  </si>
  <si>
    <r>
      <rPr>
        <sz val="8"/>
        <rFont val="Calibri"/>
        <family val="2"/>
      </rPr>
      <t>TERMOMETRO INFRAROJO</t>
    </r>
  </si>
  <si>
    <r>
      <rPr>
        <sz val="8"/>
        <rFont val="Calibri"/>
        <family val="2"/>
      </rPr>
      <t>Unidad</t>
    </r>
  </si>
  <si>
    <r>
      <rPr>
        <sz val="8"/>
        <rFont val="Calibri"/>
        <family val="2"/>
      </rPr>
      <t>Equipo médico avalado por FDA - TERMÓMETRO INFRARROJO PARA TOMA DE TEMPERATURA CORPORAL ADULTOS</t>
    </r>
  </si>
  <si>
    <r>
      <rPr>
        <sz val="8"/>
        <rFont val="Calibri"/>
        <family val="2"/>
      </rPr>
      <t>Única Entrega</t>
    </r>
  </si>
  <si>
    <t>Se disminuye uso de termometro, ya no es necesario tomar temperatura.</t>
  </si>
  <si>
    <t>GEL ANTIBACTERIAL CON 70% DE ALCOHOL</t>
  </si>
  <si>
    <r>
      <rPr>
        <sz val="8"/>
        <rFont val="Calibri"/>
        <family val="2"/>
      </rPr>
      <t>Litro</t>
    </r>
  </si>
  <si>
    <r>
      <rPr>
        <sz val="8"/>
        <rFont val="Calibri"/>
        <family val="2"/>
      </rPr>
      <t>Antiséptico gel para manos que no requiere enjuague formulado a base de alcohol etílico de 70-80% w/w; adicionado con humectantes y emolientes hipo alergénico</t>
    </r>
  </si>
  <si>
    <t>ALCOHOL AL 70%</t>
  </si>
  <si>
    <r>
      <rPr>
        <sz val="8"/>
        <rFont val="Calibri"/>
        <family val="2"/>
      </rPr>
      <t>Bidon x 20 Litros</t>
    </r>
  </si>
  <si>
    <r>
      <rPr>
        <sz val="8"/>
        <rFont val="Calibri"/>
        <family val="2"/>
      </rPr>
      <t>El alcohol etílico al 70% es ideal para desinfección de superficies, su concentración de alcohol permite la desinfección y mata las bacterias ubicadas en la superficie.</t>
    </r>
  </si>
  <si>
    <r>
      <rPr>
        <sz val="8"/>
        <rFont val="Calibri"/>
        <family val="2"/>
      </rPr>
      <t>TAPABOCAS QUIRURGICOS</t>
    </r>
  </si>
  <si>
    <r>
      <rPr>
        <sz val="8"/>
        <rFont val="Calibri"/>
        <family val="2"/>
      </rPr>
      <t>Caja x 50</t>
    </r>
  </si>
  <si>
    <r>
      <rPr>
        <sz val="8"/>
        <rFont val="Calibri"/>
        <family val="2"/>
      </rPr>
      <t xml:space="preserve">2 capas de tela no tejida y una capa intermedia de meltblown (repelente de olores) y 3 Pliegues para mayor cobertura facial. El cuerpo del tapabocas funciona como sistema de protección frente a fluidos, con 2 elásticos de sujeción con el fin de sostener en forma segura, el dispositivo
</t>
    </r>
    <r>
      <rPr>
        <sz val="8"/>
        <rFont val="Calibri"/>
        <family val="2"/>
      </rPr>
      <t>a la cara del usuario</t>
    </r>
  </si>
  <si>
    <t>ELEMENTOS DE MAYOR NECESIDAD</t>
  </si>
  <si>
    <r>
      <rPr>
        <sz val="8"/>
        <rFont val="Calibri"/>
        <family val="2"/>
      </rPr>
      <t xml:space="preserve">AMONIO CUATERNARIO 5ta
</t>
    </r>
    <r>
      <rPr>
        <sz val="8"/>
        <rFont val="Calibri"/>
        <family val="2"/>
      </rPr>
      <t>Generación</t>
    </r>
  </si>
  <si>
    <r>
      <rPr>
        <sz val="8"/>
        <rFont val="Calibri"/>
        <family val="2"/>
      </rPr>
      <t>Bidon de 20 litros</t>
    </r>
  </si>
  <si>
    <r>
      <rPr>
        <sz val="8"/>
        <rFont val="Calibri"/>
        <family val="2"/>
      </rPr>
      <t>SOLUCIÓN DESINFECTANTE</t>
    </r>
  </si>
  <si>
    <r>
      <rPr>
        <sz val="8"/>
        <rFont val="Calibri"/>
        <family val="2"/>
      </rPr>
      <t>SOLUCIÓN DESINFECTANTE ANTIMICROBIANA, NO TOXICO Y 100% BIODEGRADABLE PARA LA CABINA DE DESINFECCIÓN.</t>
    </r>
  </si>
  <si>
    <r>
      <rPr>
        <sz val="8"/>
        <rFont val="Calibri"/>
        <family val="2"/>
      </rPr>
      <t>Bidon X 5 Galones</t>
    </r>
  </si>
  <si>
    <t>TOTAL IVA (ELEMENTOS ENTREGA MENSUAL)</t>
  </si>
  <si>
    <t>TOTAL VALOR (ELEMENTOS ENTREGA MENSUAL)</t>
  </si>
  <si>
    <t>TOTAL IVA (ELEMENTOS UNICA ENTREGA)</t>
  </si>
  <si>
    <t>TOTAL VALOR (ELEMENTOS UNICA ENTREGA)</t>
  </si>
  <si>
    <t>Asistente</t>
  </si>
  <si>
    <t>Oferta Proponente</t>
  </si>
  <si>
    <r>
      <t xml:space="preserve">IVA (O) 
* </t>
    </r>
    <r>
      <rPr>
        <b/>
        <sz val="9"/>
        <color rgb="FFFF0000"/>
        <rFont val="Arial"/>
        <family val="2"/>
      </rPr>
      <t xml:space="preserve">Ver Notas IVA N° 1,  2  </t>
    </r>
  </si>
  <si>
    <t xml:space="preserve">FORMULARIO N° 6																									
SELECCIÓN ABREVIADA MEDIANTE SUBASTA INVERSA ELECTRÓNICA – SIE  de 2025																									
"RELACIÓN DE PRECIOS UNITARIOS
OFERTA GANADORA"																									
“SERVICIOS GENERALES INTEGRALES PARA LA ADECUADA CONSERVACIÓN Y ATENCIÓN DE LOS SERVIDORES, USUARIOS Y DEMÁS VISITANTES DEL AMVA Y SUS DEMÁS SEDES”.																									
OFERTA ECONÓMICA DETALLADS (44 HORAS SEMANA) - INCLUYE % AU OFICIAL (POE) e IVA																									
OFERTA ECONÓMICA - PROPONENTE ADJUDICATARIO																									</t>
  </si>
  <si>
    <t>RELACIÓN DE PRECIOS UNITARIOS
OFERTA GANADORA</t>
  </si>
  <si>
    <t>Incremento 2027</t>
  </si>
  <si>
    <t>OFERTA ECONÓMICA DETALLADS (42 HORAS SEMANA) - INCLUYE % AU OFICIAL (POE) e IVA</t>
  </si>
  <si>
    <t>OFERTA ECONÓMICA - PROPONENTE ADJUDICATARIO</t>
  </si>
  <si>
    <t>Tecnólogos para adecuaciones y conservación civiles</t>
  </si>
  <si>
    <t>Tecnólogos para adecuaciones y conservación eléctricas</t>
  </si>
  <si>
    <t>2.1.1.10</t>
  </si>
  <si>
    <t>2.1.2.7</t>
  </si>
  <si>
    <t xml:space="preserve">Insumos de Aseo			</t>
  </si>
  <si>
    <t>Mantenimiento Fotocopiadoras Entidad – 4 unidades, incluyendo repuestos y suministros cuando sea necesario (mensual)</t>
  </si>
  <si>
    <t>2.2.2.11</t>
  </si>
  <si>
    <r>
      <t>Reparaciones  locativas menores</t>
    </r>
    <r>
      <rPr>
        <sz val="9"/>
        <color theme="1"/>
        <rFont val="Arial"/>
        <family val="2"/>
      </rPr>
      <t>. -  Valor Fijo, Inmodificable y Reembolsable</t>
    </r>
    <r>
      <rPr>
        <sz val="10"/>
        <color theme="1"/>
        <rFont val="Arial"/>
        <family val="2"/>
      </rPr>
      <t xml:space="preserve"> (de repuestos, insumos, materiales, accesorios, componentes, elementos)</t>
    </r>
  </si>
  <si>
    <r>
      <t>Reparaciones  locativas menores</t>
    </r>
    <r>
      <rPr>
        <sz val="9"/>
        <color theme="1"/>
        <rFont val="Arial"/>
        <family val="2"/>
      </rPr>
      <t>. -  Valor Fijo, Inmodificable y Reembolsable</t>
    </r>
    <r>
      <rPr>
        <sz val="10"/>
        <color theme="1"/>
        <rFont val="Arial"/>
        <family val="2"/>
      </rPr>
      <t xml:space="preserve"> (servicios que sean requeridos durante la ejecución del contrato, necesarios para garantizar el adecuado mantenimiento)</t>
    </r>
  </si>
  <si>
    <t>OTROS REEMBOLSABLES REPARACIONES  LOCATIVAS MENORES. -  VALOR FIJO, INMODIFICABLE Y REEMBOLSABLE (DE REPUESTOS, INSUMOS, MATERIALES, ACCESORIOS, COMPONENTES, ELEMENTOS) - SEDE ADMINISTRATIVA</t>
  </si>
  <si>
    <t>Plazo:</t>
  </si>
  <si>
    <t>SELECCIÓN ABREVIADA MEDIANTE SUBASTA INVERSA ELECTRÓNICA – SIEXXXX de 2026</t>
  </si>
  <si>
    <t>2.2.2.13</t>
  </si>
  <si>
    <t>2.2.2.14</t>
  </si>
  <si>
    <t>SELECCIÓN ABREVIADA MEDIANTE SUBASTA INVERSA ELECTRÓNICA – SIExxx de 2026</t>
  </si>
  <si>
    <t>150%  EXPERIENCIA</t>
  </si>
  <si>
    <t>SMLMV</t>
  </si>
  <si>
    <t>75% CT</t>
  </si>
  <si>
    <t>1.2.10</t>
  </si>
  <si>
    <t>SELECCIÓN ABREVIADA MEDIANTE SUBASTA INVERSA ELECTRÓNICA – SIE 015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</si>
</sst>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0\ &quot;€&quot;"/>
    <numFmt numFmtId="165" formatCode="_-* #,##0.00\ &quot;€&quot;_-;\-* #,##0.00\ &quot;€&quot;_-;_-* &quot;-&quot;??\ &quot;€&quot;_-;_-@_-"/>
    <numFmt numFmtId="166" formatCode="_(* #,##0.00_);_(* \(#,##0.00\);_(* &quot;-&quot;??_);_(@_)"/>
    <numFmt numFmtId="167" formatCode="_-&quot;$&quot;* #,##0.00_-;\-&quot;$&quot;* #,##0.00_-;_-&quot;$&quot;* &quot;-&quot;??_-;_-@_-"/>
    <numFmt numFmtId="168" formatCode="0.000%"/>
    <numFmt numFmtId="169" formatCode="0.0%"/>
    <numFmt numFmtId="170" formatCode="&quot;$&quot;\ #,##0.0"/>
    <numFmt numFmtId="171" formatCode="_(&quot;$&quot;\ * #,##0_);_(&quot;$&quot;\ * \(#,##0\);_(&quot;$&quot;\ * &quot;-&quot;??_);_(@_)"/>
    <numFmt numFmtId="172" formatCode="_(&quot;$&quot;\ * #,##0.00_);_(&quot;$&quot;\ * \(#,##0.00\);_(&quot;$&quot;\ * &quot;-&quot;??_);_(@_)"/>
    <numFmt numFmtId="173" formatCode="_-* #,##0.00\ [$€]_-;\-* #,##0.00\ [$€]_-;_-* &quot;-&quot;??\ [$€]_-;_-@_-"/>
    <numFmt numFmtId="174" formatCode="_-* #,##0\ _p_t_a_-;\-* #,##0\ _p_t_a_-;_-* &quot;-&quot;\ _p_t_a_-;_-@_-"/>
    <numFmt numFmtId="175" formatCode="_-* #,##0.00\ _P_t_s_-;\-* #,##0.00\ _P_t_s_-;_-* &quot;-&quot;??\ _P_t_s_-;_-@_-"/>
    <numFmt numFmtId="176" formatCode="_-* #,##0.00\ &quot;Pts&quot;_-;\-* #,##0.00\ &quot;Pts&quot;_-;_-* &quot;-&quot;??\ &quot;Pts&quot;_-;_-@_-"/>
    <numFmt numFmtId="177" formatCode="_-* #,##0\ &quot;pta&quot;_-;\-* #,##0\ &quot;pta&quot;_-;_-* &quot;-&quot;\ &quot;pta&quot;_-;_-@_-"/>
    <numFmt numFmtId="178" formatCode="General_)"/>
    <numFmt numFmtId="179" formatCode="_-&quot;$&quot;\ * #,##0.0_-;\-&quot;$&quot;\ * #,##0.0_-;_-&quot;$&quot;\ * &quot;-&quot;?_-;_-@_-"/>
    <numFmt numFmtId="180" formatCode="\$\ #,##0"/>
    <numFmt numFmtId="181" formatCode="&quot;$&quot;\ #,##0.00"/>
    <numFmt numFmtId="182" formatCode="&quot;$&quot;\ #,##0.0000"/>
    <numFmt numFmtId="183" formatCode="&quot;$&quot;\ #,##0"/>
    <numFmt numFmtId="184" formatCode="_-&quot;$&quot;* #,##0_-;\-&quot;$&quot;* #,##0_-;_-&quot;$&quot;* &quot;-&quot;??_-;_-@_-"/>
    <numFmt numFmtId="185" formatCode="_-* #,##0_-;\-* #,##0_-;_-* &quot;-&quot;??_-;_-@_-"/>
    <numFmt numFmtId="186" formatCode="_-&quot;$&quot;\ * #,##0_-;\-&quot;$&quot;\ * #,##0_-;_-&quot;$&quot;\ * &quot;-&quot;?_-;_-@_-"/>
    <numFmt numFmtId="187" formatCode="_(* #,##0_);_(* \(#,##0\);_(* &quot;-&quot;??_);_(@_)"/>
    <numFmt numFmtId="188" formatCode="d/m/yyyy"/>
    <numFmt numFmtId="189" formatCode="_-&quot;$&quot;\ * #,##0.0_-;\-&quot;$&quot;\ * #,##0.0_-;_-&quot;$&quot;\ * &quot;-&quot;??_-;_-@"/>
    <numFmt numFmtId="190" formatCode="_-&quot;$&quot;* #,##0_-;\-&quot;$&quot;* #,##0_-;_-&quot;$&quot;* &quot;-&quot;??_-;_-@"/>
    <numFmt numFmtId="191" formatCode="#,##0.0"/>
    <numFmt numFmtId="192" formatCode="General\ &quot;Horas mes&quot;"/>
    <numFmt numFmtId="193" formatCode="####\ &quot;horas&quot;"/>
    <numFmt numFmtId="194" formatCode="&quot;$&quot;#,##0.0"/>
    <numFmt numFmtId="195" formatCode="&quot;$&quot;#,##0"/>
  </numFmts>
  <fonts count="159">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9"/>
      <name val="Arial"/>
      <family val="2"/>
    </font>
    <font>
      <b/>
      <sz val="9"/>
      <name val="Arial"/>
      <family val="2"/>
    </font>
    <font>
      <sz val="11"/>
      <color indexed="8"/>
      <name val="Calibri"/>
      <family val="2"/>
    </font>
    <font>
      <b/>
      <sz val="9"/>
      <color rgb="FFFF0000"/>
      <name val="Arial"/>
      <family val="2"/>
    </font>
    <font>
      <sz val="11"/>
      <name val="Arial"/>
      <family val="2"/>
    </font>
    <font>
      <sz val="9"/>
      <color rgb="FFFF0000"/>
      <name val="Arial"/>
      <family val="2"/>
    </font>
    <font>
      <b/>
      <sz val="10"/>
      <color rgb="FFFF0000"/>
      <name val="Arial"/>
      <family val="2"/>
    </font>
    <font>
      <sz val="12"/>
      <color theme="1"/>
      <name val="Arial"/>
      <family val="2"/>
    </font>
    <font>
      <sz val="10"/>
      <color rgb="FF00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2"/>
      <name val="Times New Roman"/>
      <family val="1"/>
    </font>
    <font>
      <u/>
      <sz val="8.5"/>
      <color indexed="12"/>
      <name val="Arial"/>
      <family val="2"/>
    </font>
    <font>
      <u/>
      <sz val="10"/>
      <color indexed="12"/>
      <name val="Arial"/>
      <family val="2"/>
    </font>
    <font>
      <sz val="11"/>
      <color indexed="20"/>
      <name val="Calibri"/>
      <family val="2"/>
    </font>
    <font>
      <sz val="11"/>
      <color indexed="60"/>
      <name val="Calibri"/>
      <family val="2"/>
    </font>
    <font>
      <sz val="10"/>
      <name val="Courier"/>
      <family val="3"/>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theme="1"/>
      <name val="Arial"/>
      <family val="2"/>
    </font>
    <font>
      <b/>
      <sz val="10"/>
      <color theme="1"/>
      <name val="Arial"/>
      <family val="2"/>
    </font>
    <font>
      <sz val="10"/>
      <color rgb="FFFF0000"/>
      <name val="Arial"/>
      <family val="2"/>
    </font>
    <font>
      <b/>
      <sz val="11"/>
      <name val="Arial"/>
      <family val="2"/>
    </font>
    <font>
      <sz val="10"/>
      <color rgb="FF000000"/>
      <name val="Times New Roman"/>
      <family val="1"/>
    </font>
    <font>
      <b/>
      <sz val="8"/>
      <name val="Calibri"/>
      <family val="2"/>
    </font>
    <font>
      <sz val="8"/>
      <color rgb="FF000000"/>
      <name val="Calibri"/>
      <family val="2"/>
    </font>
    <font>
      <sz val="8"/>
      <name val="Calibri"/>
      <family val="2"/>
    </font>
    <font>
      <b/>
      <sz val="10"/>
      <color rgb="FF000000"/>
      <name val="Times New Roman"/>
      <family val="1"/>
    </font>
    <font>
      <b/>
      <sz val="9"/>
      <color rgb="FF000000"/>
      <name val="Arial"/>
      <family val="2"/>
    </font>
    <font>
      <b/>
      <sz val="8"/>
      <color rgb="FFFF0000"/>
      <name val="Arial"/>
      <family val="2"/>
    </font>
    <font>
      <b/>
      <sz val="9"/>
      <color theme="1"/>
      <name val="Arial"/>
      <family val="2"/>
    </font>
    <font>
      <b/>
      <sz val="7"/>
      <name val="Arial"/>
      <family val="2"/>
    </font>
    <font>
      <b/>
      <sz val="7"/>
      <color rgb="FFFF0000"/>
      <name val="Arial"/>
      <family val="2"/>
    </font>
    <font>
      <sz val="11"/>
      <color rgb="FFFF0000"/>
      <name val="Calibri"/>
      <family val="2"/>
      <scheme val="minor"/>
    </font>
    <font>
      <sz val="11"/>
      <color theme="1"/>
      <name val="Arial"/>
      <family val="2"/>
    </font>
    <font>
      <i/>
      <sz val="10"/>
      <color theme="1"/>
      <name val="Arial"/>
      <family val="2"/>
    </font>
    <font>
      <b/>
      <i/>
      <sz val="10"/>
      <color rgb="FFFF0000"/>
      <name val="Arial"/>
      <family val="2"/>
    </font>
    <font>
      <b/>
      <i/>
      <sz val="10"/>
      <color theme="1"/>
      <name val="Arial"/>
      <family val="2"/>
    </font>
    <font>
      <i/>
      <sz val="10"/>
      <color rgb="FFFF0000"/>
      <name val="Arial"/>
      <family val="2"/>
    </font>
    <font>
      <i/>
      <sz val="10"/>
      <color rgb="FF000000"/>
      <name val="Arial"/>
      <family val="2"/>
    </font>
    <font>
      <b/>
      <sz val="12"/>
      <color theme="1"/>
      <name val="Arial"/>
      <family val="2"/>
    </font>
    <font>
      <sz val="11"/>
      <color rgb="FF000000"/>
      <name val="Liberation Sans"/>
    </font>
    <font>
      <sz val="11"/>
      <color theme="1"/>
      <name val="Calibri"/>
      <family val="2"/>
      <scheme val="minor"/>
    </font>
    <font>
      <sz val="11"/>
      <color theme="1"/>
      <name val="Calibri"/>
      <family val="2"/>
      <scheme val="minor"/>
    </font>
    <font>
      <b/>
      <sz val="11"/>
      <color theme="1"/>
      <name val="Arial"/>
      <family val="2"/>
    </font>
    <font>
      <b/>
      <sz val="11"/>
      <color rgb="FF000000"/>
      <name val="Arial"/>
      <family val="2"/>
    </font>
    <font>
      <sz val="11"/>
      <color rgb="FF000000"/>
      <name val="Arial"/>
      <family val="2"/>
    </font>
    <font>
      <sz val="11"/>
      <color rgb="FFFF0000"/>
      <name val="Arial"/>
      <family val="2"/>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sz val="8"/>
      <name val="Arial"/>
      <family val="2"/>
    </font>
    <font>
      <b/>
      <sz val="8"/>
      <color theme="1"/>
      <name val="Arial"/>
      <family val="2"/>
    </font>
    <font>
      <sz val="8"/>
      <color rgb="FFFF0000"/>
      <name val="Arial"/>
      <family val="2"/>
    </font>
    <font>
      <sz val="8"/>
      <color theme="1"/>
      <name val="Arial"/>
      <family val="2"/>
    </font>
    <font>
      <b/>
      <sz val="8"/>
      <color theme="0"/>
      <name val="Arial"/>
      <family val="2"/>
    </font>
    <font>
      <sz val="8"/>
      <color theme="0"/>
      <name val="Arial"/>
      <family val="2"/>
    </font>
    <font>
      <b/>
      <sz val="8"/>
      <color rgb="FF000000"/>
      <name val="Arial"/>
      <family val="2"/>
    </font>
    <font>
      <b/>
      <sz val="8"/>
      <color theme="1"/>
      <name val="Calibri"/>
      <family val="2"/>
      <scheme val="minor"/>
    </font>
    <font>
      <b/>
      <sz val="8"/>
      <color rgb="FFFF0000"/>
      <name val="Calibri"/>
      <family val="2"/>
      <scheme val="minor"/>
    </font>
    <font>
      <sz val="8"/>
      <color rgb="FF000000"/>
      <name val="Arial"/>
      <family val="2"/>
    </font>
    <font>
      <sz val="8"/>
      <color rgb="FF666666"/>
      <name val="Arial"/>
      <family val="2"/>
    </font>
    <font>
      <b/>
      <i/>
      <sz val="8"/>
      <name val="Arial"/>
      <family val="2"/>
    </font>
    <font>
      <i/>
      <sz val="8"/>
      <name val="Arial"/>
      <family val="2"/>
    </font>
    <font>
      <i/>
      <u/>
      <sz val="8"/>
      <name val="Arial"/>
      <family val="2"/>
    </font>
    <font>
      <i/>
      <sz val="8"/>
      <name val="Times New Roman"/>
      <family val="1"/>
    </font>
    <font>
      <b/>
      <sz val="9"/>
      <name val="Tahoma"/>
      <family val="2"/>
    </font>
    <font>
      <sz val="9"/>
      <name val="Tahoma"/>
      <family val="2"/>
    </font>
    <font>
      <b/>
      <sz val="8"/>
      <name val="Tahoma"/>
      <family val="2"/>
    </font>
    <font>
      <sz val="8"/>
      <name val="Tahoma"/>
      <family val="2"/>
    </font>
    <font>
      <sz val="10"/>
      <name val="Tahoma"/>
      <family val="2"/>
    </font>
    <font>
      <sz val="11"/>
      <color theme="1"/>
      <name val="Calibri"/>
      <family val="2"/>
      <scheme val="minor"/>
    </font>
    <font>
      <sz val="10"/>
      <name val="Arial"/>
      <family val="2"/>
    </font>
    <font>
      <b/>
      <sz val="11"/>
      <color theme="1"/>
      <name val="Calibri"/>
      <family val="2"/>
    </font>
    <font>
      <sz val="11"/>
      <color theme="1"/>
      <name val="Calibri"/>
      <family val="2"/>
    </font>
    <font>
      <sz val="11"/>
      <name val="Calibri"/>
      <family val="2"/>
    </font>
    <font>
      <b/>
      <sz val="11"/>
      <color rgb="FFFF0000"/>
      <name val="Calibri"/>
      <family val="2"/>
    </font>
    <font>
      <sz val="12"/>
      <name val="Cambria"/>
      <family val="2"/>
      <scheme val="major"/>
    </font>
    <font>
      <sz val="12"/>
      <color theme="1"/>
      <name val="Calibri"/>
      <family val="2"/>
    </font>
    <font>
      <sz val="11"/>
      <color rgb="FF333333"/>
      <name val="Calibri"/>
      <family val="2"/>
    </font>
    <font>
      <sz val="12"/>
      <name val="Calibri"/>
      <family val="2"/>
      <scheme val="minor"/>
    </font>
    <font>
      <sz val="11"/>
      <color rgb="FF333333"/>
      <name val="Calibri"/>
      <family val="2"/>
      <scheme val="minor"/>
    </font>
    <font>
      <sz val="11"/>
      <color rgb="FF333333"/>
      <name val="Cambria"/>
      <family val="2"/>
      <scheme val="major"/>
    </font>
    <font>
      <sz val="12"/>
      <name val="Calibri"/>
      <family val="2"/>
    </font>
    <font>
      <sz val="10"/>
      <name val="Arial"/>
      <family val="2"/>
    </font>
    <font>
      <sz val="11"/>
      <color theme="1"/>
      <name val="Calibri"/>
      <family val="2"/>
      <scheme val="minor"/>
    </font>
    <font>
      <b/>
      <i/>
      <sz val="11"/>
      <color theme="1"/>
      <name val="Calibri"/>
      <family val="2"/>
    </font>
    <font>
      <sz val="11"/>
      <color theme="0"/>
      <name val="Calibri"/>
      <family val="2"/>
    </font>
    <font>
      <sz val="11"/>
      <color rgb="FFFF0000"/>
      <name val="Calibri"/>
      <family val="2"/>
    </font>
    <font>
      <b/>
      <sz val="11"/>
      <name val="Calibri"/>
      <family val="2"/>
    </font>
    <font>
      <sz val="10"/>
      <name val="Arial"/>
      <family val="2"/>
    </font>
    <font>
      <sz val="11"/>
      <color rgb="FF000000"/>
      <name val="Calibri"/>
      <family val="2"/>
      <scheme val="minor"/>
    </font>
    <font>
      <sz val="11"/>
      <name val="Liberation Sans"/>
    </font>
    <font>
      <b/>
      <sz val="11"/>
      <color rgb="FFFF0000"/>
      <name val="Calibri"/>
      <family val="2"/>
      <scheme val="minor"/>
    </font>
    <font>
      <u/>
      <sz val="10"/>
      <color theme="10"/>
      <name val="Arial"/>
      <family val="2"/>
    </font>
    <font>
      <sz val="11"/>
      <name val="Calibri"/>
      <family val="2"/>
      <scheme val="minor"/>
    </font>
    <font>
      <sz val="20"/>
      <color rgb="FF333333"/>
      <name val="Trebuchet MS"/>
      <family val="2"/>
    </font>
    <font>
      <sz val="11"/>
      <color rgb="FF333333"/>
      <name val="Arial"/>
      <family val="2"/>
    </font>
    <font>
      <b/>
      <sz val="11"/>
      <color rgb="FF0000FF"/>
      <name val="Arial"/>
      <family val="2"/>
    </font>
    <font>
      <b/>
      <sz val="11"/>
      <color rgb="FF333333"/>
      <name val="Arial"/>
      <family val="2"/>
    </font>
    <font>
      <b/>
      <sz val="10"/>
      <color rgb="FF333333"/>
      <name val="Arial"/>
      <family val="2"/>
    </font>
    <font>
      <sz val="10"/>
      <color rgb="FF333333"/>
      <name val="Arial"/>
      <family val="2"/>
    </font>
    <font>
      <u/>
      <sz val="10"/>
      <color rgb="FF333333"/>
      <name val="Arial"/>
      <family val="2"/>
    </font>
    <font>
      <sz val="14"/>
      <color rgb="FF000000"/>
      <name val="Arial"/>
      <family val="2"/>
    </font>
    <font>
      <sz val="11"/>
      <color rgb="FF000000"/>
      <name val="Aptos"/>
      <family val="2"/>
    </font>
    <font>
      <b/>
      <sz val="11"/>
      <color rgb="FF000000"/>
      <name val="Aptos"/>
      <family val="2"/>
    </font>
    <font>
      <sz val="10"/>
      <name val="Times New Roman"/>
      <family val="1"/>
    </font>
    <font>
      <b/>
      <sz val="10"/>
      <color rgb="FF000000"/>
      <name val="Arial"/>
      <family val="2"/>
    </font>
    <font>
      <b/>
      <sz val="9"/>
      <color theme="5" tint="-0.249977111117893"/>
      <name val="Arial"/>
      <family val="2"/>
    </font>
    <font>
      <b/>
      <sz val="10"/>
      <color theme="5" tint="-0.249977111117893"/>
      <name val="Arial"/>
      <family val="2"/>
    </font>
    <font>
      <sz val="9"/>
      <color theme="1"/>
      <name val="Arial"/>
      <family val="2"/>
    </font>
    <font>
      <b/>
      <sz val="12"/>
      <color theme="9" tint="-0.249977111117893"/>
      <name val="Arial"/>
      <family val="2"/>
    </font>
    <font>
      <sz val="10"/>
      <color theme="5" tint="-0.249977111117893"/>
      <name val="Arial"/>
      <family val="2"/>
    </font>
    <font>
      <b/>
      <sz val="12"/>
      <color rgb="FFFF0000"/>
      <name val="Arial"/>
      <family val="2"/>
    </font>
    <font>
      <b/>
      <sz val="12"/>
      <color rgb="FFC00000"/>
      <name val="Arial"/>
      <family val="2"/>
    </font>
    <font>
      <b/>
      <sz val="12"/>
      <name val="Arial"/>
      <family val="2"/>
    </font>
    <font>
      <sz val="9"/>
      <color theme="5" tint="-0.249977111117893"/>
      <name val="Arial"/>
      <family val="2"/>
    </font>
    <font>
      <b/>
      <sz val="9"/>
      <color rgb="FFC00000"/>
      <name val="Arial"/>
      <family val="2"/>
    </font>
    <font>
      <sz val="9"/>
      <color theme="1"/>
      <name val="Calibri"/>
      <family val="2"/>
      <scheme val="minor"/>
    </font>
  </fonts>
  <fills count="6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4.9989318521683403E-2"/>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9FED8"/>
        <bgColor indexed="64"/>
      </patternFill>
    </fill>
    <fill>
      <patternFill patternType="solid">
        <fgColor rgb="FFE4E8EC"/>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9" tint="0.79995117038483843"/>
        <bgColor indexed="64"/>
      </patternFill>
    </fill>
    <fill>
      <patternFill patternType="solid">
        <fgColor theme="7" tint="0.79995117038483843"/>
        <bgColor indexed="64"/>
      </patternFill>
    </fill>
    <fill>
      <patternFill patternType="solid">
        <fgColor theme="4" tint="0.79995117038483843"/>
        <bgColor indexed="64"/>
      </patternFill>
    </fill>
    <fill>
      <patternFill patternType="solid">
        <fgColor theme="3" tint="0.79995117038483843"/>
        <bgColor indexed="64"/>
      </patternFill>
    </fill>
    <fill>
      <patternFill patternType="solid">
        <fgColor rgb="FFC6D9F0"/>
        <bgColor rgb="FFC6D9F0"/>
      </patternFill>
    </fill>
    <fill>
      <patternFill patternType="solid">
        <fgColor theme="0"/>
        <bgColor theme="0"/>
      </patternFill>
    </fill>
    <fill>
      <patternFill patternType="solid">
        <fgColor theme="0" tint="-0.249977111117893"/>
        <bgColor indexed="64"/>
      </patternFill>
    </fill>
    <fill>
      <patternFill patternType="solid">
        <fgColor rgb="FFBFBFBF"/>
        <bgColor rgb="FFBFBFBF"/>
      </patternFill>
    </fill>
    <fill>
      <patternFill patternType="solid">
        <fgColor theme="2" tint="-0.249977111117893"/>
        <bgColor rgb="FFBFBFBF"/>
      </patternFill>
    </fill>
    <fill>
      <patternFill patternType="solid">
        <fgColor theme="2" tint="-0.249977111117893"/>
        <bgColor theme="0"/>
      </patternFill>
    </fill>
    <fill>
      <patternFill patternType="solid">
        <fgColor theme="0" tint="-0.249977111117893"/>
        <bgColor rgb="FFBFBFBF"/>
      </patternFill>
    </fill>
    <fill>
      <patternFill patternType="solid">
        <fgColor rgb="FFFEF2CB"/>
        <bgColor rgb="FFFEF2CB"/>
      </patternFill>
    </fill>
    <fill>
      <patternFill patternType="solid">
        <fgColor rgb="FFE2EFD9"/>
        <bgColor rgb="FFE2EFD9"/>
      </patternFill>
    </fill>
    <fill>
      <patternFill patternType="solid">
        <fgColor rgb="FF9CC2E5"/>
        <bgColor rgb="FF9CC2E5"/>
      </patternFill>
    </fill>
    <fill>
      <patternFill patternType="solid">
        <fgColor rgb="FFC5E0B3"/>
        <bgColor rgb="FFC5E0B3"/>
      </patternFill>
    </fill>
    <fill>
      <patternFill patternType="solid">
        <fgColor theme="5" tint="0.39997558519241921"/>
        <bgColor indexed="64"/>
      </patternFill>
    </fill>
    <fill>
      <patternFill patternType="solid">
        <fgColor rgb="FFFFC000"/>
        <bgColor indexed="64"/>
      </patternFill>
    </fill>
    <fill>
      <patternFill patternType="solid">
        <fgColor rgb="FFFFFFFF"/>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00FF00"/>
        <bgColor indexed="64"/>
      </patternFill>
    </fill>
    <fill>
      <patternFill patternType="solid">
        <fgColor rgb="FFFFCC99"/>
        <bgColor indexed="64"/>
      </patternFill>
    </fill>
    <fill>
      <patternFill patternType="solid">
        <fgColor theme="2"/>
        <bgColor indexed="64"/>
      </patternFill>
    </fill>
  </fills>
  <borders count="8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double">
        <color theme="0" tint="-0.34998626667073579"/>
      </left>
      <right style="double">
        <color theme="0" tint="-0.34998626667073579"/>
      </right>
      <top style="double">
        <color theme="0" tint="-0.34998626667073579"/>
      </top>
      <bottom style="double">
        <color theme="0" tint="-0.34998626667073579"/>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theme="0" tint="-0.34998626667073579"/>
      </left>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double">
        <color theme="0" tint="-0.34998626667073579"/>
      </left>
      <right/>
      <top style="double">
        <color theme="0" tint="-0.34998626667073579"/>
      </top>
      <bottom style="double">
        <color theme="0" tint="-0.34998626667073579"/>
      </bottom>
      <diagonal/>
    </border>
    <border>
      <left/>
      <right/>
      <top style="double">
        <color theme="0" tint="-0.34998626667073579"/>
      </top>
      <bottom style="double">
        <color theme="0" tint="-0.34998626667073579"/>
      </bottom>
      <diagonal/>
    </border>
    <border>
      <left/>
      <right style="double">
        <color theme="0" tint="-0.34998626667073579"/>
      </right>
      <top style="double">
        <color theme="0" tint="-0.34998626667073579"/>
      </top>
      <bottom style="double">
        <color theme="0" tint="-0.34998626667073579"/>
      </bottom>
      <diagonal/>
    </border>
    <border>
      <left style="double">
        <color theme="0" tint="-0.34998626667073579"/>
      </left>
      <right style="double">
        <color theme="0" tint="-0.34998626667073579"/>
      </right>
      <top style="double">
        <color theme="0" tint="-0.34998626667073579"/>
      </top>
      <bottom/>
      <diagonal/>
    </border>
    <border>
      <left style="double">
        <color theme="0" tint="-0.34998626667073579"/>
      </left>
      <right style="double">
        <color theme="0" tint="-0.34998626667073579"/>
      </right>
      <top/>
      <bottom/>
      <diagonal/>
    </border>
    <border>
      <left style="double">
        <color theme="0" tint="-0.34998626667073579"/>
      </left>
      <right style="double">
        <color theme="0" tint="-0.34998626667073579"/>
      </right>
      <top/>
      <bottom style="double">
        <color theme="0" tint="-0.34998626667073579"/>
      </bottom>
      <diagonal/>
    </border>
    <border>
      <left style="double">
        <color theme="0" tint="-0.34998626667073579"/>
      </left>
      <right/>
      <top style="double">
        <color theme="0" tint="-0.34998626667073579"/>
      </top>
      <bottom/>
      <diagonal/>
    </border>
    <border>
      <left style="double">
        <color theme="0" tint="-0.34998626667073579"/>
      </left>
      <right/>
      <top/>
      <bottom/>
      <diagonal/>
    </border>
    <border>
      <left style="double">
        <color theme="0" tint="-0.34998626667073579"/>
      </left>
      <right/>
      <top/>
      <bottom style="double">
        <color theme="0" tint="-0.34998626667073579"/>
      </bottom>
      <diagonal/>
    </border>
    <border>
      <left/>
      <right/>
      <top/>
      <bottom style="double">
        <color theme="0" tint="-0.34998626667073579"/>
      </bottom>
      <diagonal/>
    </border>
    <border>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double">
        <color theme="0" tint="-0.34998626667073579"/>
      </left>
      <right style="thin">
        <color theme="0" tint="-0.34998626667073579"/>
      </right>
      <top style="double">
        <color theme="0" tint="-0.34998626667073579"/>
      </top>
      <bottom style="double">
        <color theme="0" tint="-0.34998626667073579"/>
      </bottom>
      <diagonal/>
    </border>
    <border>
      <left style="thin">
        <color theme="0" tint="-0.34998626667073579"/>
      </left>
      <right style="thin">
        <color theme="0" tint="-0.34998626667073579"/>
      </right>
      <top style="double">
        <color theme="0" tint="-0.34998626667073579"/>
      </top>
      <bottom style="double">
        <color theme="0" tint="-0.34998626667073579"/>
      </bottom>
      <diagonal/>
    </border>
    <border>
      <left style="thin">
        <color theme="0" tint="-0.34998626667073579"/>
      </left>
      <right style="double">
        <color theme="0" tint="-0.34998626667073579"/>
      </right>
      <top style="double">
        <color theme="0" tint="-0.34998626667073579"/>
      </top>
      <bottom style="double">
        <color theme="0" tint="-0.34998626667073579"/>
      </bottom>
      <diagonal/>
    </border>
    <border>
      <left style="thin">
        <color theme="0" tint="-0.34998626667073579"/>
      </left>
      <right style="thin">
        <color theme="0" tint="-0.34998626667073579"/>
      </right>
      <top/>
      <bottom/>
      <diagonal/>
    </border>
    <border>
      <left/>
      <right style="medium">
        <color rgb="FF969696"/>
      </right>
      <top/>
      <bottom style="medium">
        <color rgb="FF969696"/>
      </bottom>
      <diagonal/>
    </border>
    <border>
      <left style="medium">
        <color rgb="FF969696"/>
      </left>
      <right/>
      <top style="medium">
        <color rgb="FF969696"/>
      </top>
      <bottom style="medium">
        <color rgb="FF969696"/>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s>
  <cellStyleXfs count="382">
    <xf numFmtId="0" fontId="0" fillId="0" borderId="0"/>
    <xf numFmtId="167" fontId="27" fillId="0" borderId="0" applyFont="0" applyFill="0" applyBorder="0" applyAlignment="0" applyProtection="0"/>
    <xf numFmtId="42" fontId="27" fillId="0" borderId="0" applyFont="0" applyFill="0" applyBorder="0" applyAlignment="0" applyProtection="0"/>
    <xf numFmtId="9" fontId="27" fillId="0" borderId="0" applyFont="0" applyFill="0" applyBorder="0" applyAlignment="0" applyProtection="0"/>
    <xf numFmtId="0" fontId="27" fillId="0" borderId="0"/>
    <xf numFmtId="0" fontId="31" fillId="0" borderId="0"/>
    <xf numFmtId="9" fontId="27" fillId="0" borderId="0" applyFill="0" applyBorder="0" applyAlignment="0" applyProtection="0"/>
    <xf numFmtId="9" fontId="27" fillId="0" borderId="0" applyFont="0" applyFill="0" applyBorder="0" applyAlignment="0" applyProtection="0"/>
    <xf numFmtId="167" fontId="26" fillId="0" borderId="0" applyFont="0" applyFill="0" applyBorder="0" applyAlignment="0" applyProtection="0"/>
    <xf numFmtId="9" fontId="27" fillId="0" borderId="0" applyFill="0" applyBorder="0" applyAlignment="0" applyProtection="0"/>
    <xf numFmtId="172" fontId="27" fillId="0" borderId="0" applyFont="0" applyFill="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6" borderId="0" applyNumberFormat="0" applyBorder="0" applyAlignment="0" applyProtection="0"/>
    <xf numFmtId="0" fontId="38" fillId="17"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0" borderId="0" applyNumberFormat="0" applyBorder="0" applyAlignment="0" applyProtection="0"/>
    <xf numFmtId="0" fontId="39" fillId="9" borderId="0" applyNumberFormat="0" applyBorder="0" applyAlignment="0" applyProtection="0"/>
    <xf numFmtId="0" fontId="40" fillId="21" borderId="9" applyNumberFormat="0" applyAlignment="0" applyProtection="0"/>
    <xf numFmtId="0" fontId="41" fillId="22" borderId="10" applyNumberFormat="0" applyAlignment="0" applyProtection="0"/>
    <xf numFmtId="0" fontId="42" fillId="0" borderId="11" applyNumberFormat="0" applyFill="0" applyAlignment="0" applyProtection="0"/>
    <xf numFmtId="0" fontId="43" fillId="0" borderId="0" applyNumberFormat="0" applyFill="0" applyBorder="0" applyAlignment="0" applyProtection="0"/>
    <xf numFmtId="0" fontId="38" fillId="23" borderId="0" applyNumberFormat="0" applyBorder="0" applyAlignment="0" applyProtection="0"/>
    <xf numFmtId="0" fontId="38" fillId="24" borderId="0" applyNumberFormat="0" applyBorder="0" applyAlignment="0" applyProtection="0"/>
    <xf numFmtId="0" fontId="38" fillId="25"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44" fillId="12" borderId="9" applyNumberFormat="0" applyAlignment="0" applyProtection="0"/>
    <xf numFmtId="0" fontId="45" fillId="0" borderId="0"/>
    <xf numFmtId="173" fontId="27" fillId="0" borderId="0" applyFont="0" applyFill="0" applyBorder="0" applyAlignment="0" applyProtection="0"/>
    <xf numFmtId="173" fontId="27" fillId="0" borderId="0" applyFont="0" applyFill="0" applyBorder="0" applyAlignment="0" applyProtection="0"/>
    <xf numFmtId="0" fontId="46"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48" fillId="8" borderId="0" applyNumberFormat="0" applyBorder="0" applyAlignment="0" applyProtection="0"/>
    <xf numFmtId="174" fontId="27" fillId="0" borderId="0" applyFont="0" applyFill="0" applyBorder="0" applyAlignment="0" applyProtection="0"/>
    <xf numFmtId="164" fontId="31" fillId="0" borderId="0" applyFont="0" applyFill="0" applyBorder="0" applyAlignment="0" applyProtection="0"/>
    <xf numFmtId="175" fontId="27" fillId="0" borderId="0" applyFont="0" applyFill="0" applyBorder="0" applyAlignment="0" applyProtection="0"/>
    <xf numFmtId="176" fontId="27" fillId="0" borderId="0" applyFont="0" applyFill="0" applyBorder="0" applyAlignment="0" applyProtection="0"/>
    <xf numFmtId="0" fontId="27" fillId="0" borderId="0" applyFont="0" applyFill="0" applyBorder="0" applyAlignment="0" applyProtection="0"/>
    <xf numFmtId="176" fontId="27" fillId="0" borderId="0" applyFont="0" applyFill="0" applyBorder="0" applyAlignment="0" applyProtection="0"/>
    <xf numFmtId="175" fontId="27"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7" fillId="0" borderId="0" applyFont="0" applyFill="0" applyBorder="0" applyAlignment="0" applyProtection="0"/>
    <xf numFmtId="166" fontId="26" fillId="0" borderId="0" applyFont="0" applyFill="0" applyBorder="0" applyAlignment="0" applyProtection="0"/>
    <xf numFmtId="43" fontId="27" fillId="0" borderId="0" applyFont="0" applyFill="0" applyBorder="0" applyAlignment="0" applyProtection="0"/>
    <xf numFmtId="177" fontId="27" fillId="0" borderId="0" applyFont="0" applyFill="0" applyBorder="0" applyAlignment="0" applyProtection="0"/>
    <xf numFmtId="176" fontId="27" fillId="0" borderId="0" applyFont="0" applyFill="0" applyBorder="0" applyAlignment="0" applyProtection="0"/>
    <xf numFmtId="165" fontId="27" fillId="0" borderId="0" applyFont="0" applyFill="0" applyBorder="0" applyAlignment="0" applyProtection="0"/>
    <xf numFmtId="172" fontId="26" fillId="0" borderId="0" applyFont="0" applyFill="0" applyBorder="0" applyAlignment="0" applyProtection="0"/>
    <xf numFmtId="172" fontId="27" fillId="0" borderId="0" applyFont="0" applyFill="0" applyBorder="0" applyAlignment="0" applyProtection="0"/>
    <xf numFmtId="172" fontId="31" fillId="0" borderId="0" applyFont="0" applyFill="0" applyBorder="0" applyAlignment="0" applyProtection="0"/>
    <xf numFmtId="0" fontId="49" fillId="2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78" fontId="5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0" fontId="27" fillId="0" borderId="0"/>
    <xf numFmtId="0" fontId="26" fillId="0" borderId="0"/>
    <xf numFmtId="0" fontId="27" fillId="0" borderId="0" applyNumberFormat="0" applyFill="0" applyBorder="0" applyAlignment="0" applyProtection="0"/>
    <xf numFmtId="0" fontId="26" fillId="0" borderId="0"/>
    <xf numFmtId="0" fontId="26" fillId="0" borderId="0"/>
    <xf numFmtId="0" fontId="26" fillId="0" borderId="0"/>
    <xf numFmtId="0" fontId="27" fillId="0" borderId="0"/>
    <xf numFmtId="0" fontId="27" fillId="0" borderId="0" applyNumberFormat="0" applyFill="0" applyBorder="0" applyAlignment="0" applyProtection="0"/>
    <xf numFmtId="0" fontId="26" fillId="0" borderId="0"/>
    <xf numFmtId="0" fontId="26" fillId="0" borderId="0"/>
    <xf numFmtId="0" fontId="26" fillId="0" borderId="0"/>
    <xf numFmtId="0" fontId="26" fillId="0" borderId="0"/>
    <xf numFmtId="0" fontId="31"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28" borderId="12" applyNumberFormat="0" applyFont="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6" fillId="0" borderId="0" applyFont="0" applyFill="0" applyBorder="0" applyAlignment="0" applyProtection="0"/>
    <xf numFmtId="0" fontId="51" fillId="21" borderId="13" applyNumberFormat="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4" fillId="0" borderId="14" applyNumberFormat="0" applyFill="0" applyAlignment="0" applyProtection="0"/>
    <xf numFmtId="0" fontId="55" fillId="0" borderId="15" applyNumberFormat="0" applyFill="0" applyAlignment="0" applyProtection="0"/>
    <xf numFmtId="0" fontId="43" fillId="0" borderId="16" applyNumberFormat="0" applyFill="0" applyAlignment="0" applyProtection="0"/>
    <xf numFmtId="0" fontId="56" fillId="0" borderId="0" applyNumberFormat="0" applyFill="0" applyBorder="0" applyAlignment="0" applyProtection="0"/>
    <xf numFmtId="0" fontId="57" fillId="0" borderId="17" applyNumberFormat="0" applyFill="0" applyAlignment="0" applyProtection="0"/>
    <xf numFmtId="167" fontId="25" fillId="0" borderId="0" applyFont="0" applyFill="0" applyBorder="0" applyAlignment="0" applyProtection="0"/>
    <xf numFmtId="0" fontId="25" fillId="0" borderId="0"/>
    <xf numFmtId="167" fontId="25" fillId="0" borderId="0" applyFont="0" applyFill="0" applyBorder="0" applyAlignment="0" applyProtection="0"/>
    <xf numFmtId="0" fontId="27" fillId="0" borderId="0"/>
    <xf numFmtId="167" fontId="27" fillId="0" borderId="0" applyFont="0" applyFill="0" applyBorder="0" applyAlignment="0" applyProtection="0"/>
    <xf numFmtId="0" fontId="62" fillId="0" borderId="0"/>
    <xf numFmtId="42" fontId="62" fillId="0" borderId="0" applyFont="0" applyFill="0" applyBorder="0" applyAlignment="0" applyProtection="0"/>
    <xf numFmtId="0" fontId="24" fillId="0" borderId="0"/>
    <xf numFmtId="43" fontId="27" fillId="0" borderId="0" applyFont="0" applyFill="0" applyBorder="0" applyAlignment="0" applyProtection="0"/>
    <xf numFmtId="0" fontId="73" fillId="0" borderId="0"/>
    <xf numFmtId="0" fontId="62" fillId="0" borderId="0"/>
    <xf numFmtId="41" fontId="62" fillId="0" borderId="0" applyFont="0" applyFill="0" applyBorder="0" applyAlignment="0" applyProtection="0"/>
    <xf numFmtId="0" fontId="27" fillId="0" borderId="0"/>
    <xf numFmtId="43" fontId="73" fillId="0" borderId="0" applyFont="0" applyFill="0" applyBorder="0" applyAlignment="0" applyProtection="0"/>
    <xf numFmtId="44" fontId="73" fillId="0" borderId="0" applyFont="0" applyFill="0" applyBorder="0" applyAlignment="0" applyProtection="0"/>
    <xf numFmtId="9" fontId="73" fillId="0" borderId="0" applyFont="0" applyFill="0" applyBorder="0" applyAlignment="0" applyProtection="0"/>
    <xf numFmtId="167" fontId="23" fillId="0" borderId="0" applyFont="0" applyFill="0" applyBorder="0" applyAlignment="0" applyProtection="0"/>
    <xf numFmtId="0" fontId="23" fillId="0" borderId="0"/>
    <xf numFmtId="0" fontId="23" fillId="0" borderId="0"/>
    <xf numFmtId="43" fontId="73" fillId="0" borderId="0" applyFont="0" applyFill="0" applyBorder="0" applyAlignment="0" applyProtection="0"/>
    <xf numFmtId="44" fontId="73" fillId="0" borderId="0" applyFont="0" applyFill="0" applyBorder="0" applyAlignment="0" applyProtection="0"/>
    <xf numFmtId="0" fontId="22" fillId="0" borderId="0"/>
    <xf numFmtId="0" fontId="80" fillId="0" borderId="0"/>
    <xf numFmtId="167" fontId="80" fillId="0" borderId="0" applyFont="0" applyFill="0" applyBorder="0" applyAlignment="0" applyProtection="0"/>
    <xf numFmtId="44" fontId="21" fillId="0" borderId="0" applyFont="0" applyFill="0" applyBorder="0" applyAlignment="0" applyProtection="0"/>
    <xf numFmtId="167" fontId="21" fillId="0" borderId="0" applyFont="0" applyFill="0" applyBorder="0" applyAlignment="0" applyProtection="0"/>
    <xf numFmtId="0" fontId="21" fillId="0" borderId="0"/>
    <xf numFmtId="0" fontId="21" fillId="0" borderId="0"/>
    <xf numFmtId="167" fontId="20" fillId="0" borderId="0" applyFont="0" applyFill="0" applyBorder="0" applyAlignment="0" applyProtection="0"/>
    <xf numFmtId="0" fontId="20" fillId="0" borderId="0"/>
    <xf numFmtId="0" fontId="20" fillId="0" borderId="0"/>
    <xf numFmtId="0" fontId="81" fillId="0" borderId="0"/>
    <xf numFmtId="0" fontId="82" fillId="0" borderId="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167" fontId="80" fillId="0" borderId="0" applyFont="0" applyFill="0" applyBorder="0" applyAlignment="0" applyProtection="0"/>
    <xf numFmtId="0" fontId="18" fillId="0" borderId="0"/>
    <xf numFmtId="9" fontId="27" fillId="0" borderId="0" applyFont="0" applyFill="0" applyBorder="0" applyAlignment="0" applyProtection="0"/>
    <xf numFmtId="167" fontId="17" fillId="0" borderId="0" applyFont="0" applyFill="0" applyBorder="0" applyAlignment="0" applyProtection="0"/>
    <xf numFmtId="0" fontId="17" fillId="0" borderId="0"/>
    <xf numFmtId="0" fontId="17" fillId="0" borderId="0"/>
    <xf numFmtId="0" fontId="87" fillId="0" borderId="0"/>
    <xf numFmtId="0" fontId="88" fillId="0" borderId="0"/>
    <xf numFmtId="167" fontId="16" fillId="0" borderId="0" applyFont="0" applyFill="0" applyBorder="0" applyAlignment="0" applyProtection="0"/>
    <xf numFmtId="0" fontId="16" fillId="0" borderId="0"/>
    <xf numFmtId="0" fontId="16" fillId="0" borderId="0"/>
    <xf numFmtId="0" fontId="89" fillId="0" borderId="0"/>
    <xf numFmtId="167" fontId="15" fillId="0" borderId="0" applyFont="0" applyFill="0" applyBorder="0" applyAlignment="0" applyProtection="0"/>
    <xf numFmtId="0" fontId="15" fillId="0" borderId="0"/>
    <xf numFmtId="0" fontId="15" fillId="0" borderId="0"/>
    <xf numFmtId="0" fontId="14" fillId="0" borderId="0"/>
    <xf numFmtId="0" fontId="27" fillId="0" borderId="0"/>
    <xf numFmtId="167" fontId="14" fillId="0" borderId="0" applyFont="0" applyFill="0" applyBorder="0" applyAlignment="0" applyProtection="0"/>
    <xf numFmtId="0" fontId="14" fillId="0" borderId="0"/>
    <xf numFmtId="187" fontId="27" fillId="0" borderId="0" applyFont="0" applyFill="0" applyBorder="0" applyAlignment="0" applyProtection="0"/>
    <xf numFmtId="44" fontId="13" fillId="0" borderId="0" applyFont="0" applyFill="0" applyBorder="0" applyAlignment="0" applyProtection="0"/>
    <xf numFmtId="167" fontId="13" fillId="0" borderId="0" applyFont="0" applyFill="0" applyBorder="0" applyAlignment="0" applyProtection="0"/>
    <xf numFmtId="0" fontId="13" fillId="0" borderId="0"/>
    <xf numFmtId="0" fontId="13" fillId="0" borderId="0"/>
    <xf numFmtId="0" fontId="111" fillId="0" borderId="0"/>
    <xf numFmtId="167" fontId="12" fillId="0" borderId="0" applyFont="0" applyFill="0" applyBorder="0" applyAlignment="0" applyProtection="0"/>
    <xf numFmtId="0" fontId="12" fillId="0" borderId="0"/>
    <xf numFmtId="0" fontId="12" fillId="0" borderId="0"/>
    <xf numFmtId="42" fontId="2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7" fillId="0" borderId="0" applyFont="0" applyFill="0" applyBorder="0" applyAlignment="0" applyProtection="0"/>
    <xf numFmtId="43" fontId="12" fillId="0" borderId="0" applyFont="0" applyFill="0" applyBorder="0" applyAlignment="0" applyProtection="0"/>
    <xf numFmtId="43" fontId="27" fillId="0" borderId="0" applyFont="0" applyFill="0" applyBorder="0" applyAlignment="0" applyProtection="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42" fontId="62" fillId="0" borderId="0" applyFont="0" applyFill="0" applyBorder="0" applyAlignment="0" applyProtection="0"/>
    <xf numFmtId="43" fontId="27" fillId="0" borderId="0" applyFont="0" applyFill="0" applyBorder="0" applyAlignment="0" applyProtection="0"/>
    <xf numFmtId="41" fontId="62" fillId="0" borderId="0" applyFont="0" applyFill="0" applyBorder="0" applyAlignment="0" applyProtection="0"/>
    <xf numFmtId="43" fontId="73" fillId="0" borderId="0" applyFont="0" applyFill="0" applyBorder="0" applyAlignment="0" applyProtection="0"/>
    <xf numFmtId="44" fontId="73" fillId="0" borderId="0" applyFont="0" applyFill="0" applyBorder="0" applyAlignment="0" applyProtection="0"/>
    <xf numFmtId="167" fontId="12" fillId="0" borderId="0" applyFont="0" applyFill="0" applyBorder="0" applyAlignment="0" applyProtection="0"/>
    <xf numFmtId="0" fontId="12" fillId="0" borderId="0"/>
    <xf numFmtId="0" fontId="12" fillId="0" borderId="0"/>
    <xf numFmtId="43" fontId="73" fillId="0" borderId="0" applyFont="0" applyFill="0" applyBorder="0" applyAlignment="0" applyProtection="0"/>
    <xf numFmtId="44" fontId="73" fillId="0" borderId="0" applyFont="0" applyFill="0" applyBorder="0" applyAlignment="0" applyProtection="0"/>
    <xf numFmtId="0" fontId="12" fillId="0" borderId="0"/>
    <xf numFmtId="44" fontId="12" fillId="0" borderId="0" applyFont="0" applyFill="0" applyBorder="0" applyAlignment="0" applyProtection="0"/>
    <xf numFmtId="167" fontId="12" fillId="0" borderId="0" applyFont="0" applyFill="0" applyBorder="0" applyAlignment="0" applyProtection="0"/>
    <xf numFmtId="0" fontId="12" fillId="0" borderId="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167" fontId="12" fillId="0" borderId="0" applyFont="0" applyFill="0" applyBorder="0" applyAlignment="0" applyProtection="0"/>
    <xf numFmtId="0" fontId="12" fillId="0" borderId="0"/>
    <xf numFmtId="44" fontId="12" fillId="0" borderId="0" applyFont="0" applyFill="0" applyBorder="0" applyAlignment="0" applyProtection="0"/>
    <xf numFmtId="167" fontId="12" fillId="0" borderId="0" applyFont="0" applyFill="0" applyBorder="0" applyAlignment="0" applyProtection="0"/>
    <xf numFmtId="0" fontId="12" fillId="0" borderId="0"/>
    <xf numFmtId="0" fontId="12" fillId="0" borderId="0"/>
    <xf numFmtId="0" fontId="12" fillId="0" borderId="0"/>
    <xf numFmtId="0" fontId="112" fillId="0" borderId="0"/>
    <xf numFmtId="167" fontId="11" fillId="0" borderId="0" applyFont="0" applyFill="0" applyBorder="0" applyAlignment="0" applyProtection="0"/>
    <xf numFmtId="0" fontId="11" fillId="0" borderId="0"/>
    <xf numFmtId="167" fontId="10" fillId="0" borderId="0" applyFont="0" applyFill="0" applyBorder="0" applyAlignment="0" applyProtection="0"/>
    <xf numFmtId="0" fontId="10" fillId="0" borderId="0"/>
    <xf numFmtId="167" fontId="9" fillId="0" borderId="0" applyFont="0" applyFill="0" applyBorder="0" applyAlignment="0" applyProtection="0"/>
    <xf numFmtId="0" fontId="9" fillId="0" borderId="0"/>
    <xf numFmtId="0" fontId="124" fillId="0" borderId="0"/>
    <xf numFmtId="167" fontId="8" fillId="0" borderId="0" applyFont="0" applyFill="0" applyBorder="0" applyAlignment="0" applyProtection="0"/>
    <xf numFmtId="0" fontId="8" fillId="0" borderId="0"/>
    <xf numFmtId="0" fontId="125" fillId="0" borderId="0"/>
    <xf numFmtId="0" fontId="130" fillId="0" borderId="0"/>
    <xf numFmtId="167" fontId="7" fillId="0" borderId="0" applyFont="0" applyFill="0" applyBorder="0" applyAlignment="0" applyProtection="0"/>
    <xf numFmtId="0" fontId="7" fillId="0" borderId="0"/>
    <xf numFmtId="0" fontId="131" fillId="0" borderId="0"/>
    <xf numFmtId="167" fontId="6" fillId="0" borderId="0" applyFont="0" applyFill="0" applyBorder="0" applyAlignment="0" applyProtection="0"/>
    <xf numFmtId="0" fontId="6" fillId="0" borderId="0"/>
    <xf numFmtId="0" fontId="6" fillId="0" borderId="0"/>
    <xf numFmtId="44" fontId="6" fillId="0" borderId="0" applyFont="0" applyFill="0" applyBorder="0" applyAlignment="0" applyProtection="0"/>
    <xf numFmtId="0" fontId="6" fillId="0" borderId="0"/>
    <xf numFmtId="0" fontId="5" fillId="0" borderId="0"/>
    <xf numFmtId="0" fontId="4" fillId="0" borderId="0"/>
    <xf numFmtId="17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0" fontId="134" fillId="0" borderId="0" applyNumberFormat="0" applyFill="0" applyBorder="0" applyAlignment="0" applyProtection="0"/>
    <xf numFmtId="0" fontId="3" fillId="0" borderId="0"/>
    <xf numFmtId="0" fontId="1" fillId="0" borderId="0"/>
    <xf numFmtId="0" fontId="1" fillId="0" borderId="0"/>
  </cellStyleXfs>
  <cellXfs count="1086">
    <xf numFmtId="0" fontId="0" fillId="0" borderId="0" xfId="0"/>
    <xf numFmtId="0" fontId="29" fillId="0" borderId="0" xfId="4" applyFont="1"/>
    <xf numFmtId="3" fontId="29" fillId="0" borderId="0" xfId="4" applyNumberFormat="1" applyFont="1"/>
    <xf numFmtId="0" fontId="29" fillId="2" borderId="0" xfId="4" applyFont="1" applyFill="1"/>
    <xf numFmtId="0" fontId="30" fillId="4" borderId="1" xfId="4" applyFont="1" applyFill="1" applyBorder="1" applyAlignment="1">
      <alignment horizontal="center" vertical="center" wrapText="1"/>
    </xf>
    <xf numFmtId="0" fontId="30" fillId="4" borderId="1" xfId="5" applyFont="1" applyFill="1" applyBorder="1" applyAlignment="1">
      <alignment horizontal="center" vertical="center" wrapText="1"/>
    </xf>
    <xf numFmtId="0" fontId="30" fillId="3" borderId="0" xfId="4" applyFont="1" applyFill="1" applyAlignment="1">
      <alignment horizontal="center" vertical="center" wrapText="1"/>
    </xf>
    <xf numFmtId="3" fontId="30" fillId="0" borderId="1" xfId="4" applyNumberFormat="1" applyFont="1" applyBorder="1" applyAlignment="1">
      <alignment horizontal="center" vertical="center" wrapText="1"/>
    </xf>
    <xf numFmtId="169" fontId="32" fillId="0" borderId="1" xfId="7" applyNumberFormat="1" applyFont="1" applyFill="1" applyBorder="1" applyAlignment="1">
      <alignment horizontal="center" vertical="center" wrapText="1"/>
    </xf>
    <xf numFmtId="9" fontId="30" fillId="0" borderId="1" xfId="7" applyFont="1" applyFill="1" applyBorder="1" applyAlignment="1">
      <alignment horizontal="center" vertical="center" wrapText="1"/>
    </xf>
    <xf numFmtId="3" fontId="30" fillId="0" borderId="0" xfId="4" applyNumberFormat="1" applyFont="1" applyAlignment="1">
      <alignment horizontal="center" vertical="center" wrapText="1"/>
    </xf>
    <xf numFmtId="170" fontId="29" fillId="0" borderId="1" xfId="4" applyNumberFormat="1" applyFont="1" applyBorder="1" applyAlignment="1">
      <alignment vertical="center"/>
    </xf>
    <xf numFmtId="0" fontId="27" fillId="2" borderId="0" xfId="0" applyFont="1" applyFill="1" applyAlignment="1">
      <alignment vertical="center"/>
    </xf>
    <xf numFmtId="170" fontId="29" fillId="0" borderId="0" xfId="4" applyNumberFormat="1" applyFont="1"/>
    <xf numFmtId="10" fontId="30" fillId="2" borderId="1" xfId="4" applyNumberFormat="1" applyFont="1" applyFill="1" applyBorder="1" applyAlignment="1">
      <alignment horizontal="center" vertical="center" wrapText="1"/>
    </xf>
    <xf numFmtId="0" fontId="30" fillId="0" borderId="0" xfId="4" applyFont="1"/>
    <xf numFmtId="0" fontId="28" fillId="2" borderId="0" xfId="0" applyFont="1" applyFill="1" applyAlignment="1">
      <alignment vertical="center"/>
    </xf>
    <xf numFmtId="0" fontId="27" fillId="2" borderId="0" xfId="0" applyFont="1" applyFill="1" applyAlignment="1">
      <alignment horizontal="justify" vertical="center" wrapText="1"/>
    </xf>
    <xf numFmtId="0" fontId="0" fillId="2" borderId="0" xfId="0" applyFill="1" applyAlignment="1">
      <alignment vertical="center"/>
    </xf>
    <xf numFmtId="0" fontId="35" fillId="2" borderId="0" xfId="0" applyFont="1" applyFill="1" applyAlignment="1">
      <alignment vertical="center"/>
    </xf>
    <xf numFmtId="0" fontId="35" fillId="2" borderId="0" xfId="0" applyFont="1" applyFill="1" applyAlignment="1">
      <alignment vertical="center" wrapText="1"/>
    </xf>
    <xf numFmtId="0" fontId="36" fillId="2" borderId="0" xfId="0" applyFont="1" applyFill="1" applyAlignment="1">
      <alignment vertical="center" wrapText="1"/>
    </xf>
    <xf numFmtId="3" fontId="30" fillId="6" borderId="1" xfId="4" applyNumberFormat="1" applyFont="1" applyFill="1" applyBorder="1" applyAlignment="1">
      <alignment horizontal="center" vertical="center" wrapText="1"/>
    </xf>
    <xf numFmtId="3" fontId="30" fillId="4" borderId="1" xfId="4" applyNumberFormat="1" applyFont="1" applyFill="1" applyBorder="1" applyAlignment="1">
      <alignment horizontal="center" vertical="center" wrapText="1"/>
    </xf>
    <xf numFmtId="0" fontId="29" fillId="2" borderId="0" xfId="0" applyFont="1" applyFill="1" applyAlignment="1">
      <alignment vertical="center"/>
    </xf>
    <xf numFmtId="0" fontId="62" fillId="0" borderId="0" xfId="170" applyAlignment="1">
      <alignment horizontal="left" vertical="top"/>
    </xf>
    <xf numFmtId="0" fontId="63" fillId="0" borderId="22" xfId="170" applyFont="1" applyBorder="1" applyAlignment="1">
      <alignment horizontal="center" vertical="center" wrapText="1"/>
    </xf>
    <xf numFmtId="0" fontId="63" fillId="0" borderId="22" xfId="170" applyFont="1" applyBorder="1" applyAlignment="1">
      <alignment horizontal="left" vertical="center" wrapText="1" indent="2"/>
    </xf>
    <xf numFmtId="0" fontId="63" fillId="0" borderId="22" xfId="170" applyFont="1" applyBorder="1" applyAlignment="1">
      <alignment horizontal="center" vertical="top" wrapText="1"/>
    </xf>
    <xf numFmtId="0" fontId="63" fillId="0" borderId="22" xfId="170" applyFont="1" applyBorder="1" applyAlignment="1">
      <alignment horizontal="left" vertical="center" wrapText="1" indent="3"/>
    </xf>
    <xf numFmtId="0" fontId="63" fillId="0" borderId="22" xfId="170" applyFont="1" applyBorder="1" applyAlignment="1">
      <alignment horizontal="left" vertical="top" wrapText="1"/>
    </xf>
    <xf numFmtId="1" fontId="64" fillId="0" borderId="22" xfId="170" applyNumberFormat="1" applyFont="1" applyBorder="1" applyAlignment="1">
      <alignment horizontal="center" vertical="center" shrinkToFit="1"/>
    </xf>
    <xf numFmtId="0" fontId="65" fillId="0" borderId="22" xfId="170" applyFont="1" applyBorder="1" applyAlignment="1">
      <alignment horizontal="center" vertical="center" wrapText="1"/>
    </xf>
    <xf numFmtId="0" fontId="65" fillId="0" borderId="22" xfId="170" applyFont="1" applyBorder="1" applyAlignment="1">
      <alignment horizontal="left" vertical="top" wrapText="1"/>
    </xf>
    <xf numFmtId="0" fontId="65" fillId="0" borderId="22" xfId="170" applyFont="1" applyBorder="1" applyAlignment="1">
      <alignment horizontal="left" vertical="center" wrapText="1"/>
    </xf>
    <xf numFmtId="180" fontId="64" fillId="0" borderId="22" xfId="170" applyNumberFormat="1" applyFont="1" applyBorder="1" applyAlignment="1">
      <alignment horizontal="left" vertical="center" shrinkToFit="1"/>
    </xf>
    <xf numFmtId="42" fontId="64" fillId="0" borderId="22" xfId="171" applyFont="1" applyFill="1" applyBorder="1" applyAlignment="1">
      <alignment horizontal="center" vertical="center" shrinkToFit="1"/>
    </xf>
    <xf numFmtId="42" fontId="64" fillId="0" borderId="22" xfId="171" applyFont="1" applyFill="1" applyBorder="1" applyAlignment="1">
      <alignment horizontal="center" vertical="center" wrapText="1" shrinkToFit="1"/>
    </xf>
    <xf numFmtId="0" fontId="62" fillId="0" borderId="22" xfId="170" applyBorder="1" applyAlignment="1">
      <alignment horizontal="left" vertical="top" wrapText="1"/>
    </xf>
    <xf numFmtId="180" fontId="64" fillId="0" borderId="22" xfId="170" applyNumberFormat="1" applyFont="1" applyBorder="1" applyAlignment="1">
      <alignment horizontal="center" vertical="center" shrinkToFit="1"/>
    </xf>
    <xf numFmtId="180" fontId="64" fillId="0" borderId="23" xfId="170" applyNumberFormat="1" applyFont="1" applyBorder="1" applyAlignment="1">
      <alignment horizontal="left" vertical="center" shrinkToFit="1"/>
    </xf>
    <xf numFmtId="0" fontId="65" fillId="0" borderId="23" xfId="170" applyFont="1" applyBorder="1" applyAlignment="1">
      <alignment horizontal="center" vertical="center" wrapText="1"/>
    </xf>
    <xf numFmtId="1" fontId="64" fillId="0" borderId="22" xfId="170" applyNumberFormat="1" applyFont="1" applyBorder="1" applyAlignment="1">
      <alignment horizontal="left" vertical="center" indent="1" shrinkToFit="1"/>
    </xf>
    <xf numFmtId="42" fontId="62" fillId="0" borderId="0" xfId="2" applyFont="1" applyFill="1" applyAlignment="1">
      <alignment horizontal="center" vertical="center"/>
    </xf>
    <xf numFmtId="180" fontId="62" fillId="0" borderId="0" xfId="170" applyNumberFormat="1" applyAlignment="1">
      <alignment horizontal="left" vertical="top"/>
    </xf>
    <xf numFmtId="42" fontId="62" fillId="0" borderId="0" xfId="170" applyNumberFormat="1" applyAlignment="1">
      <alignment horizontal="left" vertical="top"/>
    </xf>
    <xf numFmtId="0" fontId="66" fillId="0" borderId="0" xfId="170" applyFont="1" applyAlignment="1">
      <alignment horizontal="center" vertical="top"/>
    </xf>
    <xf numFmtId="42" fontId="0" fillId="0" borderId="0" xfId="0" applyNumberFormat="1"/>
    <xf numFmtId="0" fontId="59" fillId="30" borderId="5" xfId="87" applyFont="1" applyFill="1" applyBorder="1" applyAlignment="1">
      <alignment vertical="center"/>
    </xf>
    <xf numFmtId="0" fontId="59" fillId="30" borderId="6" xfId="87" applyFont="1" applyFill="1" applyBorder="1" applyAlignment="1">
      <alignment horizontal="center" vertical="center" wrapText="1"/>
    </xf>
    <xf numFmtId="0" fontId="59" fillId="30" borderId="8" xfId="87" applyFont="1" applyFill="1" applyBorder="1" applyAlignment="1">
      <alignment horizontal="center" vertical="center" wrapText="1"/>
    </xf>
    <xf numFmtId="0" fontId="59" fillId="30" borderId="5" xfId="87" applyFont="1" applyFill="1" applyBorder="1" applyAlignment="1">
      <alignment horizontal="center" vertical="center"/>
    </xf>
    <xf numFmtId="3" fontId="30" fillId="30" borderId="1" xfId="4" applyNumberFormat="1" applyFont="1" applyFill="1" applyBorder="1" applyAlignment="1">
      <alignment horizontal="center" vertical="center" wrapText="1"/>
    </xf>
    <xf numFmtId="3" fontId="30" fillId="34" borderId="1" xfId="4" applyNumberFormat="1" applyFont="1" applyFill="1" applyBorder="1" applyAlignment="1">
      <alignment horizontal="center" vertical="center" wrapText="1"/>
    </xf>
    <xf numFmtId="0" fontId="27" fillId="2" borderId="1" xfId="0" applyFont="1" applyFill="1" applyBorder="1" applyAlignment="1">
      <alignment horizontal="center" vertical="center"/>
    </xf>
    <xf numFmtId="0" fontId="59" fillId="35" borderId="6" xfId="87" applyFont="1" applyFill="1" applyBorder="1" applyAlignment="1">
      <alignment horizontal="center" vertical="center" wrapText="1"/>
    </xf>
    <xf numFmtId="0" fontId="59" fillId="35" borderId="8" xfId="87" applyFont="1" applyFill="1" applyBorder="1" applyAlignment="1">
      <alignment horizontal="center" vertical="center" wrapText="1"/>
    </xf>
    <xf numFmtId="3" fontId="29" fillId="0" borderId="1" xfId="4" applyNumberFormat="1" applyFont="1" applyBorder="1" applyAlignment="1">
      <alignment horizontal="center" vertical="center" wrapText="1"/>
    </xf>
    <xf numFmtId="0" fontId="59" fillId="36" borderId="6" xfId="87" applyFont="1" applyFill="1" applyBorder="1" applyAlignment="1">
      <alignment horizontal="center" vertical="center" wrapText="1"/>
    </xf>
    <xf numFmtId="170" fontId="30" fillId="31" borderId="1" xfId="4" applyNumberFormat="1" applyFont="1" applyFill="1" applyBorder="1" applyAlignment="1">
      <alignment horizontal="right" vertical="center"/>
    </xf>
    <xf numFmtId="3" fontId="30" fillId="31" borderId="1" xfId="4" applyNumberFormat="1" applyFont="1" applyFill="1" applyBorder="1" applyAlignment="1">
      <alignment horizontal="center" vertical="center" wrapText="1"/>
    </xf>
    <xf numFmtId="170" fontId="32" fillId="0" borderId="1" xfId="4" applyNumberFormat="1" applyFont="1" applyBorder="1" applyAlignment="1">
      <alignment horizontal="right" vertical="center"/>
    </xf>
    <xf numFmtId="168" fontId="32" fillId="0" borderId="1" xfId="7" applyNumberFormat="1" applyFont="1" applyFill="1" applyBorder="1" applyAlignment="1">
      <alignment horizontal="center" vertical="center"/>
    </xf>
    <xf numFmtId="0" fontId="59" fillId="37" borderId="5" xfId="87" applyFont="1" applyFill="1" applyBorder="1" applyAlignment="1">
      <alignment horizontal="center" vertical="center" wrapText="1"/>
    </xf>
    <xf numFmtId="3" fontId="30" fillId="2" borderId="0" xfId="4" applyNumberFormat="1" applyFont="1" applyFill="1" applyAlignment="1">
      <alignment horizontal="center" vertical="center" wrapText="1"/>
    </xf>
    <xf numFmtId="9" fontId="30" fillId="2" borderId="0" xfId="6" applyFont="1" applyFill="1" applyBorder="1" applyAlignment="1">
      <alignment horizontal="center" vertical="center" wrapText="1"/>
    </xf>
    <xf numFmtId="170" fontId="30" fillId="2" borderId="0" xfId="4" applyNumberFormat="1" applyFont="1" applyFill="1" applyAlignment="1">
      <alignment horizontal="right" vertical="center"/>
    </xf>
    <xf numFmtId="168" fontId="30" fillId="2" borderId="0" xfId="7" applyNumberFormat="1" applyFont="1" applyFill="1" applyBorder="1" applyAlignment="1">
      <alignment vertical="center"/>
    </xf>
    <xf numFmtId="169" fontId="30" fillId="2" borderId="0" xfId="7" applyNumberFormat="1" applyFont="1" applyFill="1" applyBorder="1" applyAlignment="1">
      <alignment horizontal="center" vertical="center" wrapText="1"/>
    </xf>
    <xf numFmtId="168" fontId="32" fillId="2" borderId="0" xfId="7" applyNumberFormat="1" applyFont="1" applyFill="1" applyBorder="1" applyAlignment="1">
      <alignment horizontal="center" vertical="center" wrapText="1"/>
    </xf>
    <xf numFmtId="169" fontId="32" fillId="2" borderId="0" xfId="7" applyNumberFormat="1" applyFont="1" applyFill="1" applyBorder="1" applyAlignment="1">
      <alignment horizontal="center" vertical="center" wrapText="1"/>
    </xf>
    <xf numFmtId="10" fontId="30" fillId="2" borderId="0" xfId="7" applyNumberFormat="1" applyFont="1" applyFill="1" applyBorder="1" applyAlignment="1">
      <alignment horizontal="center" vertical="center" wrapText="1"/>
    </xf>
    <xf numFmtId="9" fontId="30" fillId="2" borderId="0" xfId="7" applyFont="1" applyFill="1" applyBorder="1" applyAlignment="1">
      <alignment horizontal="center" vertical="center" wrapText="1"/>
    </xf>
    <xf numFmtId="0" fontId="59" fillId="37" borderId="1" xfId="87" applyFont="1" applyFill="1" applyBorder="1" applyAlignment="1">
      <alignment horizontal="center" vertical="center" wrapText="1"/>
    </xf>
    <xf numFmtId="0" fontId="59" fillId="31" borderId="1" xfId="87" applyFont="1" applyFill="1" applyBorder="1" applyAlignment="1">
      <alignment horizontal="center" vertical="center"/>
    </xf>
    <xf numFmtId="0" fontId="59" fillId="36" borderId="1" xfId="87" applyFont="1" applyFill="1" applyBorder="1" applyAlignment="1">
      <alignment horizontal="center" vertical="center"/>
    </xf>
    <xf numFmtId="0" fontId="59" fillId="36" borderId="8" xfId="87" applyFont="1" applyFill="1" applyBorder="1" applyAlignment="1">
      <alignment horizontal="center" vertical="center" wrapText="1"/>
    </xf>
    <xf numFmtId="3" fontId="30" fillId="36" borderId="6" xfId="4" applyNumberFormat="1" applyFont="1" applyFill="1" applyBorder="1" applyAlignment="1">
      <alignment vertical="center" wrapText="1"/>
    </xf>
    <xf numFmtId="3" fontId="30" fillId="36" borderId="6" xfId="4" applyNumberFormat="1" applyFont="1" applyFill="1" applyBorder="1" applyAlignment="1">
      <alignment horizontal="center" vertical="center" wrapText="1"/>
    </xf>
    <xf numFmtId="10" fontId="30" fillId="36" borderId="6" xfId="4" applyNumberFormat="1" applyFont="1" applyFill="1" applyBorder="1" applyAlignment="1">
      <alignment horizontal="center" vertical="center" wrapText="1"/>
    </xf>
    <xf numFmtId="3" fontId="30" fillId="36" borderId="8" xfId="4" applyNumberFormat="1" applyFont="1" applyFill="1" applyBorder="1" applyAlignment="1">
      <alignment horizontal="center" vertical="center" wrapText="1"/>
    </xf>
    <xf numFmtId="0" fontId="0" fillId="2" borderId="1" xfId="0" applyFill="1" applyBorder="1" applyAlignment="1">
      <alignment horizontal="justify" vertical="center" wrapText="1"/>
    </xf>
    <xf numFmtId="0" fontId="0" fillId="0" borderId="1" xfId="0" applyBorder="1" applyAlignment="1">
      <alignment horizontal="justify" vertical="center" wrapText="1"/>
    </xf>
    <xf numFmtId="0" fontId="69" fillId="30" borderId="5" xfId="87" applyFont="1" applyFill="1" applyBorder="1" applyAlignment="1">
      <alignment horizontal="center" vertical="center"/>
    </xf>
    <xf numFmtId="171" fontId="30" fillId="30" borderId="1" xfId="1" applyNumberFormat="1" applyFont="1" applyFill="1" applyBorder="1" applyAlignment="1">
      <alignment vertical="center" wrapText="1"/>
    </xf>
    <xf numFmtId="0" fontId="69" fillId="31" borderId="1" xfId="87" applyFont="1" applyFill="1" applyBorder="1" applyAlignment="1">
      <alignment horizontal="center" vertical="center"/>
    </xf>
    <xf numFmtId="171" fontId="30" fillId="31" borderId="1" xfId="1" applyNumberFormat="1" applyFont="1" applyFill="1" applyBorder="1" applyAlignment="1">
      <alignment vertical="center" wrapText="1"/>
    </xf>
    <xf numFmtId="0" fontId="69" fillId="34" borderId="1" xfId="87" applyFont="1" applyFill="1" applyBorder="1" applyAlignment="1">
      <alignment horizontal="center" vertical="center"/>
    </xf>
    <xf numFmtId="0" fontId="69" fillId="4" borderId="1" xfId="87" applyFont="1" applyFill="1" applyBorder="1" applyAlignment="1">
      <alignment horizontal="center" vertical="center"/>
    </xf>
    <xf numFmtId="0" fontId="70" fillId="4" borderId="1" xfId="5" applyFont="1" applyFill="1" applyBorder="1" applyAlignment="1">
      <alignment horizontal="center" vertical="center" wrapText="1"/>
    </xf>
    <xf numFmtId="179" fontId="28" fillId="0" borderId="21" xfId="173" applyNumberFormat="1" applyFont="1" applyBorder="1" applyAlignment="1">
      <alignment vertical="center"/>
    </xf>
    <xf numFmtId="170" fontId="59" fillId="2" borderId="21" xfId="0" applyNumberFormat="1" applyFont="1" applyFill="1" applyBorder="1" applyAlignment="1">
      <alignment vertical="center"/>
    </xf>
    <xf numFmtId="170" fontId="59" fillId="4" borderId="21" xfId="0" applyNumberFormat="1" applyFont="1" applyFill="1" applyBorder="1" applyAlignment="1">
      <alignment vertical="center" wrapText="1"/>
    </xf>
    <xf numFmtId="179" fontId="28" fillId="0" borderId="21" xfId="173" applyNumberFormat="1" applyFont="1" applyBorder="1" applyAlignment="1">
      <alignment horizontal="right" vertical="center"/>
    </xf>
    <xf numFmtId="179" fontId="30" fillId="4" borderId="21" xfId="0" applyNumberFormat="1" applyFont="1" applyFill="1" applyBorder="1" applyAlignment="1">
      <alignment horizontal="center" vertical="center" wrapText="1"/>
    </xf>
    <xf numFmtId="179" fontId="28" fillId="4" borderId="21" xfId="173" applyNumberFormat="1" applyFont="1" applyFill="1" applyBorder="1" applyAlignment="1">
      <alignment horizontal="right" vertical="center"/>
    </xf>
    <xf numFmtId="0" fontId="30" fillId="4" borderId="21" xfId="0" applyFont="1" applyFill="1" applyBorder="1" applyAlignment="1">
      <alignment horizontal="center" vertical="center" wrapText="1"/>
    </xf>
    <xf numFmtId="0" fontId="37" fillId="0" borderId="0" xfId="175" applyFont="1" applyAlignment="1">
      <alignment horizontal="left" vertical="top"/>
    </xf>
    <xf numFmtId="170" fontId="28" fillId="4" borderId="21" xfId="168" applyNumberFormat="1" applyFont="1" applyFill="1" applyBorder="1" applyAlignment="1">
      <alignment horizontal="center" vertical="center" wrapText="1"/>
    </xf>
    <xf numFmtId="3" fontId="30" fillId="0" borderId="21" xfId="4" applyNumberFormat="1" applyFont="1" applyBorder="1" applyAlignment="1">
      <alignment horizontal="center" vertical="center" wrapText="1"/>
    </xf>
    <xf numFmtId="0" fontId="59" fillId="0" borderId="21" xfId="0" applyFont="1" applyBorder="1" applyAlignment="1">
      <alignment vertical="center" wrapText="1"/>
    </xf>
    <xf numFmtId="0" fontId="58" fillId="2" borderId="0" xfId="0" applyFont="1" applyFill="1"/>
    <xf numFmtId="44" fontId="58" fillId="2" borderId="0" xfId="0" applyNumberFormat="1" applyFont="1" applyFill="1"/>
    <xf numFmtId="44" fontId="37" fillId="2" borderId="0" xfId="175" applyNumberFormat="1" applyFont="1" applyFill="1" applyAlignment="1">
      <alignment horizontal="right" vertical="top"/>
    </xf>
    <xf numFmtId="44" fontId="37" fillId="2" borderId="0" xfId="175" applyNumberFormat="1" applyFont="1" applyFill="1" applyAlignment="1">
      <alignment horizontal="left" vertical="top"/>
    </xf>
    <xf numFmtId="179" fontId="28" fillId="0" borderId="0" xfId="178" applyNumberFormat="1" applyFont="1" applyFill="1" applyBorder="1" applyAlignment="1">
      <alignment horizontal="right" vertical="center"/>
    </xf>
    <xf numFmtId="0" fontId="58" fillId="0" borderId="0" xfId="0" applyFont="1"/>
    <xf numFmtId="170" fontId="59" fillId="42" borderId="21" xfId="0" applyNumberFormat="1" applyFont="1" applyFill="1" applyBorder="1" applyAlignment="1">
      <alignment vertical="center"/>
    </xf>
    <xf numFmtId="0" fontId="30" fillId="4" borderId="18" xfId="4" applyFont="1" applyFill="1" applyBorder="1" applyAlignment="1">
      <alignment horizontal="center" vertical="center" wrapText="1"/>
    </xf>
    <xf numFmtId="0" fontId="30" fillId="4" borderId="4" xfId="4" applyFont="1" applyFill="1" applyBorder="1" applyAlignment="1">
      <alignment horizontal="center" vertical="center" wrapText="1"/>
    </xf>
    <xf numFmtId="0" fontId="28" fillId="2" borderId="1" xfId="0" applyFont="1" applyFill="1" applyBorder="1" applyAlignment="1">
      <alignment horizontal="center" vertical="center"/>
    </xf>
    <xf numFmtId="9" fontId="35" fillId="32" borderId="1" xfId="3" applyFont="1" applyFill="1" applyBorder="1" applyAlignment="1">
      <alignment horizontal="center" vertical="center" wrapText="1"/>
    </xf>
    <xf numFmtId="9" fontId="35" fillId="33" borderId="1" xfId="3" applyFont="1" applyFill="1" applyBorder="1" applyAlignment="1">
      <alignment horizontal="center" vertical="center" wrapText="1"/>
    </xf>
    <xf numFmtId="179" fontId="28" fillId="29" borderId="21" xfId="173" applyNumberFormat="1" applyFont="1" applyFill="1" applyBorder="1" applyAlignment="1">
      <alignment horizontal="right" vertical="center"/>
    </xf>
    <xf numFmtId="0" fontId="79" fillId="2" borderId="2" xfId="0" applyFont="1" applyFill="1" applyBorder="1" applyAlignment="1">
      <alignment vertical="center"/>
    </xf>
    <xf numFmtId="0" fontId="79" fillId="2" borderId="3" xfId="0" applyFont="1" applyFill="1" applyBorder="1" applyAlignment="1">
      <alignment vertical="center"/>
    </xf>
    <xf numFmtId="0" fontId="79" fillId="2" borderId="27" xfId="0" applyFont="1" applyFill="1" applyBorder="1" applyAlignment="1">
      <alignment vertical="center" wrapText="1"/>
    </xf>
    <xf numFmtId="0" fontId="79" fillId="2" borderId="0" xfId="0" applyFont="1" applyFill="1" applyAlignment="1">
      <alignment vertical="center" wrapText="1"/>
    </xf>
    <xf numFmtId="0" fontId="30" fillId="4" borderId="38" xfId="4" applyFont="1" applyFill="1" applyBorder="1" applyAlignment="1">
      <alignment vertical="center" wrapText="1"/>
    </xf>
    <xf numFmtId="0" fontId="58" fillId="0" borderId="38" xfId="0" applyFont="1" applyBorder="1" applyAlignment="1">
      <alignment vertical="center" wrapText="1"/>
    </xf>
    <xf numFmtId="0" fontId="28" fillId="4" borderId="38" xfId="0" applyFont="1" applyFill="1" applyBorder="1" applyAlignment="1">
      <alignment vertical="center" wrapText="1"/>
    </xf>
    <xf numFmtId="0" fontId="59" fillId="37" borderId="5" xfId="87" applyFont="1" applyFill="1" applyBorder="1" applyAlignment="1">
      <alignment horizontal="centerContinuous" vertical="center" wrapText="1"/>
    </xf>
    <xf numFmtId="0" fontId="59" fillId="37" borderId="6" xfId="87" applyFont="1" applyFill="1" applyBorder="1" applyAlignment="1">
      <alignment horizontal="centerContinuous" vertical="center" wrapText="1"/>
    </xf>
    <xf numFmtId="0" fontId="59" fillId="37" borderId="8" xfId="87" applyFont="1" applyFill="1" applyBorder="1" applyAlignment="1">
      <alignment horizontal="centerContinuous" vertical="center" wrapText="1"/>
    </xf>
    <xf numFmtId="3" fontId="30" fillId="6" borderId="25" xfId="4" applyNumberFormat="1" applyFont="1" applyFill="1" applyBorder="1" applyAlignment="1">
      <alignment horizontal="centerContinuous" vertical="center" wrapText="1"/>
    </xf>
    <xf numFmtId="3" fontId="30" fillId="6" borderId="2" xfId="4" applyNumberFormat="1" applyFont="1" applyFill="1" applyBorder="1" applyAlignment="1">
      <alignment horizontal="centerContinuous" vertical="center" wrapText="1"/>
    </xf>
    <xf numFmtId="3" fontId="30" fillId="6" borderId="3" xfId="4" applyNumberFormat="1" applyFont="1" applyFill="1" applyBorder="1" applyAlignment="1">
      <alignment horizontal="centerContinuous" vertical="center" wrapText="1"/>
    </xf>
    <xf numFmtId="3" fontId="30" fillId="6" borderId="19" xfId="4" applyNumberFormat="1" applyFont="1" applyFill="1" applyBorder="1" applyAlignment="1">
      <alignment horizontal="centerContinuous" vertical="center" wrapText="1"/>
    </xf>
    <xf numFmtId="3" fontId="30" fillId="6" borderId="7" xfId="4" applyNumberFormat="1" applyFont="1" applyFill="1" applyBorder="1" applyAlignment="1">
      <alignment horizontal="centerContinuous" vertical="center" wrapText="1"/>
    </xf>
    <xf numFmtId="3" fontId="30" fillId="6" borderId="20" xfId="4" applyNumberFormat="1" applyFont="1" applyFill="1" applyBorder="1" applyAlignment="1">
      <alignment horizontal="centerContinuous" vertical="center" wrapText="1"/>
    </xf>
    <xf numFmtId="3" fontId="29" fillId="0" borderId="5" xfId="4" applyNumberFormat="1" applyFont="1" applyBorder="1" applyAlignment="1">
      <alignment horizontal="centerContinuous" vertical="center" wrapText="1"/>
    </xf>
    <xf numFmtId="3" fontId="29" fillId="0" borderId="6" xfId="4" applyNumberFormat="1" applyFont="1" applyBorder="1" applyAlignment="1">
      <alignment horizontal="centerContinuous" vertical="center" wrapText="1"/>
    </xf>
    <xf numFmtId="3" fontId="29" fillId="0" borderId="8" xfId="4" applyNumberFormat="1" applyFont="1" applyBorder="1" applyAlignment="1">
      <alignment horizontal="centerContinuous" vertical="center" wrapText="1"/>
    </xf>
    <xf numFmtId="0" fontId="29" fillId="0" borderId="0" xfId="4" applyFont="1" applyAlignment="1">
      <alignment horizontal="centerContinuous" wrapText="1"/>
    </xf>
    <xf numFmtId="0" fontId="29" fillId="0" borderId="2" xfId="4" applyFont="1" applyBorder="1" applyAlignment="1">
      <alignment horizontal="centerContinuous" vertical="center"/>
    </xf>
    <xf numFmtId="0" fontId="29" fillId="0" borderId="2" xfId="4" applyFont="1" applyBorder="1" applyAlignment="1">
      <alignment horizontal="centerContinuous" vertical="center" wrapText="1"/>
    </xf>
    <xf numFmtId="0" fontId="29" fillId="0" borderId="0" xfId="4" applyFont="1" applyAlignment="1">
      <alignment horizontal="centerContinuous" vertical="center" wrapText="1"/>
    </xf>
    <xf numFmtId="0" fontId="35" fillId="2" borderId="0" xfId="0" applyFont="1" applyFill="1" applyAlignment="1">
      <alignment horizontal="centerContinuous" vertical="center" wrapText="1"/>
    </xf>
    <xf numFmtId="0" fontId="60" fillId="2" borderId="0" xfId="0" applyFont="1" applyFill="1" applyAlignment="1">
      <alignment horizontal="centerContinuous" vertical="center" wrapText="1"/>
    </xf>
    <xf numFmtId="0" fontId="74" fillId="2" borderId="0" xfId="0" applyFont="1" applyFill="1" applyAlignment="1">
      <alignment horizontal="centerContinuous" vertical="center" wrapText="1"/>
    </xf>
    <xf numFmtId="0" fontId="30" fillId="4" borderId="18" xfId="5" applyFont="1" applyFill="1" applyBorder="1" applyAlignment="1">
      <alignment horizontal="center" vertical="center" wrapText="1"/>
    </xf>
    <xf numFmtId="10" fontId="30" fillId="0" borderId="4" xfId="7" applyNumberFormat="1" applyFont="1" applyFill="1" applyBorder="1" applyAlignment="1">
      <alignment horizontal="center" vertical="center" wrapText="1"/>
    </xf>
    <xf numFmtId="0" fontId="85" fillId="2" borderId="0" xfId="187" applyFont="1" applyFill="1" applyAlignment="1">
      <alignment wrapText="1"/>
    </xf>
    <xf numFmtId="181" fontId="85" fillId="2" borderId="0" xfId="187" applyNumberFormat="1" applyFont="1" applyFill="1" applyAlignment="1">
      <alignment wrapText="1"/>
    </xf>
    <xf numFmtId="181" fontId="84" fillId="35" borderId="28" xfId="187" applyNumberFormat="1" applyFont="1" applyFill="1" applyBorder="1" applyAlignment="1">
      <alignment wrapText="1"/>
    </xf>
    <xf numFmtId="181" fontId="84" fillId="35" borderId="30" xfId="187" applyNumberFormat="1" applyFont="1" applyFill="1" applyBorder="1" applyAlignment="1">
      <alignment wrapText="1"/>
    </xf>
    <xf numFmtId="181" fontId="61" fillId="30" borderId="28" xfId="187" applyNumberFormat="1" applyFont="1" applyFill="1" applyBorder="1" applyAlignment="1">
      <alignment wrapText="1"/>
    </xf>
    <xf numFmtId="182" fontId="61" fillId="30" borderId="30" xfId="187" applyNumberFormat="1" applyFont="1" applyFill="1" applyBorder="1" applyAlignment="1">
      <alignment wrapText="1"/>
    </xf>
    <xf numFmtId="181" fontId="61" fillId="30" borderId="32" xfId="187" applyNumberFormat="1" applyFont="1" applyFill="1" applyBorder="1" applyAlignment="1" applyProtection="1">
      <alignment wrapText="1"/>
      <protection hidden="1"/>
    </xf>
    <xf numFmtId="181" fontId="33" fillId="30" borderId="32" xfId="187" applyNumberFormat="1" applyFont="1" applyFill="1" applyBorder="1" applyAlignment="1" applyProtection="1">
      <alignment wrapText="1"/>
      <protection hidden="1"/>
    </xf>
    <xf numFmtId="0" fontId="73" fillId="0" borderId="0" xfId="187" applyFont="1" applyAlignment="1">
      <alignment horizontal="center" vertical="center" wrapText="1"/>
    </xf>
    <xf numFmtId="0" fontId="83" fillId="0" borderId="0" xfId="187" applyFont="1" applyAlignment="1">
      <alignment horizontal="center" vertical="center" wrapText="1"/>
    </xf>
    <xf numFmtId="0" fontId="85" fillId="0" borderId="0" xfId="187" applyFont="1" applyAlignment="1">
      <alignment horizontal="center" vertical="center" wrapText="1"/>
    </xf>
    <xf numFmtId="0" fontId="83" fillId="2" borderId="0" xfId="187" applyFont="1" applyFill="1" applyAlignment="1">
      <alignment horizontal="center" vertical="center" wrapText="1"/>
    </xf>
    <xf numFmtId="181" fontId="83" fillId="0" borderId="0" xfId="187" applyNumberFormat="1" applyFont="1" applyAlignment="1">
      <alignment vertical="center" wrapText="1"/>
    </xf>
    <xf numFmtId="0" fontId="85" fillId="0" borderId="0" xfId="187" applyFont="1" applyAlignment="1">
      <alignment vertical="center" wrapText="1"/>
    </xf>
    <xf numFmtId="181" fontId="83" fillId="0" borderId="32" xfId="187" applyNumberFormat="1" applyFont="1" applyBorder="1" applyAlignment="1">
      <alignment vertical="center" wrapText="1"/>
    </xf>
    <xf numFmtId="181" fontId="61" fillId="2" borderId="32" xfId="187" applyNumberFormat="1" applyFont="1" applyFill="1" applyBorder="1" applyAlignment="1" applyProtection="1">
      <alignment wrapText="1"/>
      <protection hidden="1"/>
    </xf>
    <xf numFmtId="0" fontId="84" fillId="0" borderId="0" xfId="187" applyFont="1" applyAlignment="1">
      <alignment horizontal="center" vertical="center" wrapText="1"/>
    </xf>
    <xf numFmtId="14" fontId="86" fillId="2" borderId="0" xfId="187" applyNumberFormat="1" applyFont="1" applyFill="1" applyAlignment="1" applyProtection="1">
      <alignment horizontal="center" vertical="center" wrapText="1"/>
      <protection hidden="1"/>
    </xf>
    <xf numFmtId="0" fontId="86" fillId="2" borderId="0" xfId="187" applyFont="1" applyFill="1" applyAlignment="1">
      <alignment horizontal="center" vertical="center" wrapText="1"/>
    </xf>
    <xf numFmtId="183" fontId="33" fillId="2" borderId="0" xfId="188" applyNumberFormat="1" applyFont="1" applyFill="1" applyBorder="1" applyAlignment="1">
      <alignment horizontal="center" vertical="center" wrapText="1"/>
    </xf>
    <xf numFmtId="0" fontId="85" fillId="2" borderId="0" xfId="187" applyFont="1" applyFill="1" applyAlignment="1">
      <alignment horizontal="center" vertical="center" wrapText="1"/>
    </xf>
    <xf numFmtId="0" fontId="85" fillId="0" borderId="0" xfId="187" applyFont="1" applyAlignment="1">
      <alignment wrapText="1"/>
    </xf>
    <xf numFmtId="181" fontId="85" fillId="0" borderId="0" xfId="187" applyNumberFormat="1" applyFont="1" applyAlignment="1">
      <alignment wrapText="1"/>
    </xf>
    <xf numFmtId="181" fontId="83" fillId="2" borderId="37" xfId="188" applyNumberFormat="1" applyFont="1" applyFill="1" applyBorder="1" applyAlignment="1">
      <alignment wrapText="1"/>
    </xf>
    <xf numFmtId="181" fontId="83" fillId="2" borderId="0" xfId="188" applyNumberFormat="1" applyFont="1" applyFill="1" applyBorder="1" applyAlignment="1">
      <alignment wrapText="1"/>
    </xf>
    <xf numFmtId="181" fontId="33" fillId="0" borderId="0" xfId="187" applyNumberFormat="1" applyFont="1" applyAlignment="1">
      <alignment wrapText="1"/>
    </xf>
    <xf numFmtId="181" fontId="73" fillId="0" borderId="0" xfId="187" applyNumberFormat="1" applyFont="1" applyAlignment="1">
      <alignment wrapText="1"/>
    </xf>
    <xf numFmtId="182" fontId="85" fillId="0" borderId="0" xfId="187" applyNumberFormat="1" applyFont="1" applyAlignment="1">
      <alignment wrapText="1"/>
    </xf>
    <xf numFmtId="167" fontId="37" fillId="0" borderId="0" xfId="1" applyFont="1" applyAlignment="1">
      <alignment horizontal="center" vertical="center"/>
    </xf>
    <xf numFmtId="0" fontId="37" fillId="0" borderId="0" xfId="175" applyFont="1" applyAlignment="1">
      <alignment horizontal="left" vertical="center"/>
    </xf>
    <xf numFmtId="181" fontId="83" fillId="35" borderId="0" xfId="187" applyNumberFormat="1" applyFont="1" applyFill="1" applyAlignment="1">
      <alignment horizontal="center" vertical="center" wrapText="1"/>
    </xf>
    <xf numFmtId="0" fontId="91" fillId="0" borderId="0" xfId="4" applyFont="1" applyAlignment="1">
      <alignment horizontal="left"/>
    </xf>
    <xf numFmtId="185" fontId="92" fillId="2" borderId="0" xfId="173" applyNumberFormat="1" applyFont="1" applyFill="1" applyAlignment="1">
      <alignment horizontal="center" vertical="center"/>
    </xf>
    <xf numFmtId="0" fontId="91" fillId="0" borderId="0" xfId="4" applyFont="1"/>
    <xf numFmtId="0" fontId="92" fillId="37" borderId="5" xfId="87" applyFont="1" applyFill="1" applyBorder="1" applyAlignment="1">
      <alignment horizontal="center" vertical="center" wrapText="1"/>
    </xf>
    <xf numFmtId="0" fontId="92" fillId="43" borderId="5" xfId="87" applyFont="1" applyFill="1" applyBorder="1" applyAlignment="1">
      <alignment horizontal="center" vertical="center"/>
    </xf>
    <xf numFmtId="0" fontId="92" fillId="43" borderId="5" xfId="87" applyFont="1" applyFill="1" applyBorder="1" applyAlignment="1">
      <alignment vertical="center"/>
    </xf>
    <xf numFmtId="0" fontId="92" fillId="43" borderId="6" xfId="87" applyFont="1" applyFill="1" applyBorder="1" applyAlignment="1">
      <alignment vertical="center"/>
    </xf>
    <xf numFmtId="0" fontId="92" fillId="43" borderId="6" xfId="87" applyFont="1" applyFill="1" applyBorder="1" applyAlignment="1">
      <alignment horizontal="center" vertical="center" wrapText="1"/>
    </xf>
    <xf numFmtId="185" fontId="92" fillId="43" borderId="6" xfId="173" applyNumberFormat="1" applyFont="1" applyFill="1" applyBorder="1" applyAlignment="1">
      <alignment horizontal="center" vertical="center" wrapText="1"/>
    </xf>
    <xf numFmtId="0" fontId="92" fillId="43" borderId="8" xfId="87" applyFont="1" applyFill="1" applyBorder="1" applyAlignment="1">
      <alignment horizontal="center" vertical="center" wrapText="1"/>
    </xf>
    <xf numFmtId="185" fontId="92" fillId="4" borderId="18" xfId="173" applyNumberFormat="1" applyFont="1" applyFill="1" applyBorder="1" applyAlignment="1">
      <alignment horizontal="center" vertical="center" wrapText="1"/>
    </xf>
    <xf numFmtId="0" fontId="90" fillId="4" borderId="1" xfId="4" applyFont="1" applyFill="1" applyBorder="1" applyAlignment="1">
      <alignment horizontal="center" vertical="center" wrapText="1"/>
    </xf>
    <xf numFmtId="0" fontId="90" fillId="4" borderId="1" xfId="5" applyFont="1" applyFill="1" applyBorder="1" applyAlignment="1">
      <alignment horizontal="center" vertical="center" wrapText="1"/>
    </xf>
    <xf numFmtId="0" fontId="90" fillId="3" borderId="0" xfId="4" applyFont="1" applyFill="1" applyAlignment="1">
      <alignment horizontal="center" vertical="center" wrapText="1"/>
    </xf>
    <xf numFmtId="185" fontId="92" fillId="4" borderId="4" xfId="173" applyNumberFormat="1" applyFont="1" applyFill="1" applyBorder="1" applyAlignment="1">
      <alignment horizontal="center" vertical="center" wrapText="1"/>
    </xf>
    <xf numFmtId="9" fontId="68" fillId="32" borderId="1" xfId="9" applyFont="1" applyFill="1" applyBorder="1" applyAlignment="1">
      <alignment horizontal="center" vertical="center" wrapText="1"/>
    </xf>
    <xf numFmtId="9" fontId="68" fillId="33" borderId="1" xfId="9" applyFont="1" applyFill="1" applyBorder="1" applyAlignment="1">
      <alignment horizontal="center" vertical="center" wrapText="1"/>
    </xf>
    <xf numFmtId="170" fontId="68" fillId="0" borderId="1" xfId="4" applyNumberFormat="1" applyFont="1" applyBorder="1" applyAlignment="1">
      <alignment horizontal="right" vertical="center"/>
    </xf>
    <xf numFmtId="168" fontId="68" fillId="0" borderId="1" xfId="7" applyNumberFormat="1" applyFont="1" applyFill="1" applyBorder="1" applyAlignment="1">
      <alignment horizontal="center" vertical="center"/>
    </xf>
    <xf numFmtId="169" fontId="68" fillId="0" borderId="1" xfId="7" applyNumberFormat="1" applyFont="1" applyFill="1" applyBorder="1" applyAlignment="1">
      <alignment horizontal="center" vertical="center" wrapText="1"/>
    </xf>
    <xf numFmtId="10" fontId="90" fillId="0" borderId="1" xfId="7" applyNumberFormat="1" applyFont="1" applyFill="1" applyBorder="1" applyAlignment="1">
      <alignment horizontal="center" vertical="center" wrapText="1"/>
    </xf>
    <xf numFmtId="9" fontId="90" fillId="0" borderId="1" xfId="7" applyFont="1" applyFill="1" applyBorder="1" applyAlignment="1">
      <alignment horizontal="center" vertical="center" wrapText="1"/>
    </xf>
    <xf numFmtId="3" fontId="90" fillId="0" borderId="0" xfId="4" applyNumberFormat="1" applyFont="1" applyAlignment="1">
      <alignment horizontal="center" vertical="center" wrapText="1"/>
    </xf>
    <xf numFmtId="170" fontId="93" fillId="2" borderId="1" xfId="4" applyNumberFormat="1" applyFont="1" applyFill="1" applyBorder="1" applyAlignment="1">
      <alignment vertical="center"/>
    </xf>
    <xf numFmtId="185" fontId="94" fillId="2" borderId="1" xfId="173" applyNumberFormat="1" applyFont="1" applyFill="1" applyBorder="1" applyAlignment="1">
      <alignment vertical="center"/>
    </xf>
    <xf numFmtId="170" fontId="30" fillId="2" borderId="1" xfId="218" applyNumberFormat="1" applyFont="1" applyFill="1" applyBorder="1" applyAlignment="1">
      <alignment vertical="center"/>
    </xf>
    <xf numFmtId="170" fontId="29" fillId="2" borderId="1" xfId="218" applyNumberFormat="1" applyFont="1" applyFill="1" applyBorder="1" applyAlignment="1">
      <alignment vertical="center"/>
    </xf>
    <xf numFmtId="170" fontId="29" fillId="0" borderId="1" xfId="218" applyNumberFormat="1" applyFont="1" applyBorder="1" applyAlignment="1">
      <alignment vertical="center"/>
    </xf>
    <xf numFmtId="170" fontId="90" fillId="2" borderId="1" xfId="4" applyNumberFormat="1" applyFont="1" applyFill="1" applyBorder="1" applyAlignment="1">
      <alignment vertical="center"/>
    </xf>
    <xf numFmtId="170" fontId="91" fillId="2" borderId="1" xfId="4" applyNumberFormat="1" applyFont="1" applyFill="1" applyBorder="1" applyAlignment="1">
      <alignment vertical="center"/>
    </xf>
    <xf numFmtId="168" fontId="68" fillId="0" borderId="1" xfId="3" applyNumberFormat="1" applyFont="1" applyFill="1" applyBorder="1" applyAlignment="1">
      <alignment vertical="center"/>
    </xf>
    <xf numFmtId="170" fontId="91" fillId="0" borderId="1" xfId="4" applyNumberFormat="1" applyFont="1" applyBorder="1" applyAlignment="1">
      <alignment vertical="center"/>
    </xf>
    <xf numFmtId="3" fontId="90" fillId="0" borderId="1" xfId="4" applyNumberFormat="1" applyFont="1" applyBorder="1" applyAlignment="1">
      <alignment horizontal="center" vertical="center" wrapText="1"/>
    </xf>
    <xf numFmtId="3" fontId="95" fillId="0" borderId="0" xfId="4" applyNumberFormat="1" applyFont="1" applyAlignment="1">
      <alignment horizontal="center" vertical="center" wrapText="1"/>
    </xf>
    <xf numFmtId="170" fontId="93" fillId="0" borderId="1" xfId="4" applyNumberFormat="1" applyFont="1" applyBorder="1" applyAlignment="1">
      <alignment vertical="center"/>
    </xf>
    <xf numFmtId="185" fontId="94" fillId="0" borderId="1" xfId="173" applyNumberFormat="1" applyFont="1" applyBorder="1" applyAlignment="1">
      <alignment vertical="center"/>
    </xf>
    <xf numFmtId="170" fontId="90" fillId="0" borderId="1" xfId="4" applyNumberFormat="1" applyFont="1" applyBorder="1" applyAlignment="1">
      <alignment vertical="center"/>
    </xf>
    <xf numFmtId="170" fontId="93" fillId="0" borderId="1" xfId="1" applyNumberFormat="1" applyFont="1" applyFill="1" applyBorder="1" applyAlignment="1">
      <alignment vertical="center"/>
    </xf>
    <xf numFmtId="1" fontId="68" fillId="2" borderId="1" xfId="1" applyNumberFormat="1" applyFont="1" applyFill="1" applyBorder="1" applyAlignment="1">
      <alignment horizontal="center" vertical="center"/>
    </xf>
    <xf numFmtId="0" fontId="92" fillId="44" borderId="5" xfId="87" applyFont="1" applyFill="1" applyBorder="1" applyAlignment="1">
      <alignment horizontal="left" vertical="center"/>
    </xf>
    <xf numFmtId="0" fontId="94" fillId="44" borderId="5" xfId="87" applyFont="1" applyFill="1" applyBorder="1" applyAlignment="1">
      <alignment vertical="center"/>
    </xf>
    <xf numFmtId="0" fontId="94" fillId="44" borderId="6" xfId="87" applyFont="1" applyFill="1" applyBorder="1" applyAlignment="1">
      <alignment vertical="center"/>
    </xf>
    <xf numFmtId="0" fontId="68" fillId="44" borderId="6" xfId="87" applyFont="1" applyFill="1" applyBorder="1" applyAlignment="1">
      <alignment horizontal="center" vertical="center" wrapText="1"/>
    </xf>
    <xf numFmtId="0" fontId="92" fillId="44" borderId="6" xfId="87" applyFont="1" applyFill="1" applyBorder="1" applyAlignment="1">
      <alignment horizontal="center" vertical="center" wrapText="1"/>
    </xf>
    <xf numFmtId="185" fontId="92" fillId="44" borderId="6" xfId="173" applyNumberFormat="1" applyFont="1" applyFill="1" applyBorder="1" applyAlignment="1">
      <alignment horizontal="center" vertical="center" wrapText="1"/>
    </xf>
    <xf numFmtId="0" fontId="92" fillId="44" borderId="8" xfId="87" applyFont="1" applyFill="1" applyBorder="1" applyAlignment="1">
      <alignment horizontal="center" vertical="center" wrapText="1"/>
    </xf>
    <xf numFmtId="171" fontId="90" fillId="43" borderId="1" xfId="1" applyNumberFormat="1" applyFont="1" applyFill="1" applyBorder="1" applyAlignment="1">
      <alignment vertical="center" wrapText="1"/>
    </xf>
    <xf numFmtId="1" fontId="68" fillId="43" borderId="1" xfId="1" applyNumberFormat="1" applyFont="1" applyFill="1" applyBorder="1" applyAlignment="1">
      <alignment horizontal="center" vertical="center"/>
    </xf>
    <xf numFmtId="170" fontId="68" fillId="43" borderId="1" xfId="4" applyNumberFormat="1" applyFont="1" applyFill="1" applyBorder="1" applyAlignment="1">
      <alignment vertical="center"/>
    </xf>
    <xf numFmtId="185" fontId="92" fillId="43" borderId="1" xfId="173" applyNumberFormat="1" applyFont="1" applyFill="1" applyBorder="1" applyAlignment="1">
      <alignment vertical="center"/>
    </xf>
    <xf numFmtId="170" fontId="90" fillId="43" borderId="1" xfId="4" applyNumberFormat="1" applyFont="1" applyFill="1" applyBorder="1" applyAlignment="1">
      <alignment vertical="center"/>
    </xf>
    <xf numFmtId="168" fontId="68" fillId="43" borderId="1" xfId="7" applyNumberFormat="1" applyFont="1" applyFill="1" applyBorder="1" applyAlignment="1">
      <alignment horizontal="center" vertical="center" wrapText="1"/>
    </xf>
    <xf numFmtId="3" fontId="90" fillId="43" borderId="1" xfId="4" applyNumberFormat="1" applyFont="1" applyFill="1" applyBorder="1" applyAlignment="1">
      <alignment horizontal="center" vertical="center" wrapText="1"/>
    </xf>
    <xf numFmtId="0" fontId="92" fillId="45" borderId="1" xfId="87" applyFont="1" applyFill="1" applyBorder="1" applyAlignment="1">
      <alignment horizontal="center" vertical="center"/>
    </xf>
    <xf numFmtId="171" fontId="90" fillId="45" borderId="1" xfId="1" applyNumberFormat="1" applyFont="1" applyFill="1" applyBorder="1" applyAlignment="1">
      <alignment vertical="center" wrapText="1"/>
    </xf>
    <xf numFmtId="3" fontId="90" fillId="45" borderId="1" xfId="4" applyNumberFormat="1" applyFont="1" applyFill="1" applyBorder="1" applyAlignment="1">
      <alignment horizontal="center" vertical="center" wrapText="1"/>
    </xf>
    <xf numFmtId="185" fontId="92" fillId="45" borderId="1" xfId="173" applyNumberFormat="1" applyFont="1" applyFill="1" applyBorder="1" applyAlignment="1">
      <alignment vertical="center"/>
    </xf>
    <xf numFmtId="168" fontId="68" fillId="45" borderId="1" xfId="7" applyNumberFormat="1" applyFont="1" applyFill="1" applyBorder="1" applyAlignment="1">
      <alignment horizontal="center" vertical="center" wrapText="1"/>
    </xf>
    <xf numFmtId="185" fontId="92" fillId="0" borderId="1" xfId="173" applyNumberFormat="1" applyFont="1" applyBorder="1" applyAlignment="1">
      <alignment horizontal="center" vertical="center" wrapText="1"/>
    </xf>
    <xf numFmtId="9" fontId="90" fillId="0" borderId="1" xfId="6" applyFont="1" applyFill="1" applyBorder="1" applyAlignment="1">
      <alignment horizontal="center" vertical="center" wrapText="1"/>
    </xf>
    <xf numFmtId="170" fontId="90" fillId="0" borderId="1" xfId="4" applyNumberFormat="1" applyFont="1" applyBorder="1" applyAlignment="1">
      <alignment horizontal="right" vertical="center"/>
    </xf>
    <xf numFmtId="168" fontId="90" fillId="0" borderId="1" xfId="7" applyNumberFormat="1" applyFont="1" applyFill="1" applyBorder="1" applyAlignment="1">
      <alignment vertical="center"/>
    </xf>
    <xf numFmtId="169" fontId="90" fillId="0" borderId="1" xfId="7" applyNumberFormat="1" applyFont="1" applyFill="1" applyBorder="1" applyAlignment="1">
      <alignment horizontal="center" vertical="center" wrapText="1"/>
    </xf>
    <xf numFmtId="168" fontId="68" fillId="0" borderId="1" xfId="7" applyNumberFormat="1" applyFont="1" applyFill="1" applyBorder="1" applyAlignment="1">
      <alignment horizontal="center" vertical="center" wrapText="1"/>
    </xf>
    <xf numFmtId="3" fontId="90" fillId="2" borderId="0" xfId="4" applyNumberFormat="1" applyFont="1" applyFill="1" applyAlignment="1">
      <alignment horizontal="center" vertical="center" wrapText="1"/>
    </xf>
    <xf numFmtId="185" fontId="92" fillId="2" borderId="0" xfId="173" applyNumberFormat="1" applyFont="1" applyFill="1" applyAlignment="1">
      <alignment horizontal="center" vertical="center" wrapText="1"/>
    </xf>
    <xf numFmtId="9" fontId="90" fillId="2" borderId="0" xfId="6" applyFont="1" applyFill="1" applyBorder="1" applyAlignment="1">
      <alignment horizontal="center" vertical="center" wrapText="1"/>
    </xf>
    <xf numFmtId="170" fontId="90" fillId="2" borderId="0" xfId="4" applyNumberFormat="1" applyFont="1" applyFill="1" applyAlignment="1">
      <alignment horizontal="right" vertical="center"/>
    </xf>
    <xf numFmtId="168" fontId="90" fillId="2" borderId="0" xfId="7" applyNumberFormat="1" applyFont="1" applyFill="1" applyBorder="1" applyAlignment="1">
      <alignment vertical="center"/>
    </xf>
    <xf numFmtId="169" fontId="90" fillId="2" borderId="0" xfId="7" applyNumberFormat="1" applyFont="1" applyFill="1" applyBorder="1" applyAlignment="1">
      <alignment horizontal="center" vertical="center" wrapText="1"/>
    </xf>
    <xf numFmtId="168" fontId="68" fillId="2" borderId="0" xfId="7" applyNumberFormat="1" applyFont="1" applyFill="1" applyBorder="1" applyAlignment="1">
      <alignment horizontal="center" vertical="center" wrapText="1"/>
    </xf>
    <xf numFmtId="169" fontId="68" fillId="2" borderId="0" xfId="7" applyNumberFormat="1" applyFont="1" applyFill="1" applyBorder="1" applyAlignment="1">
      <alignment horizontal="center" vertical="center" wrapText="1"/>
    </xf>
    <xf numFmtId="10" fontId="90" fillId="2" borderId="0" xfId="7" applyNumberFormat="1" applyFont="1" applyFill="1" applyBorder="1" applyAlignment="1">
      <alignment horizontal="center" vertical="center" wrapText="1"/>
    </xf>
    <xf numFmtId="9" fontId="90" fillId="2" borderId="0" xfId="7" applyFont="1" applyFill="1" applyBorder="1" applyAlignment="1">
      <alignment horizontal="center" vertical="center" wrapText="1"/>
    </xf>
    <xf numFmtId="0" fontId="92" fillId="4" borderId="1" xfId="87" applyFont="1" applyFill="1" applyBorder="1" applyAlignment="1">
      <alignment horizontal="center" vertical="center" wrapText="1"/>
    </xf>
    <xf numFmtId="171" fontId="90" fillId="4" borderId="1" xfId="1" applyNumberFormat="1" applyFont="1" applyFill="1" applyBorder="1" applyAlignment="1">
      <alignment vertical="center" wrapText="1"/>
    </xf>
    <xf numFmtId="3" fontId="90" fillId="4" borderId="1" xfId="4" applyNumberFormat="1" applyFont="1" applyFill="1" applyBorder="1" applyAlignment="1">
      <alignment horizontal="center" vertical="center" wrapText="1"/>
    </xf>
    <xf numFmtId="185" fontId="92" fillId="4" borderId="1" xfId="173" applyNumberFormat="1" applyFont="1" applyFill="1" applyBorder="1" applyAlignment="1">
      <alignment vertical="center"/>
    </xf>
    <xf numFmtId="3" fontId="96" fillId="0" borderId="0" xfId="4" applyNumberFormat="1" applyFont="1" applyAlignment="1">
      <alignment horizontal="left" vertical="center"/>
    </xf>
    <xf numFmtId="170" fontId="91" fillId="2" borderId="0" xfId="4" applyNumberFormat="1" applyFont="1" applyFill="1"/>
    <xf numFmtId="0" fontId="92" fillId="37" borderId="1" xfId="87" applyFont="1" applyFill="1" applyBorder="1" applyAlignment="1">
      <alignment horizontal="center" vertical="center" wrapText="1"/>
    </xf>
    <xf numFmtId="0" fontId="92" fillId="43" borderId="5" xfId="87" applyFont="1" applyFill="1" applyBorder="1" applyAlignment="1">
      <alignment horizontal="centerContinuous" vertical="center" wrapText="1"/>
    </xf>
    <xf numFmtId="0" fontId="92" fillId="43" borderId="6" xfId="87" applyFont="1" applyFill="1" applyBorder="1" applyAlignment="1">
      <alignment horizontal="centerContinuous" vertical="center" wrapText="1"/>
    </xf>
    <xf numFmtId="185" fontId="92" fillId="43" borderId="6" xfId="173" applyNumberFormat="1" applyFont="1" applyFill="1" applyBorder="1" applyAlignment="1">
      <alignment horizontal="centerContinuous" vertical="center" wrapText="1"/>
    </xf>
    <xf numFmtId="0" fontId="92" fillId="43" borderId="8" xfId="87" applyFont="1" applyFill="1" applyBorder="1" applyAlignment="1">
      <alignment horizontal="centerContinuous" vertical="center" wrapText="1"/>
    </xf>
    <xf numFmtId="3" fontId="90" fillId="6" borderId="1" xfId="4" applyNumberFormat="1" applyFont="1" applyFill="1" applyBorder="1" applyAlignment="1">
      <alignment horizontal="center" vertical="center" wrapText="1"/>
    </xf>
    <xf numFmtId="10" fontId="90" fillId="0" borderId="1" xfId="4" applyNumberFormat="1" applyFont="1" applyBorder="1" applyAlignment="1">
      <alignment horizontal="center" vertical="center" wrapText="1"/>
    </xf>
    <xf numFmtId="10" fontId="90" fillId="2" borderId="1" xfId="4" applyNumberFormat="1" applyFont="1" applyFill="1" applyBorder="1" applyAlignment="1">
      <alignment horizontal="center" vertical="center" wrapText="1"/>
    </xf>
    <xf numFmtId="0" fontId="92" fillId="36" borderId="1" xfId="87" applyFont="1" applyFill="1" applyBorder="1" applyAlignment="1">
      <alignment horizontal="center" vertical="center"/>
    </xf>
    <xf numFmtId="0" fontId="92" fillId="36" borderId="6" xfId="87" applyFont="1" applyFill="1" applyBorder="1" applyAlignment="1">
      <alignment horizontal="center" vertical="center" wrapText="1"/>
    </xf>
    <xf numFmtId="185" fontId="92" fillId="36" borderId="6" xfId="173" applyNumberFormat="1" applyFont="1" applyFill="1" applyBorder="1" applyAlignment="1">
      <alignment horizontal="center" vertical="center" wrapText="1"/>
    </xf>
    <xf numFmtId="0" fontId="92" fillId="36" borderId="8" xfId="87" applyFont="1" applyFill="1" applyBorder="1" applyAlignment="1">
      <alignment horizontal="center" vertical="center" wrapText="1"/>
    </xf>
    <xf numFmtId="3" fontId="91" fillId="0" borderId="1" xfId="4" applyNumberFormat="1" applyFont="1" applyBorder="1" applyAlignment="1">
      <alignment horizontal="center" vertical="center" wrapText="1"/>
    </xf>
    <xf numFmtId="170" fontId="91" fillId="0" borderId="1" xfId="4" applyNumberFormat="1" applyFont="1" applyBorder="1" applyAlignment="1">
      <alignment horizontal="right" vertical="center"/>
    </xf>
    <xf numFmtId="184" fontId="91" fillId="0" borderId="1" xfId="1" applyNumberFormat="1" applyFont="1" applyBorder="1" applyAlignment="1">
      <alignment horizontal="right" vertical="center"/>
    </xf>
    <xf numFmtId="170" fontId="90" fillId="0" borderId="1" xfId="1" applyNumberFormat="1" applyFont="1" applyFill="1" applyBorder="1" applyAlignment="1">
      <alignment vertical="center"/>
    </xf>
    <xf numFmtId="0" fontId="96" fillId="0" borderId="0" xfId="4" applyFont="1"/>
    <xf numFmtId="170" fontId="91" fillId="0" borderId="1" xfId="1" applyNumberFormat="1" applyFont="1" applyFill="1" applyBorder="1" applyAlignment="1">
      <alignment vertical="center"/>
    </xf>
    <xf numFmtId="170" fontId="90" fillId="45" borderId="1" xfId="4" applyNumberFormat="1" applyFont="1" applyFill="1" applyBorder="1" applyAlignment="1">
      <alignment horizontal="right" vertical="center"/>
    </xf>
    <xf numFmtId="3" fontId="90" fillId="36" borderId="6" xfId="4" applyNumberFormat="1" applyFont="1" applyFill="1" applyBorder="1" applyAlignment="1">
      <alignment vertical="center" wrapText="1"/>
    </xf>
    <xf numFmtId="185" fontId="92" fillId="36" borderId="6" xfId="173" applyNumberFormat="1" applyFont="1" applyFill="1" applyBorder="1" applyAlignment="1">
      <alignment vertical="center" wrapText="1"/>
    </xf>
    <xf numFmtId="3" fontId="90" fillId="36" borderId="6" xfId="4" applyNumberFormat="1" applyFont="1" applyFill="1" applyBorder="1" applyAlignment="1">
      <alignment horizontal="center" vertical="center" wrapText="1"/>
    </xf>
    <xf numFmtId="10" fontId="90" fillId="36" borderId="6" xfId="4" applyNumberFormat="1" applyFont="1" applyFill="1" applyBorder="1" applyAlignment="1">
      <alignment horizontal="center" vertical="center" wrapText="1"/>
    </xf>
    <xf numFmtId="3" fontId="90" fillId="36" borderId="8" xfId="4" applyNumberFormat="1" applyFont="1" applyFill="1" applyBorder="1" applyAlignment="1">
      <alignment horizontal="center" vertical="center" wrapText="1"/>
    </xf>
    <xf numFmtId="170" fontId="93" fillId="0" borderId="1" xfId="4" applyNumberFormat="1" applyFont="1" applyBorder="1" applyAlignment="1">
      <alignment horizontal="right" vertical="center"/>
    </xf>
    <xf numFmtId="184" fontId="93" fillId="0" borderId="1" xfId="1" applyNumberFormat="1" applyFont="1" applyBorder="1" applyAlignment="1">
      <alignment horizontal="right" vertical="center"/>
    </xf>
    <xf numFmtId="170" fontId="68" fillId="0" borderId="1" xfId="4" applyNumberFormat="1" applyFont="1" applyBorder="1" applyAlignment="1">
      <alignment vertical="center"/>
    </xf>
    <xf numFmtId="0" fontId="92" fillId="46" borderId="1" xfId="87" applyFont="1" applyFill="1" applyBorder="1" applyAlignment="1">
      <alignment horizontal="center" vertical="center"/>
    </xf>
    <xf numFmtId="168" fontId="68" fillId="46" borderId="1" xfId="7" applyNumberFormat="1" applyFont="1" applyFill="1" applyBorder="1" applyAlignment="1">
      <alignment horizontal="center" vertical="center" wrapText="1"/>
    </xf>
    <xf numFmtId="3" fontId="90" fillId="46" borderId="1" xfId="4" applyNumberFormat="1" applyFont="1" applyFill="1" applyBorder="1" applyAlignment="1">
      <alignment horizontal="center" vertical="center" wrapText="1"/>
    </xf>
    <xf numFmtId="0" fontId="96" fillId="0" borderId="0" xfId="4" applyFont="1" applyAlignment="1">
      <alignment vertical="center"/>
    </xf>
    <xf numFmtId="3" fontId="91" fillId="0" borderId="0" xfId="4" applyNumberFormat="1" applyFont="1"/>
    <xf numFmtId="185" fontId="94" fillId="0" borderId="0" xfId="173" applyNumberFormat="1" applyFont="1"/>
    <xf numFmtId="3" fontId="90" fillId="0" borderId="0" xfId="4" applyNumberFormat="1" applyFont="1"/>
    <xf numFmtId="170" fontId="91" fillId="0" borderId="0" xfId="4" applyNumberFormat="1" applyFont="1"/>
    <xf numFmtId="0" fontId="91" fillId="2" borderId="0" xfId="4" applyFont="1" applyFill="1"/>
    <xf numFmtId="0" fontId="92" fillId="4" borderId="1" xfId="87" applyFont="1" applyFill="1" applyBorder="1" applyAlignment="1">
      <alignment horizontal="center" vertical="center"/>
    </xf>
    <xf numFmtId="179" fontId="90" fillId="41" borderId="1" xfId="5" applyNumberFormat="1" applyFont="1" applyFill="1" applyBorder="1" applyAlignment="1">
      <alignment vertical="center" wrapText="1"/>
    </xf>
    <xf numFmtId="186" fontId="90" fillId="29" borderId="1" xfId="5" applyNumberFormat="1" applyFont="1" applyFill="1" applyBorder="1" applyAlignment="1">
      <alignment vertical="center" wrapText="1"/>
    </xf>
    <xf numFmtId="170" fontId="90" fillId="41" borderId="1" xfId="5" applyNumberFormat="1" applyFont="1" applyFill="1" applyBorder="1" applyAlignment="1">
      <alignment vertical="center" wrapText="1"/>
    </xf>
    <xf numFmtId="3" fontId="91" fillId="2" borderId="0" xfId="4" applyNumberFormat="1" applyFont="1" applyFill="1" applyAlignment="1">
      <alignment horizontal="left" vertical="center"/>
    </xf>
    <xf numFmtId="179" fontId="91" fillId="0" borderId="0" xfId="4" applyNumberFormat="1" applyFont="1"/>
    <xf numFmtId="3" fontId="91" fillId="2" borderId="0" xfId="4" applyNumberFormat="1" applyFont="1" applyFill="1"/>
    <xf numFmtId="168" fontId="91" fillId="0" borderId="0" xfId="4" applyNumberFormat="1" applyFont="1"/>
    <xf numFmtId="0" fontId="68" fillId="0" borderId="0" xfId="4" applyFont="1" applyAlignment="1">
      <alignment horizontal="left"/>
    </xf>
    <xf numFmtId="185" fontId="92" fillId="0" borderId="0" xfId="173" applyNumberFormat="1" applyFont="1" applyAlignment="1">
      <alignment horizontal="left"/>
    </xf>
    <xf numFmtId="0" fontId="91" fillId="0" borderId="0" xfId="4" applyFont="1" applyAlignment="1">
      <alignment wrapText="1"/>
    </xf>
    <xf numFmtId="0" fontId="90" fillId="0" borderId="0" xfId="4" applyFont="1"/>
    <xf numFmtId="185" fontId="94" fillId="2" borderId="0" xfId="173" applyNumberFormat="1" applyFont="1" applyFill="1" applyAlignment="1">
      <alignment vertical="center"/>
    </xf>
    <xf numFmtId="170" fontId="90" fillId="4" borderId="21" xfId="168" applyNumberFormat="1" applyFont="1" applyFill="1" applyBorder="1" applyAlignment="1">
      <alignment horizontal="center" vertical="center" wrapText="1"/>
    </xf>
    <xf numFmtId="3" fontId="90" fillId="0" borderId="21" xfId="4" applyNumberFormat="1" applyFont="1" applyBorder="1" applyAlignment="1">
      <alignment horizontal="center" vertical="center" wrapText="1"/>
    </xf>
    <xf numFmtId="0" fontId="91" fillId="0" borderId="0" xfId="4" applyFont="1" applyAlignment="1">
      <alignment vertical="center"/>
    </xf>
    <xf numFmtId="179" fontId="90" fillId="41" borderId="21" xfId="4" applyNumberFormat="1" applyFont="1" applyFill="1" applyBorder="1" applyAlignment="1">
      <alignment horizontal="left" vertical="center"/>
    </xf>
    <xf numFmtId="185" fontId="91" fillId="0" borderId="0" xfId="173" applyNumberFormat="1" applyFont="1"/>
    <xf numFmtId="1" fontId="28" fillId="2" borderId="1" xfId="1" applyNumberFormat="1" applyFont="1" applyFill="1" applyBorder="1" applyAlignment="1">
      <alignment horizontal="center" vertical="center"/>
    </xf>
    <xf numFmtId="183" fontId="33" fillId="0" borderId="0" xfId="187" applyNumberFormat="1" applyFont="1" applyAlignment="1">
      <alignment wrapText="1"/>
    </xf>
    <xf numFmtId="0" fontId="80" fillId="0" borderId="0" xfId="187" applyAlignment="1">
      <alignment horizontal="center" vertical="center"/>
    </xf>
    <xf numFmtId="0" fontId="80" fillId="0" borderId="0" xfId="187" applyAlignment="1">
      <alignment wrapText="1"/>
    </xf>
    <xf numFmtId="0" fontId="114" fillId="0" borderId="0" xfId="363" applyFont="1" applyAlignment="1">
      <alignment vertical="center"/>
    </xf>
    <xf numFmtId="0" fontId="127" fillId="0" borderId="0" xfId="363" applyFont="1" applyAlignment="1">
      <alignment horizontal="center" vertical="center"/>
    </xf>
    <xf numFmtId="0" fontId="126" fillId="47" borderId="52" xfId="363" applyFont="1" applyFill="1" applyBorder="1" applyAlignment="1">
      <alignment horizontal="center" vertical="center" wrapText="1"/>
    </xf>
    <xf numFmtId="0" fontId="113" fillId="47" borderId="53" xfId="363" applyFont="1" applyFill="1" applyBorder="1" applyAlignment="1">
      <alignment horizontal="center" vertical="center" wrapText="1"/>
    </xf>
    <xf numFmtId="0" fontId="116" fillId="47" borderId="53" xfId="363" applyFont="1" applyFill="1" applyBorder="1" applyAlignment="1">
      <alignment horizontal="center" vertical="center" wrapText="1"/>
    </xf>
    <xf numFmtId="0" fontId="113" fillId="47" borderId="54" xfId="363" applyFont="1" applyFill="1" applyBorder="1" applyAlignment="1">
      <alignment horizontal="center" vertical="center" wrapText="1"/>
    </xf>
    <xf numFmtId="49" fontId="113" fillId="47" borderId="53" xfId="363" applyNumberFormat="1" applyFont="1" applyFill="1" applyBorder="1" applyAlignment="1">
      <alignment horizontal="center" vertical="center" wrapText="1"/>
    </xf>
    <xf numFmtId="49" fontId="113" fillId="47" borderId="52" xfId="363" applyNumberFormat="1" applyFont="1" applyFill="1" applyBorder="1" applyAlignment="1">
      <alignment horizontal="center" vertical="center" wrapText="1"/>
    </xf>
    <xf numFmtId="49" fontId="113" fillId="47" borderId="55" xfId="363" applyNumberFormat="1" applyFont="1" applyFill="1" applyBorder="1" applyAlignment="1">
      <alignment horizontal="center" vertical="center" wrapText="1"/>
    </xf>
    <xf numFmtId="49" fontId="113" fillId="47" borderId="56" xfId="363" applyNumberFormat="1" applyFont="1" applyFill="1" applyBorder="1" applyAlignment="1">
      <alignment horizontal="center" vertical="center" wrapText="1"/>
    </xf>
    <xf numFmtId="0" fontId="126" fillId="50" borderId="57" xfId="363" applyFont="1" applyFill="1" applyBorder="1" applyAlignment="1">
      <alignment vertical="center"/>
    </xf>
    <xf numFmtId="0" fontId="115" fillId="33" borderId="58" xfId="363" applyFont="1" applyFill="1" applyBorder="1" applyAlignment="1">
      <alignment vertical="center"/>
    </xf>
    <xf numFmtId="0" fontId="115" fillId="33" borderId="58" xfId="363" applyFont="1" applyFill="1" applyBorder="1" applyAlignment="1">
      <alignment vertical="center" wrapText="1"/>
    </xf>
    <xf numFmtId="0" fontId="116" fillId="33" borderId="58" xfId="363" applyFont="1" applyFill="1" applyBorder="1" applyAlignment="1">
      <alignment vertical="center"/>
    </xf>
    <xf numFmtId="0" fontId="115" fillId="33" borderId="59" xfId="363" applyFont="1" applyFill="1" applyBorder="1" applyAlignment="1">
      <alignment vertical="center"/>
    </xf>
    <xf numFmtId="0" fontId="114" fillId="2" borderId="22" xfId="363" applyFont="1" applyFill="1" applyBorder="1" applyAlignment="1">
      <alignment horizontal="center" vertical="center"/>
    </xf>
    <xf numFmtId="0" fontId="114" fillId="2" borderId="22" xfId="363" applyFont="1" applyFill="1" applyBorder="1" applyAlignment="1">
      <alignment horizontal="center" vertical="center" wrapText="1"/>
    </xf>
    <xf numFmtId="188" fontId="114" fillId="2" borderId="22" xfId="363" applyNumberFormat="1" applyFont="1" applyFill="1" applyBorder="1" applyAlignment="1">
      <alignment horizontal="center" vertical="center"/>
    </xf>
    <xf numFmtId="0" fontId="114" fillId="0" borderId="22" xfId="363" applyFont="1" applyBorder="1" applyAlignment="1">
      <alignment vertical="center"/>
    </xf>
    <xf numFmtId="0" fontId="114" fillId="0" borderId="22" xfId="363" applyFont="1" applyBorder="1" applyAlignment="1">
      <alignment horizontal="center" vertical="center" wrapText="1"/>
    </xf>
    <xf numFmtId="0" fontId="114" fillId="2" borderId="22" xfId="363" applyFont="1" applyFill="1" applyBorder="1" applyAlignment="1">
      <alignment vertical="center"/>
    </xf>
    <xf numFmtId="0" fontId="128" fillId="0" borderId="22" xfId="363" applyFont="1" applyBorder="1" applyAlignment="1">
      <alignment horizontal="center" vertical="center" wrapText="1"/>
    </xf>
    <xf numFmtId="0" fontId="114" fillId="0" borderId="22" xfId="363" applyFont="1" applyBorder="1" applyAlignment="1">
      <alignment horizontal="center" vertical="center"/>
    </xf>
    <xf numFmtId="0" fontId="126" fillId="51" borderId="0" xfId="363" applyFont="1" applyFill="1" applyAlignment="1">
      <alignment vertical="center"/>
    </xf>
    <xf numFmtId="0" fontId="115" fillId="33" borderId="0" xfId="363" applyFont="1" applyFill="1" applyAlignment="1">
      <alignment vertical="center"/>
    </xf>
    <xf numFmtId="0" fontId="115" fillId="33" borderId="0" xfId="363" applyFont="1" applyFill="1" applyAlignment="1">
      <alignment vertical="center" wrapText="1"/>
    </xf>
    <xf numFmtId="0" fontId="116" fillId="33" borderId="0" xfId="363" applyFont="1" applyFill="1" applyAlignment="1">
      <alignment vertical="center"/>
    </xf>
    <xf numFmtId="0" fontId="115" fillId="33" borderId="56" xfId="363" applyFont="1" applyFill="1" applyBorder="1" applyAlignment="1">
      <alignment vertical="center"/>
    </xf>
    <xf numFmtId="0" fontId="114" fillId="48" borderId="22" xfId="363" applyFont="1" applyFill="1" applyBorder="1" applyAlignment="1">
      <alignment horizontal="center" vertical="center"/>
    </xf>
    <xf numFmtId="0" fontId="114" fillId="48" borderId="22" xfId="363" applyFont="1" applyFill="1" applyBorder="1" applyAlignment="1">
      <alignment horizontal="center" vertical="center" wrapText="1"/>
    </xf>
    <xf numFmtId="188" fontId="114" fillId="48" borderId="22" xfId="363" applyNumberFormat="1" applyFont="1" applyFill="1" applyBorder="1" applyAlignment="1">
      <alignment horizontal="center" vertical="center"/>
    </xf>
    <xf numFmtId="0" fontId="116" fillId="0" borderId="22" xfId="363" applyFont="1" applyBorder="1" applyAlignment="1">
      <alignment vertical="center"/>
    </xf>
    <xf numFmtId="0" fontId="126" fillId="51" borderId="60" xfId="363" applyFont="1" applyFill="1" applyBorder="1" applyAlignment="1">
      <alignment vertical="center"/>
    </xf>
    <xf numFmtId="189" fontId="118" fillId="2" borderId="22" xfId="363" applyNumberFormat="1" applyFont="1" applyFill="1" applyBorder="1" applyAlignment="1">
      <alignment horizontal="center" vertical="center"/>
    </xf>
    <xf numFmtId="0" fontId="114" fillId="2" borderId="61" xfId="363" applyFont="1" applyFill="1" applyBorder="1" applyAlignment="1">
      <alignment horizontal="center" vertical="center" wrapText="1"/>
    </xf>
    <xf numFmtId="0" fontId="119" fillId="2" borderId="22" xfId="363" applyFont="1" applyFill="1" applyBorder="1" applyAlignment="1">
      <alignment horizontal="center" vertical="center"/>
    </xf>
    <xf numFmtId="0" fontId="116" fillId="2" borderId="22" xfId="363" applyFont="1" applyFill="1" applyBorder="1" applyAlignment="1">
      <alignment horizontal="center" vertical="center" wrapText="1"/>
    </xf>
    <xf numFmtId="0" fontId="114" fillId="52" borderId="53" xfId="363" applyFont="1" applyFill="1" applyBorder="1" applyAlignment="1">
      <alignment horizontal="center" vertical="center" wrapText="1"/>
    </xf>
    <xf numFmtId="189" fontId="118" fillId="2" borderId="22" xfId="363" applyNumberFormat="1" applyFont="1" applyFill="1" applyBorder="1" applyAlignment="1">
      <alignment horizontal="right" vertical="center"/>
    </xf>
    <xf numFmtId="0" fontId="126" fillId="53" borderId="60" xfId="363" applyFont="1" applyFill="1" applyBorder="1" applyAlignment="1">
      <alignment vertical="center"/>
    </xf>
    <xf numFmtId="0" fontId="115" fillId="49" borderId="0" xfId="363" applyFont="1" applyFill="1" applyAlignment="1">
      <alignment vertical="center"/>
    </xf>
    <xf numFmtId="0" fontId="115" fillId="49" borderId="0" xfId="363" applyFont="1" applyFill="1" applyAlignment="1">
      <alignment vertical="center" wrapText="1"/>
    </xf>
    <xf numFmtId="0" fontId="119" fillId="2" borderId="22" xfId="363" applyFont="1" applyFill="1" applyBorder="1" applyAlignment="1">
      <alignment horizontal="center" vertical="center" wrapText="1"/>
    </xf>
    <xf numFmtId="0" fontId="115" fillId="0" borderId="22" xfId="363" applyFont="1" applyBorder="1" applyAlignment="1">
      <alignment horizontal="center" vertical="center"/>
    </xf>
    <xf numFmtId="0" fontId="115" fillId="0" borderId="22" xfId="363" applyFont="1" applyBorder="1" applyAlignment="1">
      <alignment horizontal="center" vertical="center" wrapText="1"/>
    </xf>
    <xf numFmtId="188" fontId="115" fillId="2" borderId="23" xfId="363" applyNumberFormat="1" applyFont="1" applyFill="1" applyBorder="1" applyAlignment="1">
      <alignment horizontal="center" vertical="center"/>
    </xf>
    <xf numFmtId="0" fontId="116" fillId="2" borderId="22" xfId="363" applyFont="1" applyFill="1" applyBorder="1" applyAlignment="1">
      <alignment vertical="center"/>
    </xf>
    <xf numFmtId="0" fontId="115" fillId="2" borderId="22" xfId="363" applyFont="1" applyFill="1" applyBorder="1" applyAlignment="1">
      <alignment vertical="center"/>
    </xf>
    <xf numFmtId="0" fontId="119" fillId="0" borderId="22" xfId="363" applyFont="1" applyBorder="1" applyAlignment="1">
      <alignment horizontal="center" vertical="center"/>
    </xf>
    <xf numFmtId="0" fontId="119" fillId="0" borderId="22" xfId="363" applyFont="1" applyBorder="1" applyAlignment="1">
      <alignment horizontal="center" vertical="center" wrapText="1"/>
    </xf>
    <xf numFmtId="188" fontId="128" fillId="2" borderId="22" xfId="363" applyNumberFormat="1" applyFont="1" applyFill="1" applyBorder="1" applyAlignment="1">
      <alignment horizontal="center" vertical="center"/>
    </xf>
    <xf numFmtId="0" fontId="126" fillId="51" borderId="62" xfId="363" applyFont="1" applyFill="1" applyBorder="1" applyAlignment="1">
      <alignment vertical="center"/>
    </xf>
    <xf numFmtId="0" fontId="115" fillId="33" borderId="62" xfId="363" applyFont="1" applyFill="1" applyBorder="1" applyAlignment="1">
      <alignment vertical="center"/>
    </xf>
    <xf numFmtId="0" fontId="115" fillId="33" borderId="62" xfId="363" applyFont="1" applyFill="1" applyBorder="1" applyAlignment="1">
      <alignment vertical="center" wrapText="1"/>
    </xf>
    <xf numFmtId="0" fontId="116" fillId="33" borderId="62" xfId="363" applyFont="1" applyFill="1" applyBorder="1" applyAlignment="1">
      <alignment vertical="center"/>
    </xf>
    <xf numFmtId="188" fontId="128" fillId="0" borderId="22" xfId="363" applyNumberFormat="1" applyFont="1" applyBorder="1" applyAlignment="1">
      <alignment horizontal="center" vertical="center"/>
    </xf>
    <xf numFmtId="0" fontId="115" fillId="33" borderId="63" xfId="363" applyFont="1" applyFill="1" applyBorder="1" applyAlignment="1">
      <alignment vertical="center"/>
    </xf>
    <xf numFmtId="0" fontId="114" fillId="0" borderId="64" xfId="363" applyFont="1" applyBorder="1" applyAlignment="1">
      <alignment vertical="center"/>
    </xf>
    <xf numFmtId="0" fontId="116" fillId="49" borderId="0" xfId="363" applyFont="1" applyFill="1" applyAlignment="1">
      <alignment vertical="center"/>
    </xf>
    <xf numFmtId="0" fontId="122" fillId="2" borderId="22" xfId="363" applyFont="1" applyFill="1" applyBorder="1" applyAlignment="1">
      <alignment horizontal="center" vertical="center"/>
    </xf>
    <xf numFmtId="188" fontId="115" fillId="2" borderId="22" xfId="363" applyNumberFormat="1" applyFont="1" applyFill="1" applyBorder="1" applyAlignment="1">
      <alignment horizontal="center" vertical="center"/>
    </xf>
    <xf numFmtId="0" fontId="116" fillId="0" borderId="22" xfId="363" applyFont="1" applyBorder="1" applyAlignment="1">
      <alignment horizontal="center" vertical="center" wrapText="1"/>
    </xf>
    <xf numFmtId="0" fontId="114" fillId="2" borderId="23" xfId="363" applyFont="1" applyFill="1" applyBorder="1" applyAlignment="1">
      <alignment horizontal="center" vertical="center" wrapText="1"/>
    </xf>
    <xf numFmtId="0" fontId="114" fillId="2" borderId="65" xfId="363" applyFont="1" applyFill="1" applyBorder="1" applyAlignment="1">
      <alignment horizontal="center" vertical="center"/>
    </xf>
    <xf numFmtId="0" fontId="119" fillId="2" borderId="66" xfId="363" applyFont="1" applyFill="1" applyBorder="1" applyAlignment="1">
      <alignment horizontal="center" vertical="center"/>
    </xf>
    <xf numFmtId="0" fontId="119" fillId="2" borderId="66" xfId="363" applyFont="1" applyFill="1" applyBorder="1" applyAlignment="1">
      <alignment horizontal="center" vertical="center" wrapText="1"/>
    </xf>
    <xf numFmtId="0" fontId="114" fillId="0" borderId="23" xfId="363" applyFont="1" applyBorder="1" applyAlignment="1">
      <alignment vertical="center"/>
    </xf>
    <xf numFmtId="0" fontId="126" fillId="51" borderId="67" xfId="363" applyFont="1" applyFill="1" applyBorder="1" applyAlignment="1">
      <alignment vertical="center"/>
    </xf>
    <xf numFmtId="0" fontId="115" fillId="33" borderId="68" xfId="363" applyFont="1" applyFill="1" applyBorder="1" applyAlignment="1">
      <alignment vertical="center"/>
    </xf>
    <xf numFmtId="0" fontId="115" fillId="49" borderId="68" xfId="363" applyFont="1" applyFill="1" applyBorder="1" applyAlignment="1">
      <alignment vertical="center" wrapText="1"/>
    </xf>
    <xf numFmtId="0" fontId="116" fillId="33" borderId="68" xfId="363" applyFont="1" applyFill="1" applyBorder="1" applyAlignment="1">
      <alignment vertical="center"/>
    </xf>
    <xf numFmtId="0" fontId="115" fillId="33" borderId="69" xfId="363" applyFont="1" applyFill="1" applyBorder="1" applyAlignment="1">
      <alignment vertical="center"/>
    </xf>
    <xf numFmtId="0" fontId="119" fillId="2" borderId="63" xfId="363" applyFont="1" applyFill="1" applyBorder="1" applyAlignment="1">
      <alignment horizontal="center" vertical="center"/>
    </xf>
    <xf numFmtId="0" fontId="128" fillId="2" borderId="22" xfId="363" applyFont="1" applyFill="1" applyBorder="1" applyAlignment="1">
      <alignment vertical="center"/>
    </xf>
    <xf numFmtId="0" fontId="114" fillId="2" borderId="61" xfId="363" applyFont="1" applyFill="1" applyBorder="1" applyAlignment="1">
      <alignment horizontal="center" vertical="center"/>
    </xf>
    <xf numFmtId="0" fontId="114" fillId="2" borderId="23" xfId="363" applyFont="1" applyFill="1" applyBorder="1" applyAlignment="1">
      <alignment horizontal="center" vertical="center"/>
    </xf>
    <xf numFmtId="0" fontId="119" fillId="2" borderId="0" xfId="363" applyFont="1" applyFill="1" applyAlignment="1">
      <alignment horizontal="center" vertical="center"/>
    </xf>
    <xf numFmtId="0" fontId="121" fillId="2" borderId="22" xfId="363" applyFont="1" applyFill="1" applyBorder="1" applyAlignment="1">
      <alignment horizontal="center"/>
    </xf>
    <xf numFmtId="0" fontId="121" fillId="2" borderId="0" xfId="363" applyFont="1" applyFill="1" applyAlignment="1">
      <alignment horizontal="center" vertical="center" wrapText="1"/>
    </xf>
    <xf numFmtId="188" fontId="128" fillId="0" borderId="22" xfId="363" applyNumberFormat="1" applyFont="1" applyBorder="1" applyAlignment="1">
      <alignment horizontal="center" vertical="center" wrapText="1"/>
    </xf>
    <xf numFmtId="0" fontId="122" fillId="2" borderId="22" xfId="363" applyFont="1" applyFill="1" applyBorder="1" applyAlignment="1">
      <alignment horizontal="center" vertical="center" wrapText="1"/>
    </xf>
    <xf numFmtId="0" fontId="121" fillId="2" borderId="53" xfId="363" applyFont="1" applyFill="1" applyBorder="1" applyAlignment="1">
      <alignment horizontal="center"/>
    </xf>
    <xf numFmtId="189" fontId="118" fillId="2" borderId="53" xfId="363" applyNumberFormat="1" applyFont="1" applyFill="1" applyBorder="1" applyAlignment="1">
      <alignment horizontal="right" vertical="center"/>
    </xf>
    <xf numFmtId="14" fontId="115" fillId="0" borderId="53" xfId="363" applyNumberFormat="1" applyFont="1" applyBorder="1" applyAlignment="1">
      <alignment horizontal="center" vertical="center"/>
    </xf>
    <xf numFmtId="0" fontId="114" fillId="0" borderId="53" xfId="363" applyFont="1" applyBorder="1" applyAlignment="1">
      <alignment vertical="center"/>
    </xf>
    <xf numFmtId="0" fontId="114" fillId="0" borderId="23" xfId="363" applyFont="1" applyBorder="1" applyAlignment="1">
      <alignment horizontal="center" vertical="center" wrapText="1"/>
    </xf>
    <xf numFmtId="0" fontId="114" fillId="2" borderId="23" xfId="363" applyFont="1" applyFill="1" applyBorder="1" applyAlignment="1">
      <alignment vertical="center"/>
    </xf>
    <xf numFmtId="0" fontId="114" fillId="0" borderId="53" xfId="363" applyFont="1" applyBorder="1" applyAlignment="1">
      <alignment horizontal="center" vertical="center"/>
    </xf>
    <xf numFmtId="0" fontId="121" fillId="2" borderId="23" xfId="363" applyFont="1" applyFill="1" applyBorder="1" applyAlignment="1">
      <alignment horizontal="center"/>
    </xf>
    <xf numFmtId="0" fontId="121" fillId="2" borderId="23" xfId="363" applyFont="1" applyFill="1" applyBorder="1" applyAlignment="1">
      <alignment horizontal="center" vertical="center" wrapText="1"/>
    </xf>
    <xf numFmtId="189" fontId="118" fillId="2" borderId="23" xfId="363" applyNumberFormat="1" applyFont="1" applyFill="1" applyBorder="1" applyAlignment="1">
      <alignment horizontal="right" vertical="center"/>
    </xf>
    <xf numFmtId="14" fontId="115" fillId="0" borderId="23" xfId="363" applyNumberFormat="1" applyFont="1" applyBorder="1" applyAlignment="1">
      <alignment horizontal="center" vertical="center"/>
    </xf>
    <xf numFmtId="0" fontId="114" fillId="0" borderId="23" xfId="363" applyFont="1" applyBorder="1" applyAlignment="1">
      <alignment horizontal="center" vertical="center"/>
    </xf>
    <xf numFmtId="0" fontId="121" fillId="2" borderId="22" xfId="363" applyFont="1" applyFill="1" applyBorder="1" applyAlignment="1">
      <alignment horizontal="center" vertical="center" wrapText="1"/>
    </xf>
    <xf numFmtId="0" fontId="121" fillId="2" borderId="0" xfId="363" applyFont="1" applyFill="1" applyAlignment="1">
      <alignment horizontal="center"/>
    </xf>
    <xf numFmtId="0" fontId="122" fillId="2" borderId="23" xfId="363" applyFont="1" applyFill="1" applyBorder="1" applyAlignment="1">
      <alignment horizontal="center"/>
    </xf>
    <xf numFmtId="0" fontId="122" fillId="2" borderId="23" xfId="363" applyFont="1" applyFill="1" applyBorder="1" applyAlignment="1">
      <alignment horizontal="center" vertical="center" wrapText="1"/>
    </xf>
    <xf numFmtId="188" fontId="128" fillId="2" borderId="23" xfId="363" applyNumberFormat="1" applyFont="1" applyFill="1" applyBorder="1" applyAlignment="1">
      <alignment horizontal="center" vertical="center"/>
    </xf>
    <xf numFmtId="0" fontId="114" fillId="0" borderId="0" xfId="363" applyFont="1" applyAlignment="1">
      <alignment horizontal="center" vertical="center"/>
    </xf>
    <xf numFmtId="0" fontId="128" fillId="0" borderId="23" xfId="363" applyFont="1" applyBorder="1" applyAlignment="1">
      <alignment horizontal="center" vertical="center" wrapText="1"/>
    </xf>
    <xf numFmtId="0" fontId="122" fillId="2" borderId="22" xfId="363" applyFont="1" applyFill="1" applyBorder="1" applyAlignment="1">
      <alignment horizontal="center"/>
    </xf>
    <xf numFmtId="0" fontId="116" fillId="0" borderId="22" xfId="363" applyFont="1" applyBorder="1" applyAlignment="1">
      <alignment horizontal="center" vertical="center"/>
    </xf>
    <xf numFmtId="0" fontId="126" fillId="51" borderId="61" xfId="363" applyFont="1" applyFill="1" applyBorder="1" applyAlignment="1">
      <alignment vertical="center"/>
    </xf>
    <xf numFmtId="0" fontId="115" fillId="33" borderId="63" xfId="363" applyFont="1" applyFill="1" applyBorder="1" applyAlignment="1">
      <alignment vertical="center" wrapText="1"/>
    </xf>
    <xf numFmtId="0" fontId="116" fillId="33" borderId="63" xfId="363" applyFont="1" applyFill="1" applyBorder="1" applyAlignment="1">
      <alignment vertical="center"/>
    </xf>
    <xf numFmtId="0" fontId="115" fillId="33" borderId="64" xfId="363" applyFont="1" applyFill="1" applyBorder="1" applyAlignment="1">
      <alignment vertical="center"/>
    </xf>
    <xf numFmtId="0" fontId="115" fillId="2" borderId="22" xfId="363" applyFont="1" applyFill="1" applyBorder="1" applyAlignment="1">
      <alignment horizontal="center" vertical="center" wrapText="1"/>
    </xf>
    <xf numFmtId="0" fontId="126" fillId="53" borderId="28" xfId="363" applyFont="1" applyFill="1" applyBorder="1" applyAlignment="1">
      <alignment vertical="center"/>
    </xf>
    <xf numFmtId="0" fontId="115" fillId="49" borderId="29" xfId="363" applyFont="1" applyFill="1" applyBorder="1" applyAlignment="1">
      <alignment vertical="center"/>
    </xf>
    <xf numFmtId="0" fontId="115" fillId="49" borderId="29" xfId="363" applyFont="1" applyFill="1" applyBorder="1" applyAlignment="1">
      <alignment vertical="center" wrapText="1"/>
    </xf>
    <xf numFmtId="0" fontId="116" fillId="49" borderId="29" xfId="363" applyFont="1" applyFill="1" applyBorder="1" applyAlignment="1">
      <alignment vertical="center"/>
    </xf>
    <xf numFmtId="0" fontId="115" fillId="49" borderId="30" xfId="363" applyFont="1" applyFill="1" applyBorder="1" applyAlignment="1">
      <alignment vertical="center"/>
    </xf>
    <xf numFmtId="0" fontId="114" fillId="2" borderId="70" xfId="363" applyFont="1" applyFill="1" applyBorder="1" applyAlignment="1">
      <alignment horizontal="center" vertical="center"/>
    </xf>
    <xf numFmtId="3" fontId="119" fillId="2" borderId="22" xfId="363" applyNumberFormat="1" applyFont="1" applyFill="1" applyBorder="1" applyAlignment="1">
      <alignment horizontal="center" vertical="center" wrapText="1"/>
    </xf>
    <xf numFmtId="0" fontId="126" fillId="51" borderId="24" xfId="363" applyFont="1" applyFill="1" applyBorder="1" applyAlignment="1">
      <alignment vertical="center"/>
    </xf>
    <xf numFmtId="0" fontId="115" fillId="33" borderId="24" xfId="363" applyFont="1" applyFill="1" applyBorder="1" applyAlignment="1">
      <alignment vertical="center"/>
    </xf>
    <xf numFmtId="0" fontId="115" fillId="33" borderId="24" xfId="363" applyFont="1" applyFill="1" applyBorder="1" applyAlignment="1">
      <alignment vertical="center" wrapText="1"/>
    </xf>
    <xf numFmtId="0" fontId="116" fillId="33" borderId="24" xfId="363" applyFont="1" applyFill="1" applyBorder="1" applyAlignment="1">
      <alignment vertical="center"/>
    </xf>
    <xf numFmtId="190" fontId="114" fillId="0" borderId="22" xfId="363" applyNumberFormat="1" applyFont="1" applyBorder="1" applyAlignment="1">
      <alignment horizontal="center" vertical="center" wrapText="1"/>
    </xf>
    <xf numFmtId="14" fontId="128" fillId="0" borderId="22" xfId="363" applyNumberFormat="1" applyFont="1" applyBorder="1" applyAlignment="1">
      <alignment vertical="center"/>
    </xf>
    <xf numFmtId="0" fontId="119" fillId="2" borderId="0" xfId="363" applyFont="1" applyFill="1" applyAlignment="1">
      <alignment horizontal="center" vertical="center" wrapText="1"/>
    </xf>
    <xf numFmtId="0" fontId="119" fillId="2" borderId="23" xfId="363" applyFont="1" applyFill="1" applyBorder="1" applyAlignment="1">
      <alignment horizontal="center" vertical="center" wrapText="1"/>
    </xf>
    <xf numFmtId="0" fontId="121" fillId="2" borderId="22" xfId="363" applyFont="1" applyFill="1" applyBorder="1" applyAlignment="1">
      <alignment horizontal="center" vertical="center"/>
    </xf>
    <xf numFmtId="14" fontId="115" fillId="0" borderId="66" xfId="363" applyNumberFormat="1" applyFont="1" applyBorder="1" applyAlignment="1">
      <alignment horizontal="center" vertical="center"/>
    </xf>
    <xf numFmtId="0" fontId="121" fillId="2" borderId="66" xfId="363" applyFont="1" applyFill="1" applyBorder="1" applyAlignment="1">
      <alignment horizontal="center" vertical="center"/>
    </xf>
    <xf numFmtId="0" fontId="121" fillId="2" borderId="66" xfId="363" applyFont="1" applyFill="1" applyBorder="1" applyAlignment="1">
      <alignment horizontal="center" vertical="center" wrapText="1"/>
    </xf>
    <xf numFmtId="0" fontId="114" fillId="0" borderId="66" xfId="363" applyFont="1" applyBorder="1" applyAlignment="1">
      <alignment vertical="center"/>
    </xf>
    <xf numFmtId="0" fontId="121" fillId="2" borderId="71" xfId="363" applyFont="1" applyFill="1" applyBorder="1" applyAlignment="1">
      <alignment horizontal="center" vertical="center"/>
    </xf>
    <xf numFmtId="14" fontId="128" fillId="0" borderId="66" xfId="363" applyNumberFormat="1" applyFont="1" applyBorder="1" applyAlignment="1">
      <alignment horizontal="center" vertical="center"/>
    </xf>
    <xf numFmtId="0" fontId="114" fillId="0" borderId="66" xfId="363" applyFont="1" applyBorder="1" applyAlignment="1">
      <alignment horizontal="center" vertical="center"/>
    </xf>
    <xf numFmtId="0" fontId="126" fillId="51" borderId="49" xfId="363" applyFont="1" applyFill="1" applyBorder="1" applyAlignment="1">
      <alignment vertical="center"/>
    </xf>
    <xf numFmtId="0" fontId="115" fillId="33" borderId="50" xfId="363" applyFont="1" applyFill="1" applyBorder="1" applyAlignment="1">
      <alignment vertical="center"/>
    </xf>
    <xf numFmtId="0" fontId="115" fillId="33" borderId="50" xfId="363" applyFont="1" applyFill="1" applyBorder="1" applyAlignment="1">
      <alignment vertical="center" wrapText="1"/>
    </xf>
    <xf numFmtId="0" fontId="116" fillId="33" borderId="50" xfId="363" applyFont="1" applyFill="1" applyBorder="1" applyAlignment="1">
      <alignment vertical="center"/>
    </xf>
    <xf numFmtId="0" fontId="115" fillId="33" borderId="51" xfId="363" applyFont="1" applyFill="1" applyBorder="1" applyAlignment="1">
      <alignment vertical="center"/>
    </xf>
    <xf numFmtId="0" fontId="114" fillId="0" borderId="66" xfId="363" applyFont="1" applyBorder="1" applyAlignment="1">
      <alignment vertical="center" wrapText="1"/>
    </xf>
    <xf numFmtId="0" fontId="115" fillId="2" borderId="55" xfId="363" applyFont="1" applyFill="1" applyBorder="1" applyAlignment="1">
      <alignment vertical="center"/>
    </xf>
    <xf numFmtId="0" fontId="115" fillId="33" borderId="0" xfId="363" applyFont="1" applyFill="1" applyAlignment="1">
      <alignment horizontal="center" vertical="center"/>
    </xf>
    <xf numFmtId="170" fontId="123" fillId="2" borderId="22" xfId="4" applyNumberFormat="1" applyFont="1" applyFill="1" applyBorder="1" applyAlignment="1">
      <alignment vertical="center"/>
    </xf>
    <xf numFmtId="17" fontId="129" fillId="33" borderId="0" xfId="363" applyNumberFormat="1" applyFont="1" applyFill="1" applyAlignment="1">
      <alignment vertical="center"/>
    </xf>
    <xf numFmtId="17" fontId="116" fillId="33" borderId="0" xfId="363" applyNumberFormat="1" applyFont="1" applyFill="1" applyAlignment="1">
      <alignment vertical="center"/>
    </xf>
    <xf numFmtId="0" fontId="114" fillId="0" borderId="0" xfId="363" applyFont="1" applyAlignment="1">
      <alignment vertical="center" wrapText="1"/>
    </xf>
    <xf numFmtId="0" fontId="116" fillId="0" borderId="0" xfId="363" applyFont="1" applyAlignment="1">
      <alignment vertical="center"/>
    </xf>
    <xf numFmtId="0" fontId="90" fillId="2" borderId="0" xfId="364" applyFont="1" applyFill="1" applyAlignment="1">
      <alignment horizontal="left" vertical="center"/>
    </xf>
    <xf numFmtId="0" fontId="90" fillId="2" borderId="0" xfId="364" applyFont="1" applyFill="1" applyAlignment="1">
      <alignment horizontal="center" vertical="center"/>
    </xf>
    <xf numFmtId="0" fontId="90" fillId="0" borderId="0" xfId="364" applyFont="1" applyAlignment="1">
      <alignment horizontal="center" vertical="center"/>
    </xf>
    <xf numFmtId="0" fontId="91" fillId="0" borderId="0" xfId="364" applyFont="1"/>
    <xf numFmtId="0" fontId="90" fillId="0" borderId="1" xfId="4" applyFont="1" applyBorder="1" applyAlignment="1">
      <alignment horizontal="center" vertical="center" wrapText="1"/>
    </xf>
    <xf numFmtId="0" fontId="91" fillId="2" borderId="1" xfId="364" applyFont="1" applyFill="1" applyBorder="1" applyAlignment="1">
      <alignment horizontal="center" vertical="center"/>
    </xf>
    <xf numFmtId="0" fontId="91" fillId="2" borderId="1" xfId="364" applyFont="1" applyFill="1" applyBorder="1" applyAlignment="1">
      <alignment horizontal="justify" vertical="center" wrapText="1"/>
    </xf>
    <xf numFmtId="0" fontId="91" fillId="0" borderId="1" xfId="364" applyFont="1" applyBorder="1" applyAlignment="1">
      <alignment horizontal="justify" vertical="center" wrapText="1"/>
    </xf>
    <xf numFmtId="0" fontId="68" fillId="2" borderId="1" xfId="364" applyFont="1" applyFill="1" applyBorder="1" applyAlignment="1">
      <alignment horizontal="center" vertical="center"/>
    </xf>
    <xf numFmtId="0" fontId="92" fillId="2" borderId="1" xfId="364" applyFont="1" applyFill="1" applyBorder="1" applyAlignment="1">
      <alignment horizontal="center" vertical="center"/>
    </xf>
    <xf numFmtId="1" fontId="68" fillId="2" borderId="1" xfId="364" applyNumberFormat="1" applyFont="1" applyFill="1" applyBorder="1" applyAlignment="1">
      <alignment horizontal="center" vertical="center"/>
    </xf>
    <xf numFmtId="0" fontId="91" fillId="0" borderId="1" xfId="364" applyFont="1" applyBorder="1" applyAlignment="1">
      <alignment horizontal="center" vertical="center"/>
    </xf>
    <xf numFmtId="0" fontId="68" fillId="0" borderId="1" xfId="364" applyFont="1" applyBorder="1" applyAlignment="1">
      <alignment horizontal="center" vertical="center"/>
    </xf>
    <xf numFmtId="0" fontId="91" fillId="0" borderId="0" xfId="364" applyFont="1" applyAlignment="1">
      <alignment vertical="center" wrapText="1"/>
    </xf>
    <xf numFmtId="0" fontId="94" fillId="0" borderId="1" xfId="364" applyFont="1" applyBorder="1" applyAlignment="1">
      <alignment horizontal="justify" vertical="center" wrapText="1"/>
    </xf>
    <xf numFmtId="0" fontId="92" fillId="0" borderId="6" xfId="87" applyFont="1" applyBorder="1" applyAlignment="1">
      <alignment horizontal="center" vertical="center" wrapText="1"/>
    </xf>
    <xf numFmtId="170" fontId="68" fillId="45" borderId="1" xfId="365" applyNumberFormat="1" applyFont="1" applyFill="1" applyBorder="1" applyAlignment="1">
      <alignment vertical="center"/>
    </xf>
    <xf numFmtId="170" fontId="90" fillId="45" borderId="1" xfId="365" applyNumberFormat="1" applyFont="1" applyFill="1" applyBorder="1" applyAlignment="1">
      <alignment vertical="center"/>
    </xf>
    <xf numFmtId="169" fontId="90" fillId="0" borderId="0" xfId="7" applyNumberFormat="1" applyFont="1" applyFill="1" applyBorder="1" applyAlignment="1">
      <alignment horizontal="center" vertical="center" wrapText="1"/>
    </xf>
    <xf numFmtId="170" fontId="68" fillId="4" borderId="1" xfId="365" applyNumberFormat="1" applyFont="1" applyFill="1" applyBorder="1" applyAlignment="1">
      <alignment vertical="center"/>
    </xf>
    <xf numFmtId="170" fontId="90" fillId="4" borderId="1" xfId="365" applyNumberFormat="1" applyFont="1" applyFill="1" applyBorder="1" applyAlignment="1">
      <alignment vertical="center"/>
    </xf>
    <xf numFmtId="170" fontId="90" fillId="0" borderId="1" xfId="365" applyNumberFormat="1" applyFont="1" applyFill="1" applyBorder="1" applyAlignment="1">
      <alignment vertical="center"/>
    </xf>
    <xf numFmtId="0" fontId="92" fillId="0" borderId="6" xfId="87" applyFont="1" applyBorder="1" applyAlignment="1">
      <alignment horizontal="centerContinuous" vertical="center" wrapText="1"/>
    </xf>
    <xf numFmtId="0" fontId="90" fillId="0" borderId="1" xfId="5" applyFont="1" applyBorder="1" applyAlignment="1">
      <alignment horizontal="center" vertical="center" wrapText="1"/>
    </xf>
    <xf numFmtId="2" fontId="97" fillId="36" borderId="5" xfId="366" applyNumberFormat="1" applyFont="1" applyFill="1" applyBorder="1" applyAlignment="1">
      <alignment vertical="center"/>
    </xf>
    <xf numFmtId="2" fontId="97" fillId="36" borderId="6" xfId="366" applyNumberFormat="1" applyFont="1" applyFill="1" applyBorder="1" applyAlignment="1">
      <alignment vertical="center"/>
    </xf>
    <xf numFmtId="3" fontId="90" fillId="0" borderId="6" xfId="4" applyNumberFormat="1" applyFont="1" applyBorder="1" applyAlignment="1">
      <alignment horizontal="center" vertical="center" wrapText="1"/>
    </xf>
    <xf numFmtId="170" fontId="90" fillId="46" borderId="1" xfId="365" applyNumberFormat="1" applyFont="1" applyFill="1" applyBorder="1" applyAlignment="1">
      <alignment vertical="center"/>
    </xf>
    <xf numFmtId="179" fontId="90" fillId="0" borderId="1" xfId="5" applyNumberFormat="1" applyFont="1" applyBorder="1" applyAlignment="1">
      <alignment vertical="center" wrapText="1"/>
    </xf>
    <xf numFmtId="0" fontId="68" fillId="2" borderId="0" xfId="364" applyFont="1" applyFill="1" applyAlignment="1">
      <alignment vertical="center"/>
    </xf>
    <xf numFmtId="0" fontId="91" fillId="2" borderId="0" xfId="364" applyFont="1" applyFill="1" applyAlignment="1">
      <alignment horizontal="justify" vertical="center" wrapText="1"/>
    </xf>
    <xf numFmtId="0" fontId="91" fillId="2" borderId="0" xfId="364" applyFont="1" applyFill="1" applyAlignment="1">
      <alignment vertical="center"/>
    </xf>
    <xf numFmtId="0" fontId="98" fillId="4" borderId="21" xfId="364" applyFont="1" applyFill="1" applyBorder="1" applyAlignment="1">
      <alignment horizontal="center" vertical="center" wrapText="1"/>
    </xf>
    <xf numFmtId="179" fontId="90" fillId="0" borderId="21" xfId="364" applyNumberFormat="1" applyFont="1" applyBorder="1" applyAlignment="1">
      <alignment vertical="center"/>
    </xf>
    <xf numFmtId="0" fontId="90" fillId="2" borderId="0" xfId="364" applyFont="1" applyFill="1" applyAlignment="1">
      <alignment vertical="center"/>
    </xf>
    <xf numFmtId="0" fontId="68" fillId="2" borderId="0" xfId="364" applyFont="1" applyFill="1" applyAlignment="1">
      <alignment vertical="center" wrapText="1"/>
    </xf>
    <xf numFmtId="0" fontId="68" fillId="2" borderId="0" xfId="364" applyFont="1" applyFill="1" applyAlignment="1">
      <alignment horizontal="left" vertical="center"/>
    </xf>
    <xf numFmtId="0" fontId="91" fillId="29" borderId="0" xfId="364" applyFont="1" applyFill="1" applyAlignment="1">
      <alignment vertical="center"/>
    </xf>
    <xf numFmtId="0" fontId="100" fillId="2" borderId="0" xfId="364" applyFont="1" applyFill="1"/>
    <xf numFmtId="0" fontId="131" fillId="0" borderId="0" xfId="367"/>
    <xf numFmtId="0" fontId="91" fillId="33" borderId="1" xfId="364" applyFont="1" applyFill="1" applyBorder="1" applyAlignment="1">
      <alignment horizontal="justify" vertical="center" wrapText="1"/>
    </xf>
    <xf numFmtId="170" fontId="91" fillId="58" borderId="1" xfId="4" applyNumberFormat="1" applyFont="1" applyFill="1" applyBorder="1" applyAlignment="1">
      <alignment vertical="center"/>
    </xf>
    <xf numFmtId="0" fontId="28" fillId="0" borderId="1" xfId="0" applyFont="1" applyBorder="1" applyAlignment="1">
      <alignment horizontal="center" vertical="center"/>
    </xf>
    <xf numFmtId="183" fontId="73" fillId="0" borderId="22" xfId="367" applyNumberFormat="1" applyFont="1" applyBorder="1" applyAlignment="1">
      <alignment horizontal="right" vertical="center" wrapText="1"/>
    </xf>
    <xf numFmtId="183" fontId="73" fillId="48" borderId="22" xfId="367" applyNumberFormat="1" applyFont="1" applyFill="1" applyBorder="1" applyAlignment="1">
      <alignment horizontal="right" vertical="center" wrapText="1"/>
    </xf>
    <xf numFmtId="183" fontId="84" fillId="54" borderId="22" xfId="367" applyNumberFormat="1" applyFont="1" applyFill="1" applyBorder="1" applyAlignment="1">
      <alignment horizontal="center" wrapText="1"/>
    </xf>
    <xf numFmtId="183" fontId="83" fillId="55" borderId="22" xfId="367" applyNumberFormat="1" applyFont="1" applyFill="1" applyBorder="1" applyAlignment="1">
      <alignment horizontal="center" wrapText="1"/>
    </xf>
    <xf numFmtId="0" fontId="85" fillId="48" borderId="0" xfId="367" applyFont="1" applyFill="1" applyAlignment="1">
      <alignment wrapText="1"/>
    </xf>
    <xf numFmtId="181" fontId="85" fillId="48" borderId="0" xfId="367" applyNumberFormat="1" applyFont="1" applyFill="1" applyAlignment="1">
      <alignment wrapText="1"/>
    </xf>
    <xf numFmtId="183" fontId="84" fillId="54" borderId="22" xfId="367" applyNumberFormat="1" applyFont="1" applyFill="1" applyBorder="1" applyAlignment="1">
      <alignment wrapText="1"/>
    </xf>
    <xf numFmtId="183" fontId="84" fillId="54" borderId="73" xfId="367" applyNumberFormat="1" applyFont="1" applyFill="1" applyBorder="1" applyAlignment="1">
      <alignment wrapText="1"/>
    </xf>
    <xf numFmtId="183" fontId="84" fillId="54" borderId="72" xfId="367" applyNumberFormat="1" applyFont="1" applyFill="1" applyBorder="1" applyAlignment="1">
      <alignment wrapText="1"/>
    </xf>
    <xf numFmtId="183" fontId="83" fillId="55" borderId="73" xfId="367" applyNumberFormat="1" applyFont="1" applyFill="1" applyBorder="1" applyAlignment="1">
      <alignment wrapText="1"/>
    </xf>
    <xf numFmtId="183" fontId="83" fillId="55" borderId="72" xfId="367" applyNumberFormat="1" applyFont="1" applyFill="1" applyBorder="1" applyAlignment="1">
      <alignment wrapText="1"/>
    </xf>
    <xf numFmtId="181" fontId="83" fillId="55" borderId="23" xfId="367" applyNumberFormat="1" applyFont="1" applyFill="1" applyBorder="1" applyAlignment="1">
      <alignment wrapText="1"/>
    </xf>
    <xf numFmtId="181" fontId="83" fillId="55" borderId="22" xfId="367" applyNumberFormat="1" applyFont="1" applyFill="1" applyBorder="1" applyAlignment="1">
      <alignment wrapText="1"/>
    </xf>
    <xf numFmtId="0" fontId="73" fillId="0" borderId="22" xfId="367" applyFont="1" applyBorder="1" applyAlignment="1">
      <alignment horizontal="center" vertical="center" wrapText="1"/>
    </xf>
    <xf numFmtId="0" fontId="73" fillId="0" borderId="22" xfId="367" applyFont="1" applyBorder="1" applyAlignment="1">
      <alignment horizontal="left" vertical="center" wrapText="1"/>
    </xf>
    <xf numFmtId="14" fontId="73" fillId="0" borderId="22" xfId="367" applyNumberFormat="1" applyFont="1" applyBorder="1" applyAlignment="1">
      <alignment horizontal="left" vertical="center" wrapText="1"/>
    </xf>
    <xf numFmtId="183" fontId="85" fillId="0" borderId="22" xfId="367" applyNumberFormat="1" applyFont="1" applyBorder="1" applyAlignment="1">
      <alignment vertical="center" wrapText="1"/>
    </xf>
    <xf numFmtId="183" fontId="73" fillId="0" borderId="22" xfId="367" applyNumberFormat="1" applyFont="1" applyBorder="1" applyAlignment="1">
      <alignment vertical="center" wrapText="1"/>
    </xf>
    <xf numFmtId="181" fontId="83" fillId="55" borderId="70" xfId="367" applyNumberFormat="1" applyFont="1" applyFill="1" applyBorder="1" applyAlignment="1">
      <alignment wrapText="1"/>
    </xf>
    <xf numFmtId="0" fontId="73" fillId="48" borderId="22" xfId="367" applyFont="1" applyFill="1" applyBorder="1" applyAlignment="1">
      <alignment horizontal="left" vertical="center" wrapText="1"/>
    </xf>
    <xf numFmtId="14" fontId="73" fillId="48" borderId="22" xfId="367" applyNumberFormat="1" applyFont="1" applyFill="1" applyBorder="1" applyAlignment="1">
      <alignment horizontal="left" vertical="center" wrapText="1"/>
    </xf>
    <xf numFmtId="183" fontId="85" fillId="48" borderId="22" xfId="367" applyNumberFormat="1" applyFont="1" applyFill="1" applyBorder="1" applyAlignment="1">
      <alignment vertical="center" wrapText="1"/>
    </xf>
    <xf numFmtId="183" fontId="85" fillId="0" borderId="22" xfId="367" applyNumberFormat="1" applyFont="1" applyBorder="1" applyAlignment="1">
      <alignment wrapText="1"/>
    </xf>
    <xf numFmtId="0" fontId="73" fillId="0" borderId="61" xfId="367" applyFont="1" applyBorder="1" applyAlignment="1">
      <alignment horizontal="left" vertical="center" wrapText="1"/>
    </xf>
    <xf numFmtId="14" fontId="73" fillId="0" borderId="63" xfId="367" applyNumberFormat="1" applyFont="1" applyBorder="1" applyAlignment="1">
      <alignment horizontal="left" vertical="center" wrapText="1"/>
    </xf>
    <xf numFmtId="0" fontId="73" fillId="0" borderId="63" xfId="367" applyFont="1" applyBorder="1" applyAlignment="1">
      <alignment horizontal="left" vertical="center" wrapText="1"/>
    </xf>
    <xf numFmtId="0" fontId="73" fillId="0" borderId="64" xfId="367" applyFont="1" applyBorder="1" applyAlignment="1">
      <alignment horizontal="left" vertical="center" wrapText="1"/>
    </xf>
    <xf numFmtId="0" fontId="73" fillId="48" borderId="22" xfId="367" applyFont="1" applyFill="1" applyBorder="1" applyAlignment="1">
      <alignment horizontal="center" vertical="center" wrapText="1"/>
    </xf>
    <xf numFmtId="183" fontId="73" fillId="48" borderId="22" xfId="367" applyNumberFormat="1" applyFont="1" applyFill="1" applyBorder="1" applyAlignment="1">
      <alignment vertical="center" wrapText="1"/>
    </xf>
    <xf numFmtId="183" fontId="73" fillId="57" borderId="22" xfId="367" applyNumberFormat="1" applyFont="1" applyFill="1" applyBorder="1" applyAlignment="1">
      <alignment vertical="center" wrapText="1"/>
    </xf>
    <xf numFmtId="181" fontId="83" fillId="48" borderId="22" xfId="367" applyNumberFormat="1" applyFont="1" applyFill="1" applyBorder="1" applyAlignment="1">
      <alignment wrapText="1"/>
    </xf>
    <xf numFmtId="181" fontId="85" fillId="48" borderId="22" xfId="367" applyNumberFormat="1" applyFont="1" applyFill="1" applyBorder="1" applyAlignment="1">
      <alignment wrapText="1"/>
    </xf>
    <xf numFmtId="0" fontId="84" fillId="0" borderId="0" xfId="367" applyFont="1" applyAlignment="1">
      <alignment horizontal="center" vertical="center" wrapText="1"/>
    </xf>
    <xf numFmtId="14" fontId="86" fillId="48" borderId="0" xfId="367" applyNumberFormat="1" applyFont="1" applyFill="1" applyAlignment="1">
      <alignment horizontal="center" vertical="center" wrapText="1"/>
    </xf>
    <xf numFmtId="0" fontId="86" fillId="48" borderId="0" xfId="367" applyFont="1" applyFill="1" applyAlignment="1">
      <alignment horizontal="center" vertical="center" wrapText="1"/>
    </xf>
    <xf numFmtId="183" fontId="73" fillId="48" borderId="0" xfId="367" applyNumberFormat="1" applyFont="1" applyFill="1" applyAlignment="1">
      <alignment horizontal="left" vertical="center" wrapText="1"/>
    </xf>
    <xf numFmtId="0" fontId="85" fillId="48" borderId="0" xfId="367" applyFont="1" applyFill="1" applyAlignment="1">
      <alignment horizontal="left" vertical="center" wrapText="1"/>
    </xf>
    <xf numFmtId="183" fontId="85" fillId="0" borderId="0" xfId="367" applyNumberFormat="1" applyFont="1" applyAlignment="1">
      <alignment wrapText="1"/>
    </xf>
    <xf numFmtId="183" fontId="84" fillId="0" borderId="0" xfId="367" applyNumberFormat="1" applyFont="1" applyAlignment="1">
      <alignment wrapText="1"/>
    </xf>
    <xf numFmtId="183" fontId="83" fillId="48" borderId="0" xfId="367" applyNumberFormat="1" applyFont="1" applyFill="1" applyAlignment="1">
      <alignment wrapText="1"/>
    </xf>
    <xf numFmtId="170" fontId="117" fillId="2" borderId="74" xfId="4" applyNumberFormat="1" applyFont="1" applyFill="1" applyBorder="1" applyAlignment="1">
      <alignment horizontal="center" vertical="center"/>
    </xf>
    <xf numFmtId="170" fontId="120" fillId="2" borderId="74" xfId="4" applyNumberFormat="1" applyFont="1" applyFill="1" applyBorder="1" applyAlignment="1">
      <alignment horizontal="center" vertical="center"/>
    </xf>
    <xf numFmtId="0" fontId="114" fillId="0" borderId="74" xfId="363" applyFont="1" applyBorder="1" applyAlignment="1">
      <alignment horizontal="center" vertical="center"/>
    </xf>
    <xf numFmtId="0" fontId="114" fillId="0" borderId="74" xfId="363" applyFont="1" applyBorder="1" applyAlignment="1">
      <alignment vertical="center" wrapText="1"/>
    </xf>
    <xf numFmtId="189" fontId="114" fillId="0" borderId="74" xfId="363" applyNumberFormat="1" applyFont="1" applyBorder="1" applyAlignment="1">
      <alignment horizontal="right" vertical="center"/>
    </xf>
    <xf numFmtId="188" fontId="114" fillId="0" borderId="74" xfId="363" applyNumberFormat="1" applyFont="1" applyBorder="1" applyAlignment="1">
      <alignment horizontal="center" vertical="center"/>
    </xf>
    <xf numFmtId="0" fontId="114" fillId="0" borderId="74" xfId="363" applyFont="1" applyBorder="1" applyAlignment="1">
      <alignment horizontal="center" vertical="center" wrapText="1"/>
    </xf>
    <xf numFmtId="0" fontId="114" fillId="0" borderId="74" xfId="363" applyFont="1" applyBorder="1" applyAlignment="1">
      <alignment vertical="center"/>
    </xf>
    <xf numFmtId="181" fontId="84" fillId="35" borderId="74" xfId="187" applyNumberFormat="1" applyFont="1" applyFill="1" applyBorder="1" applyAlignment="1">
      <alignment wrapText="1"/>
    </xf>
    <xf numFmtId="181" fontId="61" fillId="30" borderId="74" xfId="187" applyNumberFormat="1" applyFont="1" applyFill="1" applyBorder="1" applyAlignment="1">
      <alignment wrapText="1"/>
    </xf>
    <xf numFmtId="182" fontId="61" fillId="30" borderId="74" xfId="187" applyNumberFormat="1" applyFont="1" applyFill="1" applyBorder="1" applyAlignment="1">
      <alignment wrapText="1"/>
    </xf>
    <xf numFmtId="181" fontId="84" fillId="35" borderId="74" xfId="188" applyNumberFormat="1" applyFont="1" applyFill="1" applyBorder="1" applyAlignment="1">
      <alignment wrapText="1"/>
    </xf>
    <xf numFmtId="183" fontId="84" fillId="35" borderId="74" xfId="188" applyNumberFormat="1" applyFont="1" applyFill="1" applyBorder="1" applyAlignment="1">
      <alignment wrapText="1"/>
    </xf>
    <xf numFmtId="181" fontId="61" fillId="30" borderId="74" xfId="188" applyNumberFormat="1" applyFont="1" applyFill="1" applyBorder="1" applyAlignment="1">
      <alignment wrapText="1"/>
    </xf>
    <xf numFmtId="181" fontId="61" fillId="30" borderId="74" xfId="187" applyNumberFormat="1" applyFont="1" applyFill="1" applyBorder="1" applyAlignment="1" applyProtection="1">
      <alignment horizontal="center" vertical="center" wrapText="1"/>
      <protection hidden="1"/>
    </xf>
    <xf numFmtId="181" fontId="61" fillId="30" borderId="76" xfId="187" applyNumberFormat="1" applyFont="1" applyFill="1" applyBorder="1" applyAlignment="1" applyProtection="1">
      <alignment wrapText="1"/>
      <protection hidden="1"/>
    </xf>
    <xf numFmtId="181" fontId="61" fillId="30" borderId="74" xfId="187" applyNumberFormat="1" applyFont="1" applyFill="1" applyBorder="1" applyAlignment="1" applyProtection="1">
      <alignment wrapText="1"/>
      <protection hidden="1"/>
    </xf>
    <xf numFmtId="0" fontId="33" fillId="0" borderId="74" xfId="187" applyFont="1" applyBorder="1" applyAlignment="1" applyProtection="1">
      <alignment horizontal="center" vertical="center" wrapText="1"/>
      <protection hidden="1"/>
    </xf>
    <xf numFmtId="14" fontId="33" fillId="0" borderId="74" xfId="187" applyNumberFormat="1" applyFont="1" applyBorder="1" applyAlignment="1" applyProtection="1">
      <alignment horizontal="center" vertical="center" wrapText="1"/>
      <protection hidden="1"/>
    </xf>
    <xf numFmtId="0" fontId="33" fillId="0" borderId="74" xfId="187" applyFont="1" applyBorder="1" applyAlignment="1" applyProtection="1">
      <alignment horizontal="left" vertical="center" wrapText="1"/>
      <protection hidden="1"/>
    </xf>
    <xf numFmtId="181" fontId="33" fillId="0" borderId="74" xfId="187" applyNumberFormat="1" applyFont="1" applyBorder="1" applyAlignment="1" applyProtection="1">
      <alignment horizontal="center" vertical="center" wrapText="1"/>
      <protection hidden="1"/>
    </xf>
    <xf numFmtId="183" fontId="73" fillId="2" borderId="74" xfId="188" applyNumberFormat="1" applyFont="1" applyFill="1" applyBorder="1" applyAlignment="1">
      <alignment vertical="center" wrapText="1"/>
    </xf>
    <xf numFmtId="183" fontId="85" fillId="2" borderId="74" xfId="188" applyNumberFormat="1" applyFont="1" applyFill="1" applyBorder="1" applyAlignment="1">
      <alignment vertical="center" wrapText="1"/>
    </xf>
    <xf numFmtId="183" fontId="33" fillId="2" borderId="74" xfId="187" applyNumberFormat="1" applyFont="1" applyFill="1" applyBorder="1" applyAlignment="1" applyProtection="1">
      <alignment vertical="center" wrapText="1"/>
      <protection hidden="1"/>
    </xf>
    <xf numFmtId="183" fontId="33" fillId="2" borderId="74" xfId="188" applyNumberFormat="1" applyFont="1" applyFill="1" applyBorder="1" applyAlignment="1">
      <alignment vertical="center" wrapText="1"/>
    </xf>
    <xf numFmtId="181" fontId="73" fillId="2" borderId="74" xfId="187" applyNumberFormat="1" applyFont="1" applyFill="1" applyBorder="1" applyAlignment="1" applyProtection="1">
      <alignment vertical="center" wrapText="1"/>
      <protection hidden="1"/>
    </xf>
    <xf numFmtId="181" fontId="33" fillId="2" borderId="74" xfId="187" applyNumberFormat="1" applyFont="1" applyFill="1" applyBorder="1" applyAlignment="1" applyProtection="1">
      <alignment vertical="center" wrapText="1"/>
      <protection hidden="1"/>
    </xf>
    <xf numFmtId="182" fontId="33" fillId="2" borderId="74" xfId="187" applyNumberFormat="1" applyFont="1" applyFill="1" applyBorder="1" applyAlignment="1" applyProtection="1">
      <alignment vertical="center" wrapText="1"/>
      <protection hidden="1"/>
    </xf>
    <xf numFmtId="181" fontId="33" fillId="30" borderId="76" xfId="187" applyNumberFormat="1" applyFont="1" applyFill="1" applyBorder="1" applyAlignment="1" applyProtection="1">
      <alignment wrapText="1"/>
      <protection hidden="1"/>
    </xf>
    <xf numFmtId="181" fontId="73" fillId="2" borderId="74" xfId="188" applyNumberFormat="1" applyFont="1" applyFill="1" applyBorder="1" applyAlignment="1">
      <alignment vertical="center" wrapText="1"/>
    </xf>
    <xf numFmtId="181" fontId="85" fillId="2" borderId="74" xfId="188" applyNumberFormat="1" applyFont="1" applyFill="1" applyBorder="1" applyAlignment="1">
      <alignment vertical="center" wrapText="1"/>
    </xf>
    <xf numFmtId="181" fontId="33" fillId="2" borderId="74" xfId="188" applyNumberFormat="1" applyFont="1" applyFill="1" applyBorder="1" applyAlignment="1">
      <alignment vertical="center" wrapText="1"/>
    </xf>
    <xf numFmtId="1" fontId="33" fillId="0" borderId="74" xfId="187" applyNumberFormat="1" applyFont="1" applyBorder="1" applyAlignment="1" applyProtection="1">
      <alignment horizontal="center" vertical="center" wrapText="1"/>
      <protection hidden="1"/>
    </xf>
    <xf numFmtId="181" fontId="73" fillId="0" borderId="74" xfId="187" applyNumberFormat="1" applyFont="1" applyBorder="1" applyAlignment="1" applyProtection="1">
      <alignment horizontal="center" vertical="center" wrapText="1"/>
      <protection hidden="1"/>
    </xf>
    <xf numFmtId="182" fontId="33" fillId="0" borderId="74" xfId="187" applyNumberFormat="1" applyFont="1" applyBorder="1" applyAlignment="1" applyProtection="1">
      <alignment horizontal="center" vertical="center" wrapText="1"/>
      <protection hidden="1"/>
    </xf>
    <xf numFmtId="170" fontId="33" fillId="2" borderId="74" xfId="188" applyNumberFormat="1" applyFont="1" applyFill="1" applyBorder="1" applyAlignment="1">
      <alignment vertical="center" wrapText="1"/>
    </xf>
    <xf numFmtId="0" fontId="73" fillId="2" borderId="74" xfId="187" applyFont="1" applyFill="1" applyBorder="1" applyAlignment="1" applyProtection="1">
      <alignment horizontal="left" vertical="center" wrapText="1"/>
      <protection hidden="1"/>
    </xf>
    <xf numFmtId="0" fontId="73" fillId="2" borderId="74" xfId="187" applyFont="1" applyFill="1" applyBorder="1" applyAlignment="1" applyProtection="1">
      <alignment horizontal="center" vertical="center" wrapText="1"/>
      <protection hidden="1"/>
    </xf>
    <xf numFmtId="0" fontId="73" fillId="2" borderId="74" xfId="187" applyFont="1" applyFill="1" applyBorder="1" applyAlignment="1">
      <alignment horizontal="center" vertical="center" wrapText="1"/>
    </xf>
    <xf numFmtId="181" fontId="83" fillId="2" borderId="74" xfId="187" applyNumberFormat="1" applyFont="1" applyFill="1" applyBorder="1" applyAlignment="1">
      <alignment vertical="center" wrapText="1"/>
    </xf>
    <xf numFmtId="181" fontId="61" fillId="2" borderId="74" xfId="187" applyNumberFormat="1" applyFont="1" applyFill="1" applyBorder="1" applyAlignment="1" applyProtection="1">
      <alignment wrapText="1"/>
      <protection hidden="1"/>
    </xf>
    <xf numFmtId="181" fontId="85" fillId="2" borderId="74" xfId="187" applyNumberFormat="1" applyFont="1" applyFill="1" applyBorder="1" applyAlignment="1">
      <alignment wrapText="1"/>
    </xf>
    <xf numFmtId="181" fontId="84" fillId="0" borderId="75" xfId="187" applyNumberFormat="1" applyFont="1" applyBorder="1" applyAlignment="1">
      <alignment wrapText="1"/>
    </xf>
    <xf numFmtId="0" fontId="33" fillId="2" borderId="74" xfId="187" applyFont="1" applyFill="1" applyBorder="1" applyAlignment="1" applyProtection="1">
      <alignment horizontal="center" vertical="center" wrapText="1"/>
      <protection hidden="1"/>
    </xf>
    <xf numFmtId="0" fontId="85" fillId="0" borderId="74" xfId="187" applyFont="1" applyBorder="1" applyAlignment="1">
      <alignment horizontal="center" vertical="center" wrapText="1"/>
    </xf>
    <xf numFmtId="14" fontId="85" fillId="0" borderId="74" xfId="187" applyNumberFormat="1" applyFont="1" applyBorder="1" applyAlignment="1">
      <alignment horizontal="center" vertical="center" wrapText="1"/>
    </xf>
    <xf numFmtId="0" fontId="85" fillId="0" borderId="74" xfId="187" applyFont="1" applyBorder="1" applyAlignment="1">
      <alignment horizontal="left" vertical="center"/>
    </xf>
    <xf numFmtId="0" fontId="85" fillId="0" borderId="74" xfId="187" applyFont="1" applyBorder="1" applyAlignment="1">
      <alignment horizontal="center" vertical="center"/>
    </xf>
    <xf numFmtId="0" fontId="85" fillId="0" borderId="74" xfId="187" applyFont="1" applyBorder="1" applyAlignment="1">
      <alignment horizontal="left" vertical="center" wrapText="1"/>
    </xf>
    <xf numFmtId="14" fontId="85" fillId="0" borderId="74" xfId="187" applyNumberFormat="1" applyFont="1" applyBorder="1" applyAlignment="1">
      <alignment horizontal="center" vertical="center"/>
    </xf>
    <xf numFmtId="0" fontId="85" fillId="0" borderId="74" xfId="187" applyFont="1" applyBorder="1" applyAlignment="1">
      <alignment wrapText="1"/>
    </xf>
    <xf numFmtId="14" fontId="73" fillId="2" borderId="74" xfId="187" applyNumberFormat="1" applyFont="1" applyFill="1" applyBorder="1" applyAlignment="1" applyProtection="1">
      <alignment horizontal="center" vertical="center" wrapText="1"/>
      <protection hidden="1"/>
    </xf>
    <xf numFmtId="0" fontId="80" fillId="0" borderId="74" xfId="187" applyBorder="1" applyAlignment="1">
      <alignment horizontal="center" vertical="center"/>
    </xf>
    <xf numFmtId="0" fontId="80" fillId="0" borderId="74" xfId="187" applyBorder="1" applyAlignment="1">
      <alignment vertical="center"/>
    </xf>
    <xf numFmtId="0" fontId="30" fillId="4" borderId="4" xfId="5" applyFont="1" applyFill="1" applyBorder="1" applyAlignment="1">
      <alignment horizontal="center" vertical="center" wrapText="1"/>
    </xf>
    <xf numFmtId="0" fontId="59" fillId="35" borderId="5" xfId="87" applyFont="1" applyFill="1" applyBorder="1" applyAlignment="1">
      <alignment horizontal="centerContinuous" vertical="center"/>
    </xf>
    <xf numFmtId="3" fontId="30" fillId="35" borderId="0" xfId="4" applyNumberFormat="1" applyFont="1" applyFill="1" applyAlignment="1">
      <alignment horizontal="centerContinuous" vertical="center" wrapText="1"/>
    </xf>
    <xf numFmtId="0" fontId="27" fillId="0" borderId="1" xfId="0" applyFont="1" applyBorder="1" applyAlignment="1">
      <alignment horizontal="center" vertical="center"/>
    </xf>
    <xf numFmtId="170" fontId="29" fillId="35" borderId="1" xfId="4" applyNumberFormat="1" applyFont="1" applyFill="1" applyBorder="1" applyAlignment="1">
      <alignment vertical="center"/>
    </xf>
    <xf numFmtId="0" fontId="28" fillId="35" borderId="6" xfId="87" applyFont="1" applyFill="1" applyBorder="1" applyAlignment="1">
      <alignment horizontal="center" vertical="center" wrapText="1"/>
    </xf>
    <xf numFmtId="0" fontId="59" fillId="30" borderId="1" xfId="87" applyFont="1" applyFill="1" applyBorder="1" applyAlignment="1">
      <alignment horizontal="center" vertical="center"/>
    </xf>
    <xf numFmtId="1" fontId="35" fillId="32" borderId="1" xfId="111" applyNumberFormat="1" applyFont="1" applyFill="1" applyBorder="1" applyAlignment="1">
      <alignment horizontal="center" vertical="center" wrapText="1"/>
    </xf>
    <xf numFmtId="1" fontId="35" fillId="33" borderId="1" xfId="111" applyNumberFormat="1" applyFont="1" applyFill="1" applyBorder="1" applyAlignment="1">
      <alignment horizontal="center" vertical="center" wrapText="1"/>
    </xf>
    <xf numFmtId="0" fontId="0" fillId="0" borderId="0" xfId="0" applyAlignment="1">
      <alignment vertical="center"/>
    </xf>
    <xf numFmtId="0" fontId="3" fillId="0" borderId="0" xfId="379"/>
    <xf numFmtId="0" fontId="28" fillId="2" borderId="0" xfId="379" applyFont="1" applyFill="1" applyAlignment="1">
      <alignment vertical="center"/>
    </xf>
    <xf numFmtId="0" fontId="59" fillId="2" borderId="21" xfId="0" applyFont="1" applyFill="1" applyBorder="1" applyAlignment="1">
      <alignment horizontal="center" vertical="center" wrapText="1"/>
    </xf>
    <xf numFmtId="170" fontId="28" fillId="0" borderId="21" xfId="169" applyNumberFormat="1" applyFont="1" applyFill="1" applyBorder="1" applyAlignment="1">
      <alignment horizontal="right" vertical="center"/>
    </xf>
    <xf numFmtId="10" fontId="59" fillId="2" borderId="21" xfId="0" applyNumberFormat="1" applyFont="1" applyFill="1" applyBorder="1" applyAlignment="1">
      <alignment horizontal="center" vertical="center"/>
    </xf>
    <xf numFmtId="170" fontId="28" fillId="2" borderId="0" xfId="379" applyNumberFormat="1" applyFont="1" applyFill="1" applyAlignment="1">
      <alignment vertical="center"/>
    </xf>
    <xf numFmtId="170" fontId="27" fillId="2" borderId="0" xfId="379" applyNumberFormat="1" applyFont="1" applyFill="1" applyAlignment="1">
      <alignment vertical="center"/>
    </xf>
    <xf numFmtId="170" fontId="28" fillId="4" borderId="21" xfId="169" applyNumberFormat="1" applyFont="1" applyFill="1" applyBorder="1" applyAlignment="1">
      <alignment horizontal="right" vertical="center"/>
    </xf>
    <xf numFmtId="170" fontId="3" fillId="0" borderId="0" xfId="379" applyNumberFormat="1"/>
    <xf numFmtId="179" fontId="30" fillId="4" borderId="1" xfId="0" applyNumberFormat="1" applyFont="1" applyFill="1" applyBorder="1" applyAlignment="1">
      <alignment horizontal="center" vertical="center" wrapText="1"/>
    </xf>
    <xf numFmtId="179" fontId="28" fillId="0" borderId="1" xfId="173" applyNumberFormat="1" applyFont="1" applyBorder="1" applyAlignment="1">
      <alignment horizontal="right" vertical="center"/>
    </xf>
    <xf numFmtId="170" fontId="27" fillId="2" borderId="1" xfId="379" applyNumberFormat="1" applyFont="1" applyFill="1" applyBorder="1" applyAlignment="1">
      <alignment vertical="center"/>
    </xf>
    <xf numFmtId="179" fontId="28" fillId="0" borderId="1" xfId="173" applyNumberFormat="1" applyFont="1" applyBorder="1" applyAlignment="1">
      <alignment vertical="center"/>
    </xf>
    <xf numFmtId="179" fontId="28" fillId="5" borderId="1" xfId="173" applyNumberFormat="1" applyFont="1" applyFill="1" applyBorder="1" applyAlignment="1">
      <alignment horizontal="right" vertical="center"/>
    </xf>
    <xf numFmtId="170" fontId="28" fillId="2" borderId="1" xfId="379" applyNumberFormat="1" applyFont="1" applyFill="1" applyBorder="1" applyAlignment="1">
      <alignment vertical="center"/>
    </xf>
    <xf numFmtId="0" fontId="3" fillId="0" borderId="0" xfId="379" applyAlignment="1">
      <alignment vertical="center"/>
    </xf>
    <xf numFmtId="42" fontId="28" fillId="2" borderId="0" xfId="379" applyNumberFormat="1" applyFont="1" applyFill="1" applyAlignment="1">
      <alignment vertical="center"/>
    </xf>
    <xf numFmtId="170" fontId="35" fillId="2" borderId="0" xfId="379" applyNumberFormat="1" applyFont="1" applyFill="1" applyAlignment="1">
      <alignment vertical="center"/>
    </xf>
    <xf numFmtId="170" fontId="59" fillId="4" borderId="41" xfId="0" applyNumberFormat="1" applyFont="1" applyFill="1" applyBorder="1" applyAlignment="1">
      <alignment vertical="center" wrapText="1"/>
    </xf>
    <xf numFmtId="0" fontId="59" fillId="4" borderId="41" xfId="0" applyFont="1" applyFill="1" applyBorder="1" applyAlignment="1">
      <alignment vertical="center" wrapText="1"/>
    </xf>
    <xf numFmtId="42" fontId="3" fillId="0" borderId="0" xfId="379" applyNumberFormat="1"/>
    <xf numFmtId="0" fontId="69" fillId="4" borderId="1" xfId="87" applyFont="1" applyFill="1" applyBorder="1" applyAlignment="1">
      <alignment horizontal="center" vertical="center" wrapText="1"/>
    </xf>
    <xf numFmtId="0" fontId="136" fillId="0" borderId="0" xfId="0" applyFont="1" applyAlignment="1">
      <alignment vertical="center"/>
    </xf>
    <xf numFmtId="0" fontId="134" fillId="0" borderId="0" xfId="378" applyAlignment="1">
      <alignment vertical="center"/>
    </xf>
    <xf numFmtId="0" fontId="137" fillId="0" borderId="0" xfId="0" applyFont="1" applyAlignment="1">
      <alignment vertical="center"/>
    </xf>
    <xf numFmtId="0" fontId="138" fillId="0" borderId="0" xfId="0" applyFont="1" applyAlignment="1">
      <alignment vertical="center"/>
    </xf>
    <xf numFmtId="0" fontId="140" fillId="60" borderId="23" xfId="0" applyFont="1" applyFill="1" applyBorder="1" applyAlignment="1">
      <alignment horizontal="center" vertical="center" wrapText="1"/>
    </xf>
    <xf numFmtId="0" fontId="141" fillId="60" borderId="26" xfId="0" applyFont="1" applyFill="1" applyBorder="1" applyAlignment="1">
      <alignment horizontal="center" vertical="center" wrapText="1"/>
    </xf>
    <xf numFmtId="0" fontId="0" fillId="0" borderId="0" xfId="0" applyAlignment="1">
      <alignment horizontal="center" vertical="center"/>
    </xf>
    <xf numFmtId="0" fontId="141" fillId="60" borderId="1" xfId="0" applyFont="1" applyFill="1" applyBorder="1" applyAlignment="1">
      <alignment horizontal="center" vertical="center" wrapText="1"/>
    </xf>
    <xf numFmtId="0" fontId="142" fillId="60" borderId="1" xfId="0" applyFont="1" applyFill="1" applyBorder="1" applyAlignment="1">
      <alignment horizontal="center" vertical="center" wrapText="1"/>
    </xf>
    <xf numFmtId="179" fontId="0" fillId="0" borderId="0" xfId="0" applyNumberFormat="1"/>
    <xf numFmtId="179" fontId="28" fillId="0" borderId="0" xfId="0" applyNumberFormat="1" applyFont="1"/>
    <xf numFmtId="0" fontId="138" fillId="0" borderId="0" xfId="0" applyFont="1" applyAlignment="1">
      <alignment horizontal="center" vertical="center" wrapText="1"/>
    </xf>
    <xf numFmtId="179" fontId="28" fillId="30" borderId="0" xfId="0" applyNumberFormat="1" applyFont="1" applyFill="1"/>
    <xf numFmtId="0" fontId="137" fillId="0" borderId="0" xfId="0" applyFont="1" applyAlignment="1">
      <alignment horizontal="center" vertical="center" wrapText="1"/>
    </xf>
    <xf numFmtId="0" fontId="137" fillId="0" borderId="0" xfId="0" applyFont="1" applyAlignment="1">
      <alignment horizontal="justify" vertical="center" wrapText="1"/>
    </xf>
    <xf numFmtId="0" fontId="140" fillId="60" borderId="22" xfId="0" applyFont="1" applyFill="1" applyBorder="1" applyAlignment="1">
      <alignment horizontal="center" vertical="center" wrapText="1"/>
    </xf>
    <xf numFmtId="0" fontId="141" fillId="60" borderId="22" xfId="0" applyFont="1" applyFill="1" applyBorder="1" applyAlignment="1">
      <alignment vertical="center" wrapText="1"/>
    </xf>
    <xf numFmtId="0" fontId="141" fillId="60" borderId="22" xfId="0" applyFont="1" applyFill="1" applyBorder="1" applyAlignment="1">
      <alignment horizontal="right" vertical="center" wrapText="1"/>
    </xf>
    <xf numFmtId="0" fontId="141" fillId="29" borderId="22" xfId="0" applyFont="1" applyFill="1" applyBorder="1" applyAlignment="1">
      <alignment vertical="center" wrapText="1"/>
    </xf>
    <xf numFmtId="0" fontId="141" fillId="29" borderId="22" xfId="0" applyFont="1" applyFill="1" applyBorder="1" applyAlignment="1">
      <alignment horizontal="right" vertical="center" wrapText="1"/>
    </xf>
    <xf numFmtId="0" fontId="28" fillId="61" borderId="0" xfId="0" applyFont="1" applyFill="1" applyAlignment="1">
      <alignment vertical="center"/>
    </xf>
    <xf numFmtId="0" fontId="0" fillId="61" borderId="0" xfId="0" applyFill="1"/>
    <xf numFmtId="0" fontId="37" fillId="61" borderId="0" xfId="0" applyFont="1" applyFill="1"/>
    <xf numFmtId="0" fontId="28" fillId="0" borderId="0" xfId="0" applyFont="1"/>
    <xf numFmtId="0" fontId="37" fillId="0" borderId="0" xfId="0" applyFont="1"/>
    <xf numFmtId="0" fontId="28" fillId="59" borderId="0" xfId="0" applyFont="1" applyFill="1" applyAlignment="1">
      <alignment vertical="center" wrapText="1"/>
    </xf>
    <xf numFmtId="0" fontId="28" fillId="0" borderId="0" xfId="0" applyFont="1" applyAlignment="1">
      <alignment vertical="center" wrapText="1"/>
    </xf>
    <xf numFmtId="0" fontId="28" fillId="0" borderId="0" xfId="0" applyFont="1" applyAlignment="1">
      <alignment vertical="center"/>
    </xf>
    <xf numFmtId="0" fontId="0" fillId="0" borderId="0" xfId="0" applyAlignment="1">
      <alignment horizontal="center" vertical="center" wrapText="1"/>
    </xf>
    <xf numFmtId="179" fontId="0" fillId="0" borderId="0" xfId="0" applyNumberFormat="1" applyAlignment="1">
      <alignment vertical="center"/>
    </xf>
    <xf numFmtId="0" fontId="0" fillId="29" borderId="0" xfId="0" applyFill="1"/>
    <xf numFmtId="179" fontId="0" fillId="29" borderId="0" xfId="0" applyNumberFormat="1" applyFill="1"/>
    <xf numFmtId="3" fontId="0" fillId="0" borderId="0" xfId="0" applyNumberFormat="1"/>
    <xf numFmtId="0" fontId="0" fillId="0" borderId="0" xfId="0" applyAlignment="1">
      <alignment vertical="center" wrapText="1"/>
    </xf>
    <xf numFmtId="179" fontId="0" fillId="29" borderId="29" xfId="0" applyNumberFormat="1" applyFill="1" applyBorder="1" applyAlignment="1">
      <alignment horizontal="left" vertical="center"/>
    </xf>
    <xf numFmtId="179" fontId="28" fillId="0" borderId="0" xfId="0" applyNumberFormat="1" applyFont="1" applyAlignment="1">
      <alignment horizontal="left" vertical="center"/>
    </xf>
    <xf numFmtId="0" fontId="0" fillId="0" borderId="0" xfId="0" applyAlignment="1">
      <alignment horizontal="left" vertical="center"/>
    </xf>
    <xf numFmtId="0" fontId="28" fillId="30" borderId="0" xfId="0" applyFont="1" applyFill="1"/>
    <xf numFmtId="0" fontId="28" fillId="30" borderId="0" xfId="0" applyFont="1" applyFill="1" applyAlignment="1">
      <alignment horizontal="center" vertical="center"/>
    </xf>
    <xf numFmtId="0" fontId="28" fillId="0" borderId="0" xfId="0" applyFont="1" applyAlignment="1">
      <alignment horizontal="center" vertical="center"/>
    </xf>
    <xf numFmtId="179" fontId="28" fillId="30" borderId="0" xfId="0" applyNumberFormat="1" applyFont="1" applyFill="1" applyAlignment="1">
      <alignment vertical="center"/>
    </xf>
    <xf numFmtId="179" fontId="28" fillId="0" borderId="0" xfId="0" applyNumberFormat="1" applyFont="1" applyAlignment="1">
      <alignment vertical="center"/>
    </xf>
    <xf numFmtId="179" fontId="28" fillId="40" borderId="0" xfId="0" applyNumberFormat="1" applyFont="1" applyFill="1"/>
    <xf numFmtId="0" fontId="28" fillId="40" borderId="0" xfId="0" applyFont="1" applyFill="1"/>
    <xf numFmtId="0" fontId="28" fillId="40" borderId="0" xfId="0" applyFont="1" applyFill="1" applyAlignment="1">
      <alignment horizontal="center" vertical="center"/>
    </xf>
    <xf numFmtId="179" fontId="28" fillId="40" borderId="0" xfId="0" applyNumberFormat="1" applyFont="1" applyFill="1" applyAlignment="1">
      <alignment vertical="center"/>
    </xf>
    <xf numFmtId="0" fontId="37" fillId="60" borderId="0" xfId="0" applyFont="1" applyFill="1" applyAlignment="1">
      <alignment vertical="center" wrapText="1"/>
    </xf>
    <xf numFmtId="0" fontId="37" fillId="60" borderId="0" xfId="0" applyFont="1" applyFill="1" applyAlignment="1">
      <alignment vertical="center"/>
    </xf>
    <xf numFmtId="0" fontId="143" fillId="60" borderId="0" xfId="0" applyFont="1" applyFill="1" applyAlignment="1">
      <alignment vertical="center" wrapText="1"/>
    </xf>
    <xf numFmtId="0" fontId="28" fillId="62" borderId="0" xfId="0" applyFont="1" applyFill="1" applyAlignment="1">
      <alignment vertical="center"/>
    </xf>
    <xf numFmtId="0" fontId="0" fillId="62" borderId="0" xfId="0" applyFill="1" applyAlignment="1">
      <alignment vertical="center"/>
    </xf>
    <xf numFmtId="0" fontId="37" fillId="62" borderId="0" xfId="0" applyFont="1" applyFill="1" applyAlignment="1">
      <alignment vertical="center"/>
    </xf>
    <xf numFmtId="0" fontId="144" fillId="0" borderId="0" xfId="0" applyFont="1" applyAlignment="1">
      <alignment vertical="center"/>
    </xf>
    <xf numFmtId="0" fontId="145" fillId="60" borderId="81" xfId="0" applyFont="1" applyFill="1" applyBorder="1" applyAlignment="1">
      <alignment vertical="center" wrapText="1"/>
    </xf>
    <xf numFmtId="0" fontId="145" fillId="60" borderId="81" xfId="0" applyFont="1" applyFill="1" applyBorder="1" applyAlignment="1">
      <alignment horizontal="center" vertical="center" wrapText="1"/>
    </xf>
    <xf numFmtId="0" fontId="145" fillId="63" borderId="81" xfId="0" applyFont="1" applyFill="1" applyBorder="1" applyAlignment="1">
      <alignment vertical="center" wrapText="1"/>
    </xf>
    <xf numFmtId="0" fontId="145" fillId="63" borderId="81" xfId="0" applyFont="1" applyFill="1" applyBorder="1" applyAlignment="1">
      <alignment horizontal="center" vertical="center" wrapText="1"/>
    </xf>
    <xf numFmtId="0" fontId="146" fillId="64" borderId="82" xfId="0" applyFont="1" applyFill="1" applyBorder="1" applyAlignment="1">
      <alignment vertical="top" wrapText="1"/>
    </xf>
    <xf numFmtId="0" fontId="144" fillId="0" borderId="81" xfId="0" applyFont="1" applyBorder="1" applyAlignment="1">
      <alignment horizontal="center" vertical="center" wrapText="1"/>
    </xf>
    <xf numFmtId="0" fontId="0" fillId="29" borderId="0" xfId="0" applyFill="1" applyAlignment="1">
      <alignment vertical="center"/>
    </xf>
    <xf numFmtId="179" fontId="0" fillId="29" borderId="0" xfId="0" applyNumberFormat="1" applyFill="1" applyAlignment="1">
      <alignment vertical="center"/>
    </xf>
    <xf numFmtId="179" fontId="0" fillId="29" borderId="29" xfId="0" applyNumberFormat="1" applyFill="1" applyBorder="1" applyAlignment="1">
      <alignment vertical="center"/>
    </xf>
    <xf numFmtId="0" fontId="28" fillId="30" borderId="0" xfId="0" applyFont="1" applyFill="1" applyAlignment="1">
      <alignment vertical="center" wrapText="1"/>
    </xf>
    <xf numFmtId="192" fontId="140" fillId="60" borderId="22" xfId="0" applyNumberFormat="1" applyFont="1" applyFill="1" applyBorder="1" applyAlignment="1">
      <alignment horizontal="center" vertical="center" wrapText="1"/>
    </xf>
    <xf numFmtId="6" fontId="0" fillId="0" borderId="0" xfId="0" applyNumberFormat="1"/>
    <xf numFmtId="192" fontId="140" fillId="60" borderId="61" xfId="0" applyNumberFormat="1" applyFont="1" applyFill="1" applyBorder="1" applyAlignment="1">
      <alignment horizontal="center" vertical="center" wrapText="1"/>
    </xf>
    <xf numFmtId="0" fontId="141" fillId="60" borderId="61" xfId="0" applyFont="1" applyFill="1" applyBorder="1" applyAlignment="1">
      <alignment horizontal="right" vertical="center" wrapText="1"/>
    </xf>
    <xf numFmtId="0" fontId="141" fillId="29" borderId="61" xfId="0" applyFont="1" applyFill="1" applyBorder="1" applyAlignment="1">
      <alignment horizontal="right" vertical="center" wrapText="1"/>
    </xf>
    <xf numFmtId="167" fontId="140" fillId="60" borderId="74" xfId="1" applyFont="1" applyFill="1" applyBorder="1" applyAlignment="1">
      <alignment horizontal="center" vertical="center" wrapText="1"/>
    </xf>
    <xf numFmtId="6" fontId="141" fillId="60" borderId="74" xfId="0" applyNumberFormat="1" applyFont="1" applyFill="1" applyBorder="1" applyAlignment="1">
      <alignment horizontal="right" vertical="center" wrapText="1"/>
    </xf>
    <xf numFmtId="0" fontId="141" fillId="0" borderId="22" xfId="0" applyFont="1" applyBorder="1" applyAlignment="1">
      <alignment vertical="center" wrapText="1"/>
    </xf>
    <xf numFmtId="0" fontId="141" fillId="0" borderId="22" xfId="0" applyFont="1" applyBorder="1" applyAlignment="1">
      <alignment horizontal="right" vertical="center" wrapText="1"/>
    </xf>
    <xf numFmtId="0" fontId="141" fillId="0" borderId="61" xfId="0" applyFont="1" applyBorder="1" applyAlignment="1">
      <alignment horizontal="right" vertical="center" wrapText="1"/>
    </xf>
    <xf numFmtId="8" fontId="141" fillId="60" borderId="74" xfId="0" applyNumberFormat="1" applyFont="1" applyFill="1" applyBorder="1" applyAlignment="1">
      <alignment horizontal="right" vertical="center" wrapText="1"/>
    </xf>
    <xf numFmtId="0" fontId="141" fillId="60" borderId="74" xfId="0" applyFont="1" applyFill="1" applyBorder="1" applyAlignment="1">
      <alignment horizontal="right" vertical="center" wrapText="1"/>
    </xf>
    <xf numFmtId="0" fontId="0" fillId="0" borderId="29" xfId="0" applyBorder="1"/>
    <xf numFmtId="193" fontId="0" fillId="0" borderId="0" xfId="0" applyNumberFormat="1"/>
    <xf numFmtId="0" fontId="28" fillId="59" borderId="0" xfId="0" applyFont="1" applyFill="1" applyAlignment="1">
      <alignment horizontal="centerContinuous" vertical="center" wrapText="1"/>
    </xf>
    <xf numFmtId="0" fontId="0" fillId="59" borderId="0" xfId="0" applyFill="1" applyAlignment="1">
      <alignment horizontal="centerContinuous"/>
    </xf>
    <xf numFmtId="0" fontId="0" fillId="0" borderId="0" xfId="0" applyAlignment="1">
      <alignment wrapText="1"/>
    </xf>
    <xf numFmtId="167" fontId="27" fillId="2" borderId="0" xfId="1" applyFont="1" applyFill="1" applyAlignment="1">
      <alignment vertical="center"/>
    </xf>
    <xf numFmtId="167" fontId="28" fillId="2" borderId="0" xfId="1" applyFont="1" applyFill="1" applyAlignment="1">
      <alignment vertical="center"/>
    </xf>
    <xf numFmtId="184" fontId="30" fillId="0" borderId="1" xfId="1" applyNumberFormat="1" applyFont="1" applyFill="1" applyBorder="1" applyAlignment="1">
      <alignment vertical="center"/>
    </xf>
    <xf numFmtId="3" fontId="69" fillId="2" borderId="1" xfId="4" applyNumberFormat="1" applyFont="1" applyFill="1" applyBorder="1" applyAlignment="1">
      <alignment horizontal="center" vertical="center" wrapText="1"/>
    </xf>
    <xf numFmtId="42" fontId="2" fillId="0" borderId="0" xfId="2" applyFont="1"/>
    <xf numFmtId="183" fontId="59" fillId="2" borderId="21" xfId="0" applyNumberFormat="1" applyFont="1" applyFill="1" applyBorder="1" applyAlignment="1">
      <alignment vertical="center"/>
    </xf>
    <xf numFmtId="183" fontId="30" fillId="31" borderId="1" xfId="4" applyNumberFormat="1" applyFont="1" applyFill="1" applyBorder="1" applyAlignment="1">
      <alignment horizontal="right" vertical="center"/>
    </xf>
    <xf numFmtId="0" fontId="58" fillId="0" borderId="0" xfId="379" applyFont="1" applyAlignment="1">
      <alignment wrapText="1"/>
    </xf>
    <xf numFmtId="0" fontId="28" fillId="2" borderId="0" xfId="0" applyFont="1" applyFill="1" applyAlignment="1">
      <alignment horizontal="center" vertical="center"/>
    </xf>
    <xf numFmtId="184" fontId="29" fillId="2" borderId="1" xfId="1" applyNumberFormat="1" applyFont="1" applyFill="1" applyBorder="1" applyAlignment="1">
      <alignment vertical="center"/>
    </xf>
    <xf numFmtId="184" fontId="135" fillId="0" borderId="1" xfId="1" applyNumberFormat="1" applyFont="1" applyFill="1" applyBorder="1" applyAlignment="1">
      <alignment vertical="center"/>
    </xf>
    <xf numFmtId="184" fontId="135" fillId="2" borderId="1" xfId="1" applyNumberFormat="1" applyFont="1" applyFill="1" applyBorder="1" applyAlignment="1">
      <alignment vertical="center"/>
    </xf>
    <xf numFmtId="0" fontId="59" fillId="35" borderId="5" xfId="87" applyFont="1" applyFill="1" applyBorder="1" applyAlignment="1">
      <alignment horizontal="center" vertical="center"/>
    </xf>
    <xf numFmtId="3" fontId="30" fillId="35" borderId="0" xfId="4" applyNumberFormat="1" applyFont="1" applyFill="1" applyAlignment="1">
      <alignment horizontal="center" vertical="center" wrapText="1"/>
    </xf>
    <xf numFmtId="0" fontId="59" fillId="29" borderId="6" xfId="87" applyFont="1" applyFill="1" applyBorder="1" applyAlignment="1">
      <alignment horizontal="center" vertical="center" wrapText="1"/>
    </xf>
    <xf numFmtId="9" fontId="30" fillId="29" borderId="1" xfId="7" applyFont="1" applyFill="1" applyBorder="1" applyAlignment="1">
      <alignment horizontal="center" vertical="center" wrapText="1"/>
    </xf>
    <xf numFmtId="184" fontId="30" fillId="2" borderId="1" xfId="1" applyNumberFormat="1" applyFont="1" applyFill="1" applyBorder="1" applyAlignment="1">
      <alignment vertical="center"/>
    </xf>
    <xf numFmtId="184" fontId="35" fillId="0" borderId="1" xfId="1" applyNumberFormat="1" applyFont="1" applyFill="1" applyBorder="1" applyAlignment="1">
      <alignment vertical="center"/>
    </xf>
    <xf numFmtId="184" fontId="29" fillId="0" borderId="1" xfId="1" applyNumberFormat="1" applyFont="1" applyBorder="1" applyAlignment="1">
      <alignment vertical="center"/>
    </xf>
    <xf numFmtId="184" fontId="30" fillId="29" borderId="1" xfId="1" applyNumberFormat="1" applyFont="1" applyFill="1" applyBorder="1" applyAlignment="1">
      <alignment vertical="center"/>
    </xf>
    <xf numFmtId="184" fontId="148" fillId="2" borderId="1" xfId="1" applyNumberFormat="1" applyFont="1" applyFill="1" applyBorder="1" applyAlignment="1">
      <alignment vertical="center"/>
    </xf>
    <xf numFmtId="184" fontId="35" fillId="2" borderId="1" xfId="1" applyNumberFormat="1" applyFont="1" applyFill="1" applyBorder="1" applyAlignment="1">
      <alignment vertical="center"/>
    </xf>
    <xf numFmtId="184" fontId="27" fillId="2" borderId="1" xfId="1" applyNumberFormat="1" applyFont="1" applyFill="1" applyBorder="1" applyAlignment="1">
      <alignment vertical="center"/>
    </xf>
    <xf numFmtId="3" fontId="30" fillId="2" borderId="1" xfId="4" applyNumberFormat="1" applyFont="1" applyFill="1" applyBorder="1" applyAlignment="1">
      <alignment horizontal="center" vertical="center" wrapText="1"/>
    </xf>
    <xf numFmtId="184" fontId="30" fillId="0" borderId="1" xfId="1" applyNumberFormat="1" applyFont="1" applyBorder="1" applyAlignment="1">
      <alignment vertical="center"/>
    </xf>
    <xf numFmtId="0" fontId="149" fillId="35" borderId="6" xfId="87" applyFont="1" applyFill="1" applyBorder="1" applyAlignment="1">
      <alignment horizontal="center" vertical="center" wrapText="1"/>
    </xf>
    <xf numFmtId="0" fontId="58" fillId="2" borderId="1" xfId="0" applyFont="1" applyFill="1" applyBorder="1" applyAlignment="1">
      <alignment horizontal="center" vertical="center"/>
    </xf>
    <xf numFmtId="3" fontId="69" fillId="2" borderId="0" xfId="4" applyNumberFormat="1" applyFont="1" applyFill="1" applyAlignment="1">
      <alignment horizontal="center" vertical="center" wrapText="1"/>
    </xf>
    <xf numFmtId="0" fontId="58" fillId="2" borderId="1" xfId="0" applyFont="1" applyFill="1" applyBorder="1" applyAlignment="1">
      <alignment horizontal="justify" vertical="center" wrapText="1"/>
    </xf>
    <xf numFmtId="184" fontId="69" fillId="2" borderId="1" xfId="1" applyNumberFormat="1" applyFont="1" applyFill="1" applyBorder="1" applyAlignment="1">
      <alignment vertical="center"/>
    </xf>
    <xf numFmtId="184" fontId="150" fillId="2" borderId="1" xfId="1" applyNumberFormat="1" applyFont="1" applyFill="1" applyBorder="1" applyAlignment="1">
      <alignment vertical="center"/>
    </xf>
    <xf numFmtId="184" fontId="59" fillId="2" borderId="1" xfId="1" applyNumberFormat="1" applyFont="1" applyFill="1" applyBorder="1" applyAlignment="1">
      <alignment vertical="center"/>
    </xf>
    <xf numFmtId="184" fontId="69" fillId="29" borderId="1" xfId="1" applyNumberFormat="1" applyFont="1" applyFill="1" applyBorder="1" applyAlignment="1">
      <alignment vertical="center"/>
    </xf>
    <xf numFmtId="184" fontId="58" fillId="2" borderId="1" xfId="1" applyNumberFormat="1" applyFont="1" applyFill="1" applyBorder="1" applyAlignment="1">
      <alignment vertical="center"/>
    </xf>
    <xf numFmtId="184" fontId="148" fillId="0" borderId="1" xfId="1" applyNumberFormat="1" applyFont="1" applyBorder="1" applyAlignment="1">
      <alignment vertical="center"/>
    </xf>
    <xf numFmtId="184" fontId="27" fillId="0" borderId="1" xfId="1" applyNumberFormat="1" applyFont="1" applyFill="1" applyBorder="1" applyAlignment="1">
      <alignment vertical="center"/>
    </xf>
    <xf numFmtId="1" fontId="69" fillId="30" borderId="1" xfId="1" applyNumberFormat="1" applyFont="1" applyFill="1" applyBorder="1" applyAlignment="1">
      <alignment horizontal="center" vertical="center"/>
    </xf>
    <xf numFmtId="184" fontId="69" fillId="30" borderId="1" xfId="1" applyNumberFormat="1" applyFont="1" applyFill="1" applyBorder="1" applyAlignment="1">
      <alignment vertical="center"/>
    </xf>
    <xf numFmtId="184" fontId="30" fillId="30" borderId="1" xfId="1" applyNumberFormat="1" applyFont="1" applyFill="1" applyBorder="1" applyAlignment="1">
      <alignment vertical="center"/>
    </xf>
    <xf numFmtId="184" fontId="151" fillId="30" borderId="1" xfId="1" applyNumberFormat="1" applyFont="1" applyFill="1" applyBorder="1" applyAlignment="1">
      <alignment vertical="center"/>
    </xf>
    <xf numFmtId="184" fontId="148" fillId="30" borderId="1" xfId="1" applyNumberFormat="1" applyFont="1" applyFill="1" applyBorder="1" applyAlignment="1">
      <alignment vertical="center"/>
    </xf>
    <xf numFmtId="184" fontId="58" fillId="0" borderId="0" xfId="1" applyNumberFormat="1" applyFont="1"/>
    <xf numFmtId="184" fontId="0" fillId="0" borderId="0" xfId="1" applyNumberFormat="1" applyFont="1"/>
    <xf numFmtId="184" fontId="152" fillId="0" borderId="0" xfId="1" applyNumberFormat="1" applyFont="1"/>
    <xf numFmtId="184" fontId="27" fillId="0" borderId="0" xfId="1" applyNumberFormat="1" applyFont="1"/>
    <xf numFmtId="191" fontId="69" fillId="31" borderId="1" xfId="4" applyNumberFormat="1" applyFont="1" applyFill="1" applyBorder="1" applyAlignment="1">
      <alignment horizontal="center" vertical="center" wrapText="1"/>
    </xf>
    <xf numFmtId="184" fontId="69" fillId="31" borderId="1" xfId="1" applyNumberFormat="1" applyFont="1" applyFill="1" applyBorder="1" applyAlignment="1">
      <alignment vertical="center"/>
    </xf>
    <xf numFmtId="184" fontId="30" fillId="31" borderId="1" xfId="1" applyNumberFormat="1" applyFont="1" applyFill="1" applyBorder="1" applyAlignment="1">
      <alignment vertical="center"/>
    </xf>
    <xf numFmtId="184" fontId="153" fillId="31" borderId="1" xfId="1" applyNumberFormat="1" applyFont="1" applyFill="1" applyBorder="1" applyAlignment="1">
      <alignment vertical="center"/>
    </xf>
    <xf numFmtId="184" fontId="148" fillId="31" borderId="1" xfId="1" applyNumberFormat="1" applyFont="1" applyFill="1" applyBorder="1" applyAlignment="1">
      <alignment vertical="center"/>
    </xf>
    <xf numFmtId="184" fontId="154" fillId="31" borderId="1" xfId="1" applyNumberFormat="1" applyFont="1" applyFill="1" applyBorder="1" applyAlignment="1">
      <alignment vertical="center"/>
    </xf>
    <xf numFmtId="0" fontId="28" fillId="2" borderId="84" xfId="0" applyFont="1" applyFill="1" applyBorder="1" applyAlignment="1">
      <alignment horizontal="center" vertical="center"/>
    </xf>
    <xf numFmtId="0" fontId="28" fillId="2" borderId="83" xfId="0" applyFont="1" applyFill="1" applyBorder="1" applyAlignment="1">
      <alignment horizontal="center" vertical="center"/>
    </xf>
    <xf numFmtId="9" fontId="155" fillId="29" borderId="74" xfId="4" applyNumberFormat="1" applyFont="1" applyFill="1" applyBorder="1" applyAlignment="1">
      <alignment horizontal="center" vertical="center"/>
    </xf>
    <xf numFmtId="185" fontId="30" fillId="2" borderId="0" xfId="173" applyNumberFormat="1" applyFont="1" applyFill="1" applyBorder="1" applyAlignment="1">
      <alignment horizontal="center" vertical="center" wrapText="1"/>
    </xf>
    <xf numFmtId="3" fontId="148" fillId="2" borderId="0" xfId="4" applyNumberFormat="1" applyFont="1" applyFill="1" applyAlignment="1">
      <alignment horizontal="center" vertical="center" wrapText="1"/>
    </xf>
    <xf numFmtId="0" fontId="149" fillId="30" borderId="8" xfId="87" applyFont="1" applyFill="1" applyBorder="1" applyAlignment="1">
      <alignment horizontal="center" vertical="center" wrapText="1"/>
    </xf>
    <xf numFmtId="0" fontId="148" fillId="4" borderId="18" xfId="5" applyFont="1" applyFill="1" applyBorder="1" applyAlignment="1">
      <alignment horizontal="center" vertical="center" wrapText="1"/>
    </xf>
    <xf numFmtId="0" fontId="148" fillId="4" borderId="4" xfId="5" applyFont="1" applyFill="1" applyBorder="1" applyAlignment="1">
      <alignment horizontal="center" vertical="center" wrapText="1"/>
    </xf>
    <xf numFmtId="184" fontId="30" fillId="0" borderId="1" xfId="1" applyNumberFormat="1" applyFont="1" applyBorder="1" applyAlignment="1">
      <alignment horizontal="center" vertical="center" wrapText="1"/>
    </xf>
    <xf numFmtId="184" fontId="29" fillId="0" borderId="1" xfId="1" applyNumberFormat="1" applyFont="1" applyFill="1" applyBorder="1" applyAlignment="1">
      <alignment vertical="center"/>
    </xf>
    <xf numFmtId="0" fontId="28" fillId="65" borderId="1" xfId="0" applyFont="1" applyFill="1" applyBorder="1" applyAlignment="1">
      <alignment horizontal="center" vertical="center"/>
    </xf>
    <xf numFmtId="184" fontId="69" fillId="2" borderId="1" xfId="1" applyNumberFormat="1" applyFont="1" applyFill="1" applyBorder="1" applyAlignment="1">
      <alignment horizontal="center" vertical="center" wrapText="1"/>
    </xf>
    <xf numFmtId="184" fontId="29" fillId="35" borderId="1" xfId="1" applyNumberFormat="1" applyFont="1" applyFill="1" applyBorder="1" applyAlignment="1">
      <alignment vertical="center"/>
    </xf>
    <xf numFmtId="184" fontId="59" fillId="35" borderId="6" xfId="1" applyNumberFormat="1" applyFont="1" applyFill="1" applyBorder="1" applyAlignment="1">
      <alignment horizontal="center" vertical="center" wrapText="1"/>
    </xf>
    <xf numFmtId="184" fontId="149" fillId="35" borderId="6" xfId="1" applyNumberFormat="1" applyFont="1" applyFill="1" applyBorder="1" applyAlignment="1">
      <alignment horizontal="center" vertical="center" wrapText="1"/>
    </xf>
    <xf numFmtId="184" fontId="59" fillId="35" borderId="8" xfId="1" applyNumberFormat="1" applyFont="1" applyFill="1" applyBorder="1" applyAlignment="1">
      <alignment horizontal="center" vertical="center" wrapText="1"/>
    </xf>
    <xf numFmtId="184" fontId="30" fillId="2" borderId="1" xfId="1" applyNumberFormat="1" applyFont="1" applyFill="1" applyBorder="1" applyAlignment="1">
      <alignment horizontal="center" vertical="center" wrapText="1"/>
    </xf>
    <xf numFmtId="171" fontId="90" fillId="30" borderId="1" xfId="1" applyNumberFormat="1" applyFont="1" applyFill="1" applyBorder="1" applyAlignment="1">
      <alignment vertical="center" wrapText="1"/>
    </xf>
    <xf numFmtId="184" fontId="30" fillId="30" borderId="1" xfId="1" applyNumberFormat="1" applyFont="1" applyFill="1" applyBorder="1" applyAlignment="1">
      <alignment horizontal="center" vertical="center" wrapText="1"/>
    </xf>
    <xf numFmtId="171" fontId="90" fillId="31" borderId="1" xfId="1" applyNumberFormat="1" applyFont="1" applyFill="1" applyBorder="1" applyAlignment="1">
      <alignment vertical="center" wrapText="1"/>
    </xf>
    <xf numFmtId="184" fontId="32" fillId="31" borderId="1" xfId="1" applyNumberFormat="1" applyFont="1" applyFill="1" applyBorder="1" applyAlignment="1">
      <alignment vertical="center"/>
    </xf>
    <xf numFmtId="184" fontId="30" fillId="31" borderId="1" xfId="1" applyNumberFormat="1" applyFont="1" applyFill="1" applyBorder="1" applyAlignment="1">
      <alignment horizontal="center" vertical="center" wrapText="1"/>
    </xf>
    <xf numFmtId="184" fontId="30" fillId="2" borderId="0" xfId="1" applyNumberFormat="1" applyFont="1" applyFill="1" applyBorder="1" applyAlignment="1">
      <alignment horizontal="center" vertical="center" wrapText="1"/>
    </xf>
    <xf numFmtId="184" fontId="30" fillId="2" borderId="0" xfId="1" applyNumberFormat="1" applyFont="1" applyFill="1" applyAlignment="1">
      <alignment horizontal="center" vertical="center" wrapText="1"/>
    </xf>
    <xf numFmtId="184" fontId="30" fillId="2" borderId="0" xfId="1" applyNumberFormat="1" applyFont="1" applyFill="1" applyAlignment="1">
      <alignment horizontal="right" vertical="center"/>
    </xf>
    <xf numFmtId="184" fontId="30" fillId="2" borderId="0" xfId="1" applyNumberFormat="1" applyFont="1" applyFill="1" applyBorder="1" applyAlignment="1">
      <alignment vertical="center"/>
    </xf>
    <xf numFmtId="184" fontId="32" fillId="2" borderId="0" xfId="1" applyNumberFormat="1" applyFont="1" applyFill="1" applyBorder="1" applyAlignment="1">
      <alignment horizontal="center" vertical="center" wrapText="1"/>
    </xf>
    <xf numFmtId="184" fontId="148" fillId="0" borderId="0" xfId="1" applyNumberFormat="1" applyFont="1" applyAlignment="1">
      <alignment horizontal="center" vertical="center" wrapText="1"/>
    </xf>
    <xf numFmtId="184" fontId="30" fillId="0" borderId="0" xfId="1" applyNumberFormat="1" applyFont="1" applyAlignment="1">
      <alignment horizontal="center" vertical="center" wrapText="1"/>
    </xf>
    <xf numFmtId="184" fontId="32" fillId="4" borderId="1" xfId="1" applyNumberFormat="1" applyFont="1" applyFill="1" applyBorder="1" applyAlignment="1">
      <alignment vertical="center"/>
    </xf>
    <xf numFmtId="184" fontId="30" fillId="4" borderId="1" xfId="1" applyNumberFormat="1" applyFont="1" applyFill="1" applyBorder="1" applyAlignment="1">
      <alignment vertical="center"/>
    </xf>
    <xf numFmtId="184" fontId="151" fillId="4" borderId="1" xfId="1" applyNumberFormat="1" applyFont="1" applyFill="1" applyBorder="1" applyAlignment="1">
      <alignment vertical="center"/>
    </xf>
    <xf numFmtId="184" fontId="148" fillId="4" borderId="1" xfId="1" applyNumberFormat="1" applyFont="1" applyFill="1" applyBorder="1" applyAlignment="1">
      <alignment horizontal="center" vertical="center" wrapText="1"/>
    </xf>
    <xf numFmtId="184" fontId="30" fillId="4" borderId="1" xfId="1" applyNumberFormat="1" applyFont="1" applyFill="1" applyBorder="1" applyAlignment="1">
      <alignment horizontal="center" vertical="center" wrapText="1"/>
    </xf>
    <xf numFmtId="184" fontId="29" fillId="0" borderId="0" xfId="1" applyNumberFormat="1" applyFont="1"/>
    <xf numFmtId="184" fontId="30" fillId="0" borderId="0" xfId="1" applyNumberFormat="1" applyFont="1"/>
    <xf numFmtId="184" fontId="29" fillId="2" borderId="0" xfId="1" applyNumberFormat="1" applyFont="1" applyFill="1"/>
    <xf numFmtId="184" fontId="156" fillId="0" borderId="0" xfId="1" applyNumberFormat="1" applyFont="1"/>
    <xf numFmtId="184" fontId="29" fillId="0" borderId="0" xfId="4" applyNumberFormat="1" applyFont="1" applyAlignment="1">
      <alignment horizontal="centerContinuous" wrapText="1"/>
    </xf>
    <xf numFmtId="170" fontId="29" fillId="0" borderId="0" xfId="4" applyNumberFormat="1" applyFont="1" applyAlignment="1">
      <alignment horizontal="centerContinuous" wrapText="1"/>
    </xf>
    <xf numFmtId="185" fontId="29" fillId="0" borderId="0" xfId="4" applyNumberFormat="1" applyFont="1" applyAlignment="1">
      <alignment horizontal="centerContinuous" wrapText="1"/>
    </xf>
    <xf numFmtId="184" fontId="37" fillId="0" borderId="0" xfId="175" applyNumberFormat="1" applyFont="1" applyAlignment="1">
      <alignment horizontal="left" vertical="top"/>
    </xf>
    <xf numFmtId="184" fontId="151" fillId="0" borderId="0" xfId="1" applyNumberFormat="1" applyFont="1" applyAlignment="1">
      <alignment horizontal="center" vertical="center"/>
    </xf>
    <xf numFmtId="184" fontId="154" fillId="0" borderId="0" xfId="1" applyNumberFormat="1" applyFont="1" applyAlignment="1">
      <alignment horizontal="left" vertical="center"/>
    </xf>
    <xf numFmtId="0" fontId="73" fillId="2" borderId="0" xfId="0" applyFont="1" applyFill="1"/>
    <xf numFmtId="0" fontId="28" fillId="2" borderId="0" xfId="380" applyFont="1" applyFill="1" applyAlignment="1">
      <alignment vertical="center"/>
    </xf>
    <xf numFmtId="0" fontId="1" fillId="0" borderId="0" xfId="380"/>
    <xf numFmtId="9" fontId="30" fillId="29" borderId="1" xfId="4" applyNumberFormat="1" applyFont="1" applyFill="1" applyBorder="1" applyAlignment="1">
      <alignment horizontal="center" vertical="center" wrapText="1"/>
    </xf>
    <xf numFmtId="2" fontId="67" fillId="36" borderId="5" xfId="381" applyNumberFormat="1" applyFont="1" applyFill="1" applyBorder="1" applyAlignment="1">
      <alignment vertical="center"/>
    </xf>
    <xf numFmtId="2" fontId="67" fillId="36" borderId="6" xfId="381" applyNumberFormat="1" applyFont="1" applyFill="1" applyBorder="1" applyAlignment="1">
      <alignment vertical="center"/>
    </xf>
    <xf numFmtId="184" fontId="29" fillId="0" borderId="1" xfId="1" applyNumberFormat="1" applyFont="1" applyBorder="1" applyAlignment="1">
      <alignment horizontal="right" vertical="center"/>
    </xf>
    <xf numFmtId="184" fontId="70" fillId="0" borderId="1" xfId="1" applyNumberFormat="1" applyFont="1" applyBorder="1" applyAlignment="1">
      <alignment vertical="center"/>
    </xf>
    <xf numFmtId="183" fontId="29" fillId="0" borderId="1" xfId="4" applyNumberFormat="1" applyFont="1" applyBorder="1" applyAlignment="1">
      <alignment vertical="center"/>
    </xf>
    <xf numFmtId="184" fontId="28" fillId="0" borderId="1" xfId="1" applyNumberFormat="1" applyFont="1" applyFill="1" applyBorder="1" applyAlignment="1">
      <alignment vertical="center"/>
    </xf>
    <xf numFmtId="184" fontId="29" fillId="0" borderId="0" xfId="4" applyNumberFormat="1" applyFont="1"/>
    <xf numFmtId="3" fontId="29" fillId="2" borderId="1" xfId="4" applyNumberFormat="1" applyFont="1" applyFill="1" applyBorder="1" applyAlignment="1">
      <alignment horizontal="center" vertical="center" wrapText="1"/>
    </xf>
    <xf numFmtId="0" fontId="0" fillId="2" borderId="5" xfId="0" applyFill="1" applyBorder="1" applyAlignment="1">
      <alignment horizontal="centerContinuous" vertical="center" wrapText="1"/>
    </xf>
    <xf numFmtId="0" fontId="0" fillId="2" borderId="6" xfId="0" applyFill="1" applyBorder="1" applyAlignment="1">
      <alignment horizontal="centerContinuous" vertical="center" wrapText="1"/>
    </xf>
    <xf numFmtId="0" fontId="0" fillId="2" borderId="8" xfId="0" applyFill="1" applyBorder="1" applyAlignment="1">
      <alignment horizontal="centerContinuous" vertical="center" wrapText="1"/>
    </xf>
    <xf numFmtId="184" fontId="29" fillId="2" borderId="1" xfId="1" applyNumberFormat="1" applyFont="1" applyFill="1" applyBorder="1" applyAlignment="1">
      <alignment horizontal="right" vertical="center"/>
    </xf>
    <xf numFmtId="184" fontId="70" fillId="2" borderId="1" xfId="1" applyNumberFormat="1" applyFont="1" applyFill="1" applyBorder="1" applyAlignment="1">
      <alignment vertical="center"/>
    </xf>
    <xf numFmtId="183" fontId="30" fillId="2" borderId="1" xfId="1" applyNumberFormat="1" applyFont="1" applyFill="1" applyBorder="1" applyAlignment="1">
      <alignment vertical="center"/>
    </xf>
    <xf numFmtId="184" fontId="28" fillId="2" borderId="1" xfId="1" applyNumberFormat="1" applyFont="1" applyFill="1" applyBorder="1" applyAlignment="1">
      <alignment vertical="center"/>
    </xf>
    <xf numFmtId="184" fontId="30" fillId="31" borderId="1" xfId="1" applyNumberFormat="1" applyFont="1" applyFill="1" applyBorder="1" applyAlignment="1">
      <alignment horizontal="right" vertical="center"/>
    </xf>
    <xf numFmtId="170" fontId="70" fillId="31" borderId="1" xfId="4" applyNumberFormat="1" applyFont="1" applyFill="1" applyBorder="1" applyAlignment="1">
      <alignment horizontal="right" vertical="center"/>
    </xf>
    <xf numFmtId="184" fontId="148" fillId="31" borderId="1" xfId="1" applyNumberFormat="1" applyFont="1" applyFill="1" applyBorder="1" applyAlignment="1">
      <alignment horizontal="right" vertical="center"/>
    </xf>
    <xf numFmtId="3" fontId="148" fillId="36" borderId="6" xfId="4" applyNumberFormat="1" applyFont="1" applyFill="1" applyBorder="1" applyAlignment="1">
      <alignment horizontal="center" vertical="center" wrapText="1"/>
    </xf>
    <xf numFmtId="0" fontId="150" fillId="2" borderId="0" xfId="4" applyFont="1" applyFill="1"/>
    <xf numFmtId="3" fontId="150" fillId="2" borderId="1" xfId="4" applyNumberFormat="1" applyFont="1" applyFill="1" applyBorder="1" applyAlignment="1">
      <alignment horizontal="center" vertical="center" wrapText="1"/>
    </xf>
    <xf numFmtId="3" fontId="150" fillId="2" borderId="5" xfId="4" applyNumberFormat="1" applyFont="1" applyFill="1" applyBorder="1" applyAlignment="1">
      <alignment horizontal="centerContinuous" vertical="center" wrapText="1"/>
    </xf>
    <xf numFmtId="3" fontId="150" fillId="2" borderId="6" xfId="4" applyNumberFormat="1" applyFont="1" applyFill="1" applyBorder="1" applyAlignment="1">
      <alignment horizontal="centerContinuous" vertical="center" wrapText="1"/>
    </xf>
    <xf numFmtId="3" fontId="150" fillId="2" borderId="8" xfId="4" applyNumberFormat="1" applyFont="1" applyFill="1" applyBorder="1" applyAlignment="1">
      <alignment horizontal="centerContinuous" vertical="center" wrapText="1"/>
    </xf>
    <xf numFmtId="184" fontId="150" fillId="2" borderId="1" xfId="1" applyNumberFormat="1" applyFont="1" applyFill="1" applyBorder="1" applyAlignment="1">
      <alignment horizontal="right" vertical="center"/>
    </xf>
    <xf numFmtId="184" fontId="32" fillId="31" borderId="1" xfId="1" applyNumberFormat="1" applyFont="1" applyFill="1" applyBorder="1" applyAlignment="1">
      <alignment horizontal="right" vertical="center"/>
    </xf>
    <xf numFmtId="184" fontId="32" fillId="34" borderId="1" xfId="1" applyNumberFormat="1" applyFont="1" applyFill="1" applyBorder="1" applyAlignment="1">
      <alignment vertical="center"/>
    </xf>
    <xf numFmtId="184" fontId="30" fillId="34" borderId="1" xfId="1" applyNumberFormat="1" applyFont="1" applyFill="1" applyBorder="1" applyAlignment="1">
      <alignment vertical="center"/>
    </xf>
    <xf numFmtId="184" fontId="148" fillId="34" borderId="1" xfId="1" applyNumberFormat="1" applyFont="1" applyFill="1" applyBorder="1" applyAlignment="1">
      <alignment vertical="center"/>
    </xf>
    <xf numFmtId="184" fontId="157" fillId="34" borderId="1" xfId="1" applyNumberFormat="1" applyFont="1" applyFill="1" applyBorder="1" applyAlignment="1">
      <alignment vertical="center"/>
    </xf>
    <xf numFmtId="170" fontId="156" fillId="0" borderId="1" xfId="4" applyNumberFormat="1" applyFont="1" applyBorder="1" applyAlignment="1">
      <alignment vertical="center"/>
    </xf>
    <xf numFmtId="0" fontId="149" fillId="30" borderId="6" xfId="87" applyFont="1" applyFill="1" applyBorder="1" applyAlignment="1">
      <alignment horizontal="center" vertical="center" wrapText="1"/>
    </xf>
    <xf numFmtId="0" fontId="148" fillId="4" borderId="1" xfId="5" applyFont="1" applyFill="1" applyBorder="1" applyAlignment="1">
      <alignment horizontal="center" vertical="center" wrapText="1"/>
    </xf>
    <xf numFmtId="3" fontId="148" fillId="4" borderId="1" xfId="4" applyNumberFormat="1" applyFont="1" applyFill="1" applyBorder="1" applyAlignment="1">
      <alignment horizontal="center" vertical="center" wrapText="1"/>
    </xf>
    <xf numFmtId="0" fontId="149" fillId="36" borderId="6" xfId="87" applyFont="1" applyFill="1" applyBorder="1" applyAlignment="1">
      <alignment horizontal="center" vertical="center" wrapText="1"/>
    </xf>
    <xf numFmtId="0" fontId="0" fillId="2" borderId="5" xfId="0" applyFill="1" applyBorder="1" applyAlignment="1">
      <alignment horizontal="left" vertical="center" wrapText="1"/>
    </xf>
    <xf numFmtId="0" fontId="0" fillId="2" borderId="6" xfId="0" applyFill="1" applyBorder="1" applyAlignment="1">
      <alignment horizontal="left" vertical="center" wrapText="1"/>
    </xf>
    <xf numFmtId="0" fontId="0" fillId="2" borderId="8" xfId="0" applyFill="1" applyBorder="1" applyAlignment="1">
      <alignment horizontal="left" vertical="center" wrapText="1"/>
    </xf>
    <xf numFmtId="184" fontId="148" fillId="31" borderId="1" xfId="1" applyNumberFormat="1" applyFont="1" applyFill="1" applyBorder="1" applyAlignment="1">
      <alignment horizontal="center" vertical="center"/>
    </xf>
    <xf numFmtId="184" fontId="153" fillId="4" borderId="1" xfId="1" applyNumberFormat="1" applyFont="1" applyFill="1" applyBorder="1" applyAlignment="1">
      <alignment vertical="center"/>
    </xf>
    <xf numFmtId="184" fontId="148" fillId="4" borderId="1" xfId="1" applyNumberFormat="1" applyFont="1" applyFill="1" applyBorder="1" applyAlignment="1">
      <alignment vertical="center"/>
    </xf>
    <xf numFmtId="184" fontId="154" fillId="4" borderId="1" xfId="1" applyNumberFormat="1" applyFont="1" applyFill="1" applyBorder="1" applyAlignment="1">
      <alignment vertical="center"/>
    </xf>
    <xf numFmtId="170" fontId="59" fillId="34" borderId="21" xfId="0" applyNumberFormat="1" applyFont="1" applyFill="1" applyBorder="1" applyAlignment="1">
      <alignment vertical="center"/>
    </xf>
    <xf numFmtId="170" fontId="59" fillId="0" borderId="21" xfId="0" applyNumberFormat="1" applyFont="1" applyBorder="1" applyAlignment="1">
      <alignment vertical="center"/>
    </xf>
    <xf numFmtId="0" fontId="61" fillId="29" borderId="74" xfId="4" applyFont="1" applyFill="1" applyBorder="1" applyAlignment="1">
      <alignment horizontal="center" vertical="center"/>
    </xf>
    <xf numFmtId="184" fontId="148" fillId="0" borderId="1" xfId="1" applyNumberFormat="1" applyFont="1" applyFill="1" applyBorder="1" applyAlignment="1">
      <alignment vertical="center"/>
    </xf>
    <xf numFmtId="0" fontId="35" fillId="35" borderId="6" xfId="87" applyFont="1" applyFill="1" applyBorder="1" applyAlignment="1">
      <alignment horizontal="center" vertical="center" wrapText="1"/>
    </xf>
    <xf numFmtId="0" fontId="35" fillId="2" borderId="1" xfId="0" applyFont="1" applyFill="1" applyBorder="1" applyAlignment="1">
      <alignment horizontal="center" vertical="center"/>
    </xf>
    <xf numFmtId="0" fontId="35" fillId="0" borderId="1" xfId="0" applyFont="1" applyBorder="1" applyAlignment="1">
      <alignment horizontal="center" vertical="center"/>
    </xf>
    <xf numFmtId="170" fontId="28" fillId="0" borderId="21" xfId="173" applyNumberFormat="1" applyFont="1" applyBorder="1" applyAlignment="1">
      <alignment vertical="center"/>
    </xf>
    <xf numFmtId="184" fontId="29" fillId="29" borderId="1" xfId="1" applyNumberFormat="1" applyFont="1" applyFill="1" applyBorder="1" applyAlignment="1">
      <alignment horizontal="right" vertical="center"/>
    </xf>
    <xf numFmtId="184" fontId="29" fillId="0" borderId="1" xfId="1" applyNumberFormat="1" applyFont="1" applyFill="1" applyBorder="1" applyAlignment="1">
      <alignment horizontal="right" vertical="center"/>
    </xf>
    <xf numFmtId="9" fontId="30" fillId="2" borderId="74" xfId="379" applyNumberFormat="1" applyFont="1" applyFill="1" applyBorder="1" applyAlignment="1">
      <alignment horizontal="center" vertical="center"/>
    </xf>
    <xf numFmtId="0" fontId="30" fillId="2" borderId="74" xfId="379" applyFont="1" applyFill="1" applyBorder="1" applyAlignment="1">
      <alignment horizontal="center" vertical="center"/>
    </xf>
    <xf numFmtId="194" fontId="158" fillId="0" borderId="74" xfId="379" applyNumberFormat="1" applyFont="1" applyBorder="1" applyAlignment="1">
      <alignment horizontal="center" vertical="center"/>
    </xf>
    <xf numFmtId="2" fontId="30" fillId="2" borderId="74" xfId="379" applyNumberFormat="1" applyFont="1" applyFill="1" applyBorder="1" applyAlignment="1">
      <alignment horizontal="center" vertical="center"/>
    </xf>
    <xf numFmtId="195" fontId="158" fillId="0" borderId="74" xfId="379" applyNumberFormat="1" applyFont="1" applyBorder="1" applyAlignment="1">
      <alignment horizontal="center" vertical="center"/>
    </xf>
    <xf numFmtId="181" fontId="28" fillId="0" borderId="21" xfId="169" applyNumberFormat="1" applyFont="1" applyFill="1" applyBorder="1" applyAlignment="1">
      <alignment horizontal="right" vertical="center"/>
    </xf>
    <xf numFmtId="170" fontId="37" fillId="0" borderId="0" xfId="175" applyNumberFormat="1" applyFont="1" applyAlignment="1">
      <alignment horizontal="left" vertical="top"/>
    </xf>
    <xf numFmtId="0" fontId="28" fillId="4" borderId="21" xfId="0" applyFont="1" applyFill="1" applyBorder="1" applyAlignment="1">
      <alignment horizontal="center" vertical="center" wrapText="1"/>
    </xf>
    <xf numFmtId="0" fontId="28" fillId="2" borderId="25" xfId="379" applyFont="1" applyFill="1" applyBorder="1" applyAlignment="1">
      <alignment horizontal="center" vertical="center"/>
    </xf>
    <xf numFmtId="0" fontId="28" fillId="2" borderId="2" xfId="379" applyFont="1" applyFill="1" applyBorder="1" applyAlignment="1">
      <alignment horizontal="center" vertical="center"/>
    </xf>
    <xf numFmtId="0" fontId="28" fillId="2" borderId="3" xfId="379" applyFont="1" applyFill="1" applyBorder="1" applyAlignment="1">
      <alignment horizontal="center" vertical="center"/>
    </xf>
    <xf numFmtId="0" fontId="28" fillId="2" borderId="26" xfId="379" applyFont="1" applyFill="1" applyBorder="1" applyAlignment="1">
      <alignment horizontal="center" vertical="center"/>
    </xf>
    <xf numFmtId="0" fontId="28" fillId="2" borderId="0" xfId="379" applyFont="1" applyFill="1" applyAlignment="1">
      <alignment horizontal="center" vertical="center"/>
    </xf>
    <xf numFmtId="0" fontId="28" fillId="2" borderId="27" xfId="379" applyFont="1" applyFill="1" applyBorder="1" applyAlignment="1">
      <alignment horizontal="center" vertical="center"/>
    </xf>
    <xf numFmtId="0" fontId="28" fillId="2" borderId="26" xfId="379" applyFont="1" applyFill="1" applyBorder="1" applyAlignment="1">
      <alignment horizontal="center" vertical="center" wrapText="1"/>
    </xf>
    <xf numFmtId="0" fontId="28" fillId="2" borderId="0" xfId="379" applyFont="1" applyFill="1" applyAlignment="1">
      <alignment horizontal="center" vertical="center" wrapText="1"/>
    </xf>
    <xf numFmtId="0" fontId="28" fillId="2" borderId="27" xfId="379" applyFont="1" applyFill="1" applyBorder="1" applyAlignment="1">
      <alignment horizontal="center" vertical="center" wrapText="1"/>
    </xf>
    <xf numFmtId="0" fontId="28" fillId="2" borderId="19" xfId="379" applyFont="1" applyFill="1" applyBorder="1" applyAlignment="1">
      <alignment horizontal="center" vertical="center"/>
    </xf>
    <xf numFmtId="0" fontId="28" fillId="2" borderId="7" xfId="379" applyFont="1" applyFill="1" applyBorder="1" applyAlignment="1">
      <alignment horizontal="center" vertical="center"/>
    </xf>
    <xf numFmtId="0" fontId="28" fillId="2" borderId="20" xfId="379" applyFont="1" applyFill="1" applyBorder="1" applyAlignment="1">
      <alignment horizontal="center" vertical="center"/>
    </xf>
    <xf numFmtId="3" fontId="28" fillId="38" borderId="77" xfId="168" applyNumberFormat="1" applyFont="1" applyFill="1" applyBorder="1" applyAlignment="1">
      <alignment horizontal="center" vertical="center" wrapText="1"/>
    </xf>
    <xf numFmtId="3" fontId="28" fillId="38" borderId="78" xfId="168" applyNumberFormat="1" applyFont="1" applyFill="1" applyBorder="1" applyAlignment="1">
      <alignment horizontal="center" vertical="center" wrapText="1"/>
    </xf>
    <xf numFmtId="3" fontId="28" fillId="38" borderId="79" xfId="168" applyNumberFormat="1" applyFont="1" applyFill="1" applyBorder="1" applyAlignment="1">
      <alignment horizontal="center" vertical="center" wrapText="1"/>
    </xf>
    <xf numFmtId="0" fontId="28" fillId="4" borderId="21" xfId="168" applyFont="1" applyFill="1" applyBorder="1" applyAlignment="1">
      <alignment horizontal="center" vertical="center" wrapText="1"/>
    </xf>
    <xf numFmtId="0" fontId="28" fillId="0" borderId="21" xfId="168" applyFont="1" applyBorder="1" applyAlignment="1">
      <alignment horizontal="left" vertical="center" wrapText="1"/>
    </xf>
    <xf numFmtId="0" fontId="59" fillId="39" borderId="5" xfId="0" applyFont="1" applyFill="1" applyBorder="1" applyAlignment="1">
      <alignment horizontal="center" vertical="center" wrapText="1"/>
    </xf>
    <xf numFmtId="0" fontId="59" fillId="39" borderId="6" xfId="0" applyFont="1" applyFill="1" applyBorder="1" applyAlignment="1">
      <alignment horizontal="center" vertical="center" wrapText="1"/>
    </xf>
    <xf numFmtId="0" fontId="59" fillId="39" borderId="8" xfId="0" applyFont="1" applyFill="1" applyBorder="1" applyAlignment="1">
      <alignment horizontal="center" vertical="center" wrapText="1"/>
    </xf>
    <xf numFmtId="0" fontId="59" fillId="0" borderId="18" xfId="0" applyFont="1" applyBorder="1" applyAlignment="1">
      <alignment horizontal="center" vertical="center" wrapText="1"/>
    </xf>
    <xf numFmtId="0" fontId="59" fillId="0" borderId="80" xfId="0" applyFont="1" applyBorder="1" applyAlignment="1">
      <alignment horizontal="center" vertical="center" wrapText="1"/>
    </xf>
    <xf numFmtId="0" fontId="59" fillId="0" borderId="4" xfId="0" applyFont="1" applyBorder="1" applyAlignment="1">
      <alignment horizontal="center" vertical="center" wrapText="1"/>
    </xf>
    <xf numFmtId="0" fontId="59" fillId="40" borderId="1" xfId="0" applyFont="1" applyFill="1" applyBorder="1" applyAlignment="1">
      <alignment horizontal="center" vertical="center" textRotation="90" wrapText="1"/>
    </xf>
    <xf numFmtId="0" fontId="28" fillId="4" borderId="5" xfId="0" applyFont="1" applyFill="1" applyBorder="1" applyAlignment="1">
      <alignment horizontal="center" vertical="center" wrapText="1"/>
    </xf>
    <xf numFmtId="0" fontId="28" fillId="4" borderId="8" xfId="0" applyFont="1" applyFill="1" applyBorder="1" applyAlignment="1">
      <alignment horizontal="center" vertical="center" wrapText="1"/>
    </xf>
    <xf numFmtId="0" fontId="58" fillId="0" borderId="5" xfId="0" applyFont="1" applyBorder="1" applyAlignment="1">
      <alignment horizontal="left" vertical="center" wrapText="1"/>
    </xf>
    <xf numFmtId="0" fontId="58" fillId="0" borderId="8" xfId="0" applyFont="1" applyBorder="1" applyAlignment="1">
      <alignment horizontal="left" vertical="center" wrapText="1"/>
    </xf>
    <xf numFmtId="0" fontId="28" fillId="5" borderId="5"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8" fillId="2" borderId="21" xfId="0" applyFont="1" applyFill="1" applyBorder="1" applyAlignment="1">
      <alignment horizontal="center" vertical="center" wrapText="1"/>
    </xf>
    <xf numFmtId="0" fontId="28" fillId="2" borderId="41" xfId="0" applyFont="1" applyFill="1" applyBorder="1" applyAlignment="1">
      <alignment horizontal="center" vertical="center" wrapText="1"/>
    </xf>
    <xf numFmtId="0" fontId="30" fillId="4" borderId="21" xfId="4" applyFont="1" applyFill="1" applyBorder="1" applyAlignment="1">
      <alignment horizontal="center" vertical="center" wrapText="1"/>
    </xf>
    <xf numFmtId="0" fontId="0" fillId="0" borderId="21" xfId="0" applyBorder="1" applyAlignment="1">
      <alignment horizontal="left" vertical="center" wrapText="1"/>
    </xf>
    <xf numFmtId="0" fontId="27" fillId="0" borderId="21" xfId="0" applyFont="1" applyBorder="1" applyAlignment="1">
      <alignment horizontal="left" vertical="center" wrapText="1"/>
    </xf>
    <xf numFmtId="0" fontId="58" fillId="0" borderId="5" xfId="0" applyFont="1" applyBorder="1" applyAlignment="1">
      <alignment horizontal="justify" vertical="center" wrapText="1"/>
    </xf>
    <xf numFmtId="0" fontId="58" fillId="0" borderId="6" xfId="0" applyFont="1" applyBorder="1" applyAlignment="1">
      <alignment horizontal="justify" vertical="center" wrapText="1"/>
    </xf>
    <xf numFmtId="0" fontId="58" fillId="0" borderId="8" xfId="0" applyFont="1" applyBorder="1" applyAlignment="1">
      <alignment horizontal="justify" vertical="center" wrapText="1"/>
    </xf>
    <xf numFmtId="0" fontId="28" fillId="4" borderId="41" xfId="0" applyFont="1" applyFill="1" applyBorder="1" applyAlignment="1">
      <alignment horizontal="center" vertical="center" wrapText="1"/>
    </xf>
    <xf numFmtId="0" fontId="79" fillId="2" borderId="25" xfId="0" applyFont="1" applyFill="1" applyBorder="1" applyAlignment="1">
      <alignment horizontal="center" vertical="center"/>
    </xf>
    <xf numFmtId="0" fontId="79" fillId="2" borderId="2" xfId="0" applyFont="1" applyFill="1" applyBorder="1" applyAlignment="1">
      <alignment horizontal="center" vertical="center"/>
    </xf>
    <xf numFmtId="0" fontId="79" fillId="2" borderId="26" xfId="0" applyFont="1" applyFill="1" applyBorder="1" applyAlignment="1">
      <alignment horizontal="center" vertical="center" wrapText="1"/>
    </xf>
    <xf numFmtId="0" fontId="79" fillId="2" borderId="0" xfId="0" applyFont="1" applyFill="1" applyAlignment="1">
      <alignment horizontal="center" vertical="center" wrapText="1"/>
    </xf>
    <xf numFmtId="0" fontId="59" fillId="2" borderId="0" xfId="0" applyFont="1" applyFill="1" applyAlignment="1">
      <alignment vertical="center" wrapText="1"/>
    </xf>
    <xf numFmtId="0" fontId="29" fillId="0" borderId="0" xfId="4" applyFont="1" applyAlignment="1">
      <alignment horizontal="left" wrapText="1"/>
    </xf>
    <xf numFmtId="0" fontId="59" fillId="39" borderId="38" xfId="0" applyFont="1" applyFill="1" applyBorder="1" applyAlignment="1">
      <alignment horizontal="center" vertical="center" wrapText="1"/>
    </xf>
    <xf numFmtId="0" fontId="59" fillId="39" borderId="39" xfId="0" applyFont="1" applyFill="1" applyBorder="1" applyAlignment="1">
      <alignment horizontal="center" vertical="center" wrapText="1"/>
    </xf>
    <xf numFmtId="0" fontId="59" fillId="39" borderId="40" xfId="0" applyFont="1" applyFill="1" applyBorder="1" applyAlignment="1">
      <alignment horizontal="center" vertical="center" wrapText="1"/>
    </xf>
    <xf numFmtId="0" fontId="29" fillId="0" borderId="2" xfId="4" applyFont="1" applyBorder="1" applyAlignment="1">
      <alignment horizontal="left" vertical="center"/>
    </xf>
    <xf numFmtId="0" fontId="58" fillId="0" borderId="38" xfId="0" applyFont="1" applyBorder="1" applyAlignment="1">
      <alignment horizontal="left" vertical="center" wrapText="1"/>
    </xf>
    <xf numFmtId="0" fontId="58" fillId="0" borderId="39" xfId="0" applyFont="1" applyBorder="1" applyAlignment="1">
      <alignment horizontal="left" vertical="center" wrapText="1"/>
    </xf>
    <xf numFmtId="0" fontId="58" fillId="0" borderId="40" xfId="0" applyFont="1" applyBorder="1" applyAlignment="1">
      <alignment horizontal="left" vertical="center" wrapText="1"/>
    </xf>
    <xf numFmtId="0" fontId="28" fillId="4" borderId="38" xfId="0" applyFont="1" applyFill="1" applyBorder="1" applyAlignment="1">
      <alignment horizontal="center" vertical="center" wrapText="1"/>
    </xf>
    <xf numFmtId="0" fontId="28" fillId="4" borderId="39" xfId="0" applyFont="1" applyFill="1" applyBorder="1" applyAlignment="1">
      <alignment horizontal="center" vertical="center" wrapText="1"/>
    </xf>
    <xf numFmtId="0" fontId="28" fillId="4" borderId="40" xfId="0" applyFont="1" applyFill="1" applyBorder="1" applyAlignment="1">
      <alignment horizontal="center" vertical="center" wrapText="1"/>
    </xf>
    <xf numFmtId="0" fontId="59" fillId="40" borderId="41" xfId="0" applyFont="1" applyFill="1" applyBorder="1" applyAlignment="1">
      <alignment horizontal="center" vertical="center" textRotation="90" wrapText="1"/>
    </xf>
    <xf numFmtId="0" fontId="59" fillId="40" borderId="42" xfId="0" applyFont="1" applyFill="1" applyBorder="1" applyAlignment="1">
      <alignment horizontal="center" vertical="center" textRotation="90" wrapText="1"/>
    </xf>
    <xf numFmtId="0" fontId="59" fillId="40" borderId="43" xfId="0" applyFont="1" applyFill="1" applyBorder="1" applyAlignment="1">
      <alignment horizontal="center" vertical="center" textRotation="90" wrapText="1"/>
    </xf>
    <xf numFmtId="179" fontId="32" fillId="4" borderId="41" xfId="0" applyNumberFormat="1" applyFont="1" applyFill="1" applyBorder="1" applyAlignment="1">
      <alignment horizontal="center" vertical="center" wrapText="1"/>
    </xf>
    <xf numFmtId="179" fontId="32" fillId="4" borderId="43" xfId="0" applyNumberFormat="1" applyFont="1" applyFill="1" applyBorder="1" applyAlignment="1">
      <alignment horizontal="center" vertical="center" wrapText="1"/>
    </xf>
    <xf numFmtId="0" fontId="28" fillId="2" borderId="44" xfId="0" applyFont="1" applyFill="1" applyBorder="1" applyAlignment="1">
      <alignment horizontal="center" vertical="center" wrapText="1"/>
    </xf>
    <xf numFmtId="0" fontId="28" fillId="2" borderId="45" xfId="0" applyFont="1" applyFill="1" applyBorder="1" applyAlignment="1">
      <alignment horizontal="center" vertical="center" wrapText="1"/>
    </xf>
    <xf numFmtId="0" fontId="28" fillId="2" borderId="46" xfId="0" applyFont="1" applyFill="1" applyBorder="1" applyAlignment="1">
      <alignment horizontal="center" vertical="center" wrapText="1"/>
    </xf>
    <xf numFmtId="3" fontId="28" fillId="38" borderId="46" xfId="168" applyNumberFormat="1" applyFont="1" applyFill="1" applyBorder="1" applyAlignment="1">
      <alignment horizontal="center" vertical="center" wrapText="1"/>
    </xf>
    <xf numFmtId="3" fontId="28" fillId="38" borderId="47" xfId="168" applyNumberFormat="1" applyFont="1" applyFill="1" applyBorder="1" applyAlignment="1">
      <alignment horizontal="center" vertical="center" wrapText="1"/>
    </xf>
    <xf numFmtId="0" fontId="83" fillId="48" borderId="61" xfId="367" applyFont="1" applyFill="1" applyBorder="1" applyAlignment="1">
      <alignment horizontal="center" vertical="center" wrapText="1"/>
    </xf>
    <xf numFmtId="0" fontId="132" fillId="0" borderId="63" xfId="367" applyFont="1" applyBorder="1"/>
    <xf numFmtId="0" fontId="132" fillId="0" borderId="64" xfId="367" applyFont="1" applyBorder="1"/>
    <xf numFmtId="183" fontId="84" fillId="0" borderId="0" xfId="367" applyNumberFormat="1" applyFont="1" applyAlignment="1">
      <alignment horizontal="center" wrapText="1"/>
    </xf>
    <xf numFmtId="0" fontId="131" fillId="0" borderId="0" xfId="367"/>
    <xf numFmtId="183" fontId="83" fillId="55" borderId="23" xfId="367" applyNumberFormat="1" applyFont="1" applyFill="1" applyBorder="1" applyAlignment="1">
      <alignment horizontal="center" vertical="center" wrapText="1"/>
    </xf>
    <xf numFmtId="0" fontId="132" fillId="0" borderId="70" xfId="367" applyFont="1" applyBorder="1"/>
    <xf numFmtId="183" fontId="83" fillId="54" borderId="23" xfId="367" applyNumberFormat="1" applyFont="1" applyFill="1" applyBorder="1" applyAlignment="1">
      <alignment horizontal="center" vertical="center" wrapText="1"/>
    </xf>
    <xf numFmtId="0" fontId="83" fillId="0" borderId="0" xfId="367" applyFont="1" applyAlignment="1">
      <alignment horizontal="center" vertical="center" wrapText="1"/>
    </xf>
    <xf numFmtId="0" fontId="132" fillId="0" borderId="52" xfId="367" applyFont="1" applyBorder="1"/>
    <xf numFmtId="0" fontId="132" fillId="0" borderId="24" xfId="367" applyFont="1" applyBorder="1"/>
    <xf numFmtId="0" fontId="132" fillId="0" borderId="72" xfId="367" applyFont="1" applyBorder="1"/>
    <xf numFmtId="0" fontId="85" fillId="48" borderId="0" xfId="367" applyFont="1" applyFill="1" applyAlignment="1">
      <alignment wrapText="1"/>
    </xf>
    <xf numFmtId="0" fontId="132" fillId="0" borderId="0" xfId="367" applyFont="1"/>
    <xf numFmtId="0" fontId="83" fillId="55" borderId="23" xfId="367" applyFont="1" applyFill="1" applyBorder="1" applyAlignment="1">
      <alignment horizontal="center" vertical="center" wrapText="1"/>
    </xf>
    <xf numFmtId="183" fontId="83" fillId="56" borderId="23" xfId="367" applyNumberFormat="1" applyFont="1" applyFill="1" applyBorder="1" applyAlignment="1">
      <alignment horizontal="center" vertical="center" wrapText="1"/>
    </xf>
    <xf numFmtId="181" fontId="83" fillId="55" borderId="23" xfId="367" applyNumberFormat="1" applyFont="1" applyFill="1" applyBorder="1" applyAlignment="1">
      <alignment wrapText="1"/>
    </xf>
    <xf numFmtId="0" fontId="58" fillId="2" borderId="5" xfId="0" applyFont="1" applyFill="1" applyBorder="1" applyAlignment="1">
      <alignment horizontal="left" vertical="center" wrapText="1"/>
    </xf>
    <xf numFmtId="0" fontId="58" fillId="2" borderId="6" xfId="0" applyFont="1" applyFill="1" applyBorder="1" applyAlignment="1">
      <alignment horizontal="left" vertical="center" wrapText="1"/>
    </xf>
    <xf numFmtId="0" fontId="58" fillId="2" borderId="8" xfId="0" applyFont="1" applyFill="1" applyBorder="1" applyAlignment="1">
      <alignment horizontal="left" vertical="center" wrapText="1"/>
    </xf>
    <xf numFmtId="171" fontId="30" fillId="34" borderId="5" xfId="1" applyNumberFormat="1" applyFont="1" applyFill="1" applyBorder="1" applyAlignment="1">
      <alignment horizontal="center" vertical="center" wrapText="1"/>
    </xf>
    <xf numFmtId="171" fontId="30" fillId="34" borderId="6" xfId="1" applyNumberFormat="1" applyFont="1" applyFill="1" applyBorder="1" applyAlignment="1">
      <alignment horizontal="center" vertical="center" wrapText="1"/>
    </xf>
    <xf numFmtId="171" fontId="30" fillId="34" borderId="8" xfId="1" applyNumberFormat="1" applyFont="1" applyFill="1" applyBorder="1" applyAlignment="1">
      <alignment horizontal="center" vertical="center" wrapText="1"/>
    </xf>
    <xf numFmtId="171" fontId="30" fillId="4" borderId="5" xfId="1" applyNumberFormat="1" applyFont="1" applyFill="1" applyBorder="1" applyAlignment="1">
      <alignment horizontal="center" vertical="center" wrapText="1"/>
    </xf>
    <xf numFmtId="171" fontId="30" fillId="4" borderId="6" xfId="1" applyNumberFormat="1" applyFont="1" applyFill="1" applyBorder="1" applyAlignment="1">
      <alignment horizontal="center" vertical="center" wrapText="1"/>
    </xf>
    <xf numFmtId="171" fontId="30" fillId="4" borderId="8" xfId="1" applyNumberFormat="1" applyFont="1" applyFill="1" applyBorder="1" applyAlignment="1">
      <alignment horizontal="center" vertical="center" wrapText="1"/>
    </xf>
    <xf numFmtId="0" fontId="58" fillId="0" borderId="21" xfId="0" applyFont="1" applyBorder="1" applyAlignment="1">
      <alignment horizontal="left" vertical="center" wrapText="1"/>
    </xf>
    <xf numFmtId="2" fontId="67" fillId="31" borderId="1" xfId="381" applyNumberFormat="1" applyFont="1" applyFill="1" applyBorder="1" applyAlignment="1">
      <alignment horizontal="left" vertical="center" wrapText="1"/>
    </xf>
    <xf numFmtId="3" fontId="29" fillId="0" borderId="5" xfId="4" applyNumberFormat="1" applyFont="1" applyBorder="1" applyAlignment="1">
      <alignment horizontal="left" vertical="center" wrapText="1"/>
    </xf>
    <xf numFmtId="3" fontId="29" fillId="0" borderId="6" xfId="4" applyNumberFormat="1" applyFont="1" applyBorder="1" applyAlignment="1">
      <alignment horizontal="left" vertical="center" wrapText="1"/>
    </xf>
    <xf numFmtId="3" fontId="29" fillId="0" borderId="8" xfId="4" applyNumberFormat="1" applyFont="1" applyBorder="1" applyAlignment="1">
      <alignment horizontal="left" vertical="center" wrapText="1"/>
    </xf>
    <xf numFmtId="0" fontId="0" fillId="2" borderId="5" xfId="0" applyFill="1" applyBorder="1" applyAlignment="1">
      <alignment horizontal="left" vertical="center" wrapText="1"/>
    </xf>
    <xf numFmtId="0" fontId="0" fillId="2" borderId="6" xfId="0" applyFill="1" applyBorder="1" applyAlignment="1">
      <alignment horizontal="left" vertical="center" wrapText="1"/>
    </xf>
    <xf numFmtId="0" fontId="0" fillId="2" borderId="8" xfId="0" applyFill="1" applyBorder="1" applyAlignment="1">
      <alignment horizontal="left" vertical="center" wrapText="1"/>
    </xf>
    <xf numFmtId="3" fontId="30" fillId="6" borderId="1" xfId="4" applyNumberFormat="1" applyFont="1" applyFill="1" applyBorder="1" applyAlignment="1">
      <alignment horizontal="center" vertical="center" wrapText="1"/>
    </xf>
    <xf numFmtId="0" fontId="30" fillId="4" borderId="1" xfId="5" applyFont="1" applyFill="1" applyBorder="1" applyAlignment="1">
      <alignment horizontal="center" vertical="center" wrapText="1"/>
    </xf>
    <xf numFmtId="2" fontId="67" fillId="31" borderId="5" xfId="381" applyNumberFormat="1" applyFont="1" applyFill="1" applyBorder="1" applyAlignment="1">
      <alignment horizontal="center" vertical="center" wrapText="1"/>
    </xf>
    <xf numFmtId="2" fontId="67" fillId="31" borderId="6" xfId="381" applyNumberFormat="1" applyFont="1" applyFill="1" applyBorder="1" applyAlignment="1">
      <alignment horizontal="center" vertical="center" wrapText="1"/>
    </xf>
    <xf numFmtId="2" fontId="67" fillId="31" borderId="8" xfId="381" applyNumberFormat="1" applyFont="1" applyFill="1" applyBorder="1" applyAlignment="1">
      <alignment horizontal="center" vertical="center" wrapText="1"/>
    </xf>
    <xf numFmtId="3" fontId="30" fillId="6" borderId="25" xfId="4" applyNumberFormat="1" applyFont="1" applyFill="1" applyBorder="1" applyAlignment="1">
      <alignment horizontal="center" vertical="center" wrapText="1"/>
    </xf>
    <xf numFmtId="3" fontId="30" fillId="6" borderId="2" xfId="4" applyNumberFormat="1" applyFont="1" applyFill="1" applyBorder="1" applyAlignment="1">
      <alignment horizontal="center" vertical="center" wrapText="1"/>
    </xf>
    <xf numFmtId="3" fontId="30" fillId="6" borderId="3" xfId="4" applyNumberFormat="1" applyFont="1" applyFill="1" applyBorder="1" applyAlignment="1">
      <alignment horizontal="center" vertical="center" wrapText="1"/>
    </xf>
    <xf numFmtId="3" fontId="30" fillId="6" borderId="19" xfId="4" applyNumberFormat="1" applyFont="1" applyFill="1" applyBorder="1" applyAlignment="1">
      <alignment horizontal="center" vertical="center" wrapText="1"/>
    </xf>
    <xf numFmtId="3" fontId="30" fillId="6" borderId="7" xfId="4" applyNumberFormat="1" applyFont="1" applyFill="1" applyBorder="1" applyAlignment="1">
      <alignment horizontal="center" vertical="center" wrapText="1"/>
    </xf>
    <xf numFmtId="3" fontId="30" fillId="6" borderId="20" xfId="4" applyNumberFormat="1" applyFont="1" applyFill="1" applyBorder="1" applyAlignment="1">
      <alignment horizontal="center" vertical="center" wrapText="1"/>
    </xf>
    <xf numFmtId="0" fontId="59" fillId="40" borderId="21" xfId="0" applyFont="1" applyFill="1" applyBorder="1" applyAlignment="1">
      <alignment horizontal="center" vertical="center" textRotation="90" wrapText="1"/>
    </xf>
    <xf numFmtId="3" fontId="28" fillId="38" borderId="21" xfId="168" applyNumberFormat="1" applyFont="1" applyFill="1" applyBorder="1" applyAlignment="1">
      <alignment horizontal="center" vertical="center" wrapText="1"/>
    </xf>
    <xf numFmtId="0" fontId="35" fillId="2" borderId="21" xfId="0" applyFont="1" applyFill="1" applyBorder="1" applyAlignment="1">
      <alignment horizontal="center" vertical="center" wrapText="1"/>
    </xf>
    <xf numFmtId="0" fontId="59" fillId="39" borderId="21" xfId="0" applyFont="1" applyFill="1" applyBorder="1" applyAlignment="1">
      <alignment horizontal="center" vertical="center" wrapText="1"/>
    </xf>
    <xf numFmtId="179" fontId="32" fillId="4" borderId="21" xfId="0" applyNumberFormat="1" applyFont="1" applyFill="1" applyBorder="1" applyAlignment="1">
      <alignment horizontal="center" vertical="center" wrapText="1"/>
    </xf>
    <xf numFmtId="0" fontId="58" fillId="2" borderId="5" xfId="0" applyFont="1" applyFill="1" applyBorder="1" applyAlignment="1">
      <alignment horizontal="center" vertical="center" wrapText="1"/>
    </xf>
    <xf numFmtId="0" fontId="58" fillId="2" borderId="6" xfId="0" applyFont="1" applyFill="1" applyBorder="1" applyAlignment="1">
      <alignment horizontal="center" vertical="center" wrapText="1"/>
    </xf>
    <xf numFmtId="0" fontId="58" fillId="2" borderId="8" xfId="0" applyFont="1" applyFill="1" applyBorder="1" applyAlignment="1">
      <alignment horizontal="center" vertical="center" wrapText="1"/>
    </xf>
    <xf numFmtId="0" fontId="30" fillId="4" borderId="18" xfId="4" applyFont="1" applyFill="1" applyBorder="1" applyAlignment="1">
      <alignment horizontal="center" vertical="center" wrapText="1"/>
    </xf>
    <xf numFmtId="0" fontId="30" fillId="4" borderId="4" xfId="4" applyFont="1" applyFill="1" applyBorder="1" applyAlignment="1">
      <alignment horizontal="center" vertical="center" wrapText="1"/>
    </xf>
    <xf numFmtId="0" fontId="147" fillId="0" borderId="0" xfId="175" applyFont="1" applyAlignment="1">
      <alignment horizontal="center" vertical="top"/>
    </xf>
    <xf numFmtId="0" fontId="28" fillId="29" borderId="85" xfId="0" applyFont="1" applyFill="1" applyBorder="1" applyAlignment="1">
      <alignment horizontal="center" vertical="center"/>
    </xf>
    <xf numFmtId="0" fontId="28" fillId="29" borderId="86" xfId="0" applyFont="1" applyFill="1" applyBorder="1" applyAlignment="1">
      <alignment horizontal="center" vertical="center"/>
    </xf>
    <xf numFmtId="0" fontId="28" fillId="29" borderId="87" xfId="0" applyFont="1" applyFill="1" applyBorder="1" applyAlignment="1">
      <alignment horizontal="center" vertical="center"/>
    </xf>
    <xf numFmtId="0" fontId="59" fillId="37" borderId="6" xfId="87" applyFont="1" applyFill="1" applyBorder="1" applyAlignment="1">
      <alignment horizontal="left" vertical="center" wrapText="1"/>
    </xf>
    <xf numFmtId="0" fontId="59" fillId="37" borderId="8" xfId="87" applyFont="1" applyFill="1" applyBorder="1" applyAlignment="1">
      <alignment horizontal="left" vertical="center" wrapText="1"/>
    </xf>
    <xf numFmtId="0" fontId="30" fillId="4" borderId="18" xfId="5" applyFont="1" applyFill="1" applyBorder="1" applyAlignment="1">
      <alignment horizontal="center" vertical="center" wrapText="1"/>
    </xf>
    <xf numFmtId="0" fontId="30" fillId="4" borderId="4" xfId="5" applyFont="1" applyFill="1" applyBorder="1" applyAlignment="1">
      <alignment horizontal="center" vertical="center" wrapText="1"/>
    </xf>
    <xf numFmtId="0" fontId="28" fillId="2" borderId="83" xfId="0" applyFont="1" applyFill="1" applyBorder="1" applyAlignment="1">
      <alignment horizontal="center" vertical="center"/>
    </xf>
    <xf numFmtId="0" fontId="28" fillId="2" borderId="0" xfId="0" applyFont="1" applyFill="1" applyAlignment="1">
      <alignment horizontal="center" vertical="center"/>
    </xf>
    <xf numFmtId="0" fontId="28" fillId="2" borderId="84" xfId="0" applyFont="1" applyFill="1" applyBorder="1" applyAlignment="1">
      <alignment horizontal="center" vertical="center"/>
    </xf>
    <xf numFmtId="0" fontId="28" fillId="2" borderId="83"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84" xfId="0" applyFont="1" applyFill="1" applyBorder="1" applyAlignment="1">
      <alignment horizontal="center" vertical="center" wrapText="1"/>
    </xf>
    <xf numFmtId="0" fontId="61" fillId="29" borderId="0" xfId="4" applyFont="1" applyFill="1" applyAlignment="1">
      <alignment horizontal="center" vertical="center"/>
    </xf>
    <xf numFmtId="0" fontId="61" fillId="29" borderId="31" xfId="4" applyFont="1" applyFill="1" applyBorder="1" applyAlignment="1">
      <alignment horizontal="center" vertical="center"/>
    </xf>
    <xf numFmtId="0" fontId="139" fillId="30" borderId="24" xfId="0" applyFont="1" applyFill="1" applyBorder="1" applyAlignment="1">
      <alignment horizontal="center" vertical="center" wrapText="1"/>
    </xf>
    <xf numFmtId="0" fontId="28" fillId="30" borderId="24" xfId="0" applyFont="1" applyFill="1" applyBorder="1" applyAlignment="1">
      <alignment horizontal="center" vertical="center"/>
    </xf>
    <xf numFmtId="0" fontId="140" fillId="60" borderId="23" xfId="0" applyFont="1" applyFill="1" applyBorder="1" applyAlignment="1">
      <alignment horizontal="center" vertical="center" wrapText="1"/>
    </xf>
    <xf numFmtId="0" fontId="140" fillId="60" borderId="53" xfId="0" applyFont="1" applyFill="1" applyBorder="1" applyAlignment="1">
      <alignment horizontal="center" vertical="center" wrapText="1"/>
    </xf>
    <xf numFmtId="0" fontId="126" fillId="0" borderId="49" xfId="363" applyFont="1" applyBorder="1" applyAlignment="1">
      <alignment horizontal="center" vertical="center"/>
    </xf>
    <xf numFmtId="0" fontId="115" fillId="0" borderId="50" xfId="363" applyFont="1" applyBorder="1" applyAlignment="1">
      <alignment vertical="center"/>
    </xf>
    <xf numFmtId="0" fontId="115" fillId="0" borderId="51" xfId="363" applyFont="1" applyBorder="1" applyAlignment="1">
      <alignment vertical="center"/>
    </xf>
    <xf numFmtId="17" fontId="126" fillId="0" borderId="49" xfId="363" applyNumberFormat="1" applyFont="1" applyBorder="1" applyAlignment="1">
      <alignment horizontal="center" vertical="center"/>
    </xf>
    <xf numFmtId="0" fontId="91" fillId="0" borderId="21" xfId="364" applyFont="1" applyBorder="1" applyAlignment="1">
      <alignment horizontal="left" vertical="center" wrapText="1"/>
    </xf>
    <xf numFmtId="0" fontId="98" fillId="41" borderId="38" xfId="364" applyFont="1" applyFill="1" applyBorder="1" applyAlignment="1">
      <alignment horizontal="center" vertical="center" wrapText="1"/>
    </xf>
    <xf numFmtId="0" fontId="98" fillId="41" borderId="39" xfId="364" applyFont="1" applyFill="1" applyBorder="1" applyAlignment="1">
      <alignment horizontal="center" vertical="center" wrapText="1"/>
    </xf>
    <xf numFmtId="0" fontId="98" fillId="41" borderId="40" xfId="364" applyFont="1" applyFill="1" applyBorder="1" applyAlignment="1">
      <alignment horizontal="center" vertical="center" wrapText="1"/>
    </xf>
    <xf numFmtId="0" fontId="68" fillId="0" borderId="0" xfId="4" applyFont="1" applyAlignment="1">
      <alignment horizontal="left"/>
    </xf>
    <xf numFmtId="3" fontId="90" fillId="0" borderId="21" xfId="221" applyNumberFormat="1" applyFont="1" applyFill="1" applyBorder="1" applyAlignment="1">
      <alignment horizontal="center" vertical="center" wrapText="1"/>
    </xf>
    <xf numFmtId="0" fontId="90" fillId="4" borderId="21" xfId="4" applyFont="1" applyFill="1" applyBorder="1" applyAlignment="1">
      <alignment horizontal="center" vertical="center" wrapText="1"/>
    </xf>
    <xf numFmtId="0" fontId="91" fillId="2" borderId="0" xfId="364" applyFont="1" applyFill="1" applyAlignment="1">
      <alignment vertical="center" wrapText="1"/>
    </xf>
    <xf numFmtId="0" fontId="90" fillId="41" borderId="5" xfId="5" applyFont="1" applyFill="1" applyBorder="1" applyAlignment="1">
      <alignment horizontal="center" vertical="center" wrapText="1"/>
    </xf>
    <xf numFmtId="0" fontId="90" fillId="41" borderId="6" xfId="5" applyFont="1" applyFill="1" applyBorder="1" applyAlignment="1">
      <alignment horizontal="center" vertical="center" wrapText="1"/>
    </xf>
    <xf numFmtId="0" fontId="90" fillId="41" borderId="8" xfId="5" applyFont="1" applyFill="1" applyBorder="1" applyAlignment="1">
      <alignment horizontal="center" vertical="center" wrapText="1"/>
    </xf>
    <xf numFmtId="3" fontId="91" fillId="0" borderId="5" xfId="4" applyNumberFormat="1" applyFont="1" applyBorder="1" applyAlignment="1">
      <alignment horizontal="center" vertical="center" wrapText="1"/>
    </xf>
    <xf numFmtId="3" fontId="91" fillId="0" borderId="6" xfId="4" applyNumberFormat="1" applyFont="1" applyBorder="1" applyAlignment="1">
      <alignment horizontal="center" vertical="center" wrapText="1"/>
    </xf>
    <xf numFmtId="3" fontId="91" fillId="0" borderId="8" xfId="4" applyNumberFormat="1" applyFont="1" applyBorder="1" applyAlignment="1">
      <alignment horizontal="center" vertical="center" wrapText="1"/>
    </xf>
    <xf numFmtId="2" fontId="97" fillId="45" borderId="1" xfId="366" applyNumberFormat="1" applyFont="1" applyFill="1" applyBorder="1" applyAlignment="1">
      <alignment horizontal="left" vertical="center" wrapText="1"/>
    </xf>
    <xf numFmtId="3" fontId="93" fillId="0" borderId="5" xfId="4" applyNumberFormat="1" applyFont="1" applyBorder="1" applyAlignment="1">
      <alignment horizontal="center" vertical="center" wrapText="1"/>
    </xf>
    <xf numFmtId="3" fontId="93" fillId="0" borderId="6" xfId="4" applyNumberFormat="1" applyFont="1" applyBorder="1" applyAlignment="1">
      <alignment horizontal="center" vertical="center" wrapText="1"/>
    </xf>
    <xf numFmtId="3" fontId="93" fillId="0" borderId="8" xfId="4" applyNumberFormat="1" applyFont="1" applyBorder="1" applyAlignment="1">
      <alignment horizontal="center" vertical="center" wrapText="1"/>
    </xf>
    <xf numFmtId="171" fontId="90" fillId="46" borderId="5" xfId="1" applyNumberFormat="1" applyFont="1" applyFill="1" applyBorder="1" applyAlignment="1">
      <alignment horizontal="center" vertical="center" wrapText="1"/>
    </xf>
    <xf numFmtId="171" fontId="90" fillId="46" borderId="6" xfId="1" applyNumberFormat="1" applyFont="1" applyFill="1" applyBorder="1" applyAlignment="1">
      <alignment horizontal="center" vertical="center" wrapText="1"/>
    </xf>
    <xf numFmtId="171" fontId="90" fillId="46" borderId="8" xfId="1" applyNumberFormat="1" applyFont="1" applyFill="1" applyBorder="1" applyAlignment="1">
      <alignment horizontal="center" vertical="center" wrapText="1"/>
    </xf>
    <xf numFmtId="171" fontId="90" fillId="4" borderId="5" xfId="1" applyNumberFormat="1" applyFont="1" applyFill="1" applyBorder="1" applyAlignment="1">
      <alignment horizontal="center" vertical="center" wrapText="1"/>
    </xf>
    <xf numFmtId="171" fontId="90" fillId="4" borderId="6" xfId="1" applyNumberFormat="1" applyFont="1" applyFill="1" applyBorder="1" applyAlignment="1">
      <alignment horizontal="center" vertical="center" wrapText="1"/>
    </xf>
    <xf numFmtId="171" fontId="90" fillId="4" borderId="8" xfId="1" applyNumberFormat="1" applyFont="1" applyFill="1" applyBorder="1" applyAlignment="1">
      <alignment horizontal="center" vertical="center" wrapText="1"/>
    </xf>
    <xf numFmtId="0" fontId="90" fillId="4" borderId="1" xfId="5" applyFont="1" applyFill="1" applyBorder="1" applyAlignment="1">
      <alignment horizontal="center" vertical="center" wrapText="1"/>
    </xf>
    <xf numFmtId="0" fontId="91" fillId="0" borderId="5" xfId="364" applyFont="1" applyBorder="1" applyAlignment="1">
      <alignment horizontal="center" vertical="center" wrapText="1"/>
    </xf>
    <xf numFmtId="0" fontId="91" fillId="0" borderId="6" xfId="364" applyFont="1" applyBorder="1" applyAlignment="1">
      <alignment horizontal="center" vertical="center" wrapText="1"/>
    </xf>
    <xf numFmtId="0" fontId="91" fillId="0" borderId="8" xfId="364" applyFont="1" applyBorder="1" applyAlignment="1">
      <alignment horizontal="center" vertical="center" wrapText="1"/>
    </xf>
    <xf numFmtId="0" fontId="90" fillId="4" borderId="18" xfId="5" applyFont="1" applyFill="1" applyBorder="1" applyAlignment="1">
      <alignment horizontal="center" vertical="center" wrapText="1"/>
    </xf>
    <xf numFmtId="0" fontId="90" fillId="4" borderId="4" xfId="5" applyFont="1" applyFill="1" applyBorder="1" applyAlignment="1">
      <alignment horizontal="center" vertical="center" wrapText="1"/>
    </xf>
    <xf numFmtId="3" fontId="90" fillId="6" borderId="1" xfId="4" applyNumberFormat="1" applyFont="1" applyFill="1" applyBorder="1" applyAlignment="1">
      <alignment horizontal="center" vertical="center" wrapText="1"/>
    </xf>
    <xf numFmtId="0" fontId="90" fillId="4" borderId="18" xfId="4" applyFont="1" applyFill="1" applyBorder="1" applyAlignment="1">
      <alignment horizontal="center" vertical="center" wrapText="1"/>
    </xf>
    <xf numFmtId="0" fontId="90" fillId="4" borderId="4" xfId="4" applyFont="1" applyFill="1" applyBorder="1" applyAlignment="1">
      <alignment horizontal="center" vertical="center" wrapText="1"/>
    </xf>
    <xf numFmtId="0" fontId="92" fillId="37" borderId="5" xfId="87" applyFont="1" applyFill="1" applyBorder="1" applyAlignment="1">
      <alignment horizontal="left" vertical="center" wrapText="1"/>
    </xf>
    <xf numFmtId="0" fontId="92" fillId="37" borderId="6" xfId="87" applyFont="1" applyFill="1" applyBorder="1" applyAlignment="1">
      <alignment horizontal="left" vertical="center" wrapText="1"/>
    </xf>
    <xf numFmtId="0" fontId="92" fillId="37" borderId="8" xfId="87" applyFont="1" applyFill="1" applyBorder="1" applyAlignment="1">
      <alignment horizontal="left" vertical="center" wrapText="1"/>
    </xf>
    <xf numFmtId="3" fontId="90" fillId="6" borderId="25" xfId="4" applyNumberFormat="1" applyFont="1" applyFill="1" applyBorder="1" applyAlignment="1">
      <alignment horizontal="center" vertical="center" wrapText="1"/>
    </xf>
    <xf numFmtId="3" fontId="90" fillId="6" borderId="2" xfId="4" applyNumberFormat="1" applyFont="1" applyFill="1" applyBorder="1" applyAlignment="1">
      <alignment horizontal="center" vertical="center" wrapText="1"/>
    </xf>
    <xf numFmtId="3" fontId="90" fillId="6" borderId="3" xfId="4" applyNumberFormat="1" applyFont="1" applyFill="1" applyBorder="1" applyAlignment="1">
      <alignment horizontal="center" vertical="center" wrapText="1"/>
    </xf>
    <xf numFmtId="3" fontId="90" fillId="6" borderId="19" xfId="4" applyNumberFormat="1" applyFont="1" applyFill="1" applyBorder="1" applyAlignment="1">
      <alignment horizontal="center" vertical="center" wrapText="1"/>
    </xf>
    <xf numFmtId="3" fontId="90" fillId="6" borderId="7" xfId="4" applyNumberFormat="1" applyFont="1" applyFill="1" applyBorder="1" applyAlignment="1">
      <alignment horizontal="center" vertical="center" wrapText="1"/>
    </xf>
    <xf numFmtId="3" fontId="90" fillId="6" borderId="20" xfId="4" applyNumberFormat="1" applyFont="1" applyFill="1" applyBorder="1" applyAlignment="1">
      <alignment horizontal="center" vertical="center" wrapText="1"/>
    </xf>
    <xf numFmtId="0" fontId="90" fillId="2" borderId="25" xfId="364" applyFont="1" applyFill="1" applyBorder="1" applyAlignment="1">
      <alignment horizontal="left" vertical="center"/>
    </xf>
    <xf numFmtId="0" fontId="90" fillId="2" borderId="2" xfId="364" applyFont="1" applyFill="1" applyBorder="1" applyAlignment="1">
      <alignment horizontal="left" vertical="center"/>
    </xf>
    <xf numFmtId="0" fontId="90" fillId="2" borderId="3" xfId="364" applyFont="1" applyFill="1" applyBorder="1" applyAlignment="1">
      <alignment horizontal="left" vertical="center"/>
    </xf>
    <xf numFmtId="0" fontId="90" fillId="2" borderId="26" xfId="364" applyFont="1" applyFill="1" applyBorder="1" applyAlignment="1">
      <alignment horizontal="left" vertical="center"/>
    </xf>
    <xf numFmtId="0" fontId="90" fillId="2" borderId="0" xfId="364" applyFont="1" applyFill="1" applyAlignment="1">
      <alignment horizontal="left" vertical="center"/>
    </xf>
    <xf numFmtId="0" fontId="90" fillId="2" borderId="27" xfId="364" applyFont="1" applyFill="1" applyBorder="1" applyAlignment="1">
      <alignment horizontal="left" vertical="center"/>
    </xf>
    <xf numFmtId="0" fontId="30" fillId="29" borderId="19" xfId="364" applyFont="1" applyFill="1" applyBorder="1" applyAlignment="1">
      <alignment horizontal="left" vertical="center"/>
    </xf>
    <xf numFmtId="0" fontId="30" fillId="29" borderId="7" xfId="364" applyFont="1" applyFill="1" applyBorder="1" applyAlignment="1">
      <alignment horizontal="left" vertical="center"/>
    </xf>
    <xf numFmtId="0" fontId="30" fillId="29" borderId="20" xfId="364" applyFont="1" applyFill="1" applyBorder="1" applyAlignment="1">
      <alignment horizontal="left" vertical="center"/>
    </xf>
    <xf numFmtId="181" fontId="83" fillId="35" borderId="33" xfId="187" applyNumberFormat="1" applyFont="1" applyFill="1" applyBorder="1" applyAlignment="1">
      <alignment horizontal="center" vertical="center" wrapText="1"/>
    </xf>
    <xf numFmtId="0" fontId="85" fillId="0" borderId="34" xfId="187" applyFont="1" applyBorder="1" applyAlignment="1">
      <alignment horizontal="center" vertical="center" wrapText="1"/>
    </xf>
    <xf numFmtId="181" fontId="83" fillId="30" borderId="33" xfId="188" applyNumberFormat="1" applyFont="1" applyFill="1" applyBorder="1" applyAlignment="1">
      <alignment horizontal="center" vertical="center" wrapText="1"/>
    </xf>
    <xf numFmtId="181" fontId="83" fillId="30" borderId="34" xfId="188" applyNumberFormat="1" applyFont="1" applyFill="1" applyBorder="1" applyAlignment="1">
      <alignment horizontal="center" vertical="center" wrapText="1"/>
    </xf>
    <xf numFmtId="183" fontId="33" fillId="0" borderId="0" xfId="187" applyNumberFormat="1" applyFont="1" applyAlignment="1">
      <alignment wrapText="1"/>
    </xf>
    <xf numFmtId="183" fontId="84" fillId="35" borderId="35" xfId="188" applyNumberFormat="1" applyFont="1" applyFill="1" applyBorder="1" applyAlignment="1">
      <alignment horizontal="center" wrapText="1"/>
    </xf>
    <xf numFmtId="183" fontId="84" fillId="35" borderId="36" xfId="188" applyNumberFormat="1" applyFont="1" applyFill="1" applyBorder="1" applyAlignment="1">
      <alignment horizontal="center" wrapText="1"/>
    </xf>
    <xf numFmtId="183" fontId="84" fillId="35" borderId="48" xfId="188" applyNumberFormat="1" applyFont="1" applyFill="1" applyBorder="1" applyAlignment="1">
      <alignment horizontal="center" wrapText="1"/>
    </xf>
    <xf numFmtId="181" fontId="83" fillId="35" borderId="74" xfId="187" applyNumberFormat="1" applyFont="1" applyFill="1" applyBorder="1" applyAlignment="1" applyProtection="1">
      <alignment horizontal="center" vertical="center" wrapText="1"/>
      <protection hidden="1"/>
    </xf>
    <xf numFmtId="181" fontId="61" fillId="30" borderId="74" xfId="187" applyNumberFormat="1" applyFont="1" applyFill="1" applyBorder="1" applyAlignment="1" applyProtection="1">
      <alignment horizontal="center" vertical="center" wrapText="1"/>
      <protection hidden="1"/>
    </xf>
    <xf numFmtId="182" fontId="61" fillId="30" borderId="74" xfId="187" applyNumberFormat="1" applyFont="1" applyFill="1" applyBorder="1" applyAlignment="1" applyProtection="1">
      <alignment horizontal="center" vertical="center" wrapText="1"/>
      <protection hidden="1"/>
    </xf>
    <xf numFmtId="0" fontId="83" fillId="2" borderId="74" xfId="187" applyFont="1" applyFill="1" applyBorder="1" applyAlignment="1">
      <alignment horizontal="center" vertical="center" wrapText="1"/>
    </xf>
    <xf numFmtId="181" fontId="61" fillId="39" borderId="74" xfId="187" applyNumberFormat="1" applyFont="1" applyFill="1" applyBorder="1" applyAlignment="1" applyProtection="1">
      <alignment horizontal="center" vertical="center" wrapText="1"/>
      <protection hidden="1"/>
    </xf>
    <xf numFmtId="0" fontId="83" fillId="0" borderId="0" xfId="187" applyFont="1" applyAlignment="1" applyProtection="1">
      <alignment horizontal="center" vertical="center" wrapText="1"/>
      <protection hidden="1"/>
    </xf>
    <xf numFmtId="0" fontId="83" fillId="0" borderId="31" xfId="187" applyFont="1" applyBorder="1" applyAlignment="1" applyProtection="1">
      <alignment horizontal="center" vertical="center" wrapText="1"/>
      <protection hidden="1"/>
    </xf>
    <xf numFmtId="0" fontId="83" fillId="0" borderId="29" xfId="187" applyFont="1" applyBorder="1" applyAlignment="1" applyProtection="1">
      <alignment horizontal="center" vertical="center" wrapText="1"/>
      <protection hidden="1"/>
    </xf>
    <xf numFmtId="0" fontId="83" fillId="0" borderId="30" xfId="187" applyFont="1" applyBorder="1" applyAlignment="1" applyProtection="1">
      <alignment horizontal="center" vertical="center" wrapText="1"/>
      <protection hidden="1"/>
    </xf>
    <xf numFmtId="0" fontId="85" fillId="2" borderId="0" xfId="187" applyFont="1" applyFill="1" applyAlignment="1">
      <alignment wrapText="1"/>
    </xf>
    <xf numFmtId="0" fontId="61" fillId="30" borderId="74" xfId="187" applyFont="1" applyFill="1" applyBorder="1" applyAlignment="1" applyProtection="1">
      <alignment horizontal="center" vertical="center" wrapText="1"/>
      <protection hidden="1"/>
    </xf>
    <xf numFmtId="181" fontId="61" fillId="30" borderId="76" xfId="187" applyNumberFormat="1" applyFont="1" applyFill="1" applyBorder="1" applyAlignment="1" applyProtection="1">
      <alignment wrapText="1"/>
      <protection hidden="1"/>
    </xf>
    <xf numFmtId="181" fontId="61" fillId="30" borderId="32" xfId="187" applyNumberFormat="1" applyFont="1" applyFill="1" applyBorder="1" applyAlignment="1" applyProtection="1">
      <alignment wrapText="1"/>
      <protection hidden="1"/>
    </xf>
    <xf numFmtId="181" fontId="83" fillId="30" borderId="74" xfId="187" applyNumberFormat="1" applyFont="1" applyFill="1" applyBorder="1" applyAlignment="1" applyProtection="1">
      <alignment horizontal="center" vertical="center" wrapText="1"/>
      <protection hidden="1"/>
    </xf>
    <xf numFmtId="0" fontId="66" fillId="0" borderId="0" xfId="170" applyFont="1" applyAlignment="1">
      <alignment horizontal="center" vertical="top"/>
    </xf>
    <xf numFmtId="0" fontId="33" fillId="0" borderId="0" xfId="170" applyFont="1" applyAlignment="1">
      <alignment horizontal="left" vertical="top" wrapText="1"/>
    </xf>
    <xf numFmtId="0" fontId="62" fillId="0" borderId="0" xfId="170" applyAlignment="1">
      <alignment horizontal="left" vertical="center" wrapText="1"/>
    </xf>
    <xf numFmtId="0" fontId="33" fillId="0" borderId="0" xfId="170" applyFont="1" applyAlignment="1">
      <alignment horizontal="left" vertical="center" wrapText="1"/>
    </xf>
    <xf numFmtId="0" fontId="61" fillId="0" borderId="0" xfId="170" applyFont="1" applyAlignment="1">
      <alignment horizontal="center" vertical="center" wrapText="1"/>
    </xf>
    <xf numFmtId="0" fontId="33" fillId="0" borderId="0" xfId="170" applyFont="1" applyAlignment="1">
      <alignment horizontal="center" vertical="center" wrapText="1"/>
    </xf>
    <xf numFmtId="0" fontId="61" fillId="0" borderId="24" xfId="170" applyFont="1" applyBorder="1" applyAlignment="1">
      <alignment horizontal="center" vertical="top" wrapText="1"/>
    </xf>
  </cellXfs>
  <cellStyles count="382">
    <cellStyle name="20% - Énfasis1 2" xfId="11" xr:uid="{00000000-0005-0000-0000-000000000000}"/>
    <cellStyle name="20% - Énfasis2 2" xfId="12" xr:uid="{00000000-0005-0000-0000-000001000000}"/>
    <cellStyle name="20% - Énfasis3 2" xfId="13" xr:uid="{00000000-0005-0000-0000-000002000000}"/>
    <cellStyle name="20% - Énfasis4 2" xfId="14" xr:uid="{00000000-0005-0000-0000-000003000000}"/>
    <cellStyle name="20% - Énfasis5 2" xfId="15" xr:uid="{00000000-0005-0000-0000-000004000000}"/>
    <cellStyle name="20% - Énfasis6 2" xfId="16" xr:uid="{00000000-0005-0000-0000-000005000000}"/>
    <cellStyle name="40% - Énfasis1 2" xfId="17" xr:uid="{00000000-0005-0000-0000-000006000000}"/>
    <cellStyle name="40% - Énfasis2 2" xfId="18" xr:uid="{00000000-0005-0000-0000-000007000000}"/>
    <cellStyle name="40% - Énfasis3 2" xfId="19" xr:uid="{00000000-0005-0000-0000-000008000000}"/>
    <cellStyle name="40% - Énfasis4 2" xfId="20" xr:uid="{00000000-0005-0000-0000-000009000000}"/>
    <cellStyle name="40% - Énfasis5 2" xfId="21" xr:uid="{00000000-0005-0000-0000-00000A000000}"/>
    <cellStyle name="40% - Énfasis6 2" xfId="22" xr:uid="{00000000-0005-0000-0000-00000B000000}"/>
    <cellStyle name="60% - Énfasis1 2" xfId="23" xr:uid="{00000000-0005-0000-0000-00000C000000}"/>
    <cellStyle name="60% - Énfasis2 2" xfId="24" xr:uid="{00000000-0005-0000-0000-00000D000000}"/>
    <cellStyle name="60% - Énfasis3 2" xfId="25" xr:uid="{00000000-0005-0000-0000-00000E000000}"/>
    <cellStyle name="60% - Énfasis4 2" xfId="26" xr:uid="{00000000-0005-0000-0000-00000F000000}"/>
    <cellStyle name="60% - Énfasis5 2" xfId="27" xr:uid="{00000000-0005-0000-0000-000010000000}"/>
    <cellStyle name="60% - Énfasis6 2" xfId="28" xr:uid="{00000000-0005-0000-0000-000011000000}"/>
    <cellStyle name="Buena 2" xfId="29" xr:uid="{00000000-0005-0000-0000-000012000000}"/>
    <cellStyle name="Cálculo 2" xfId="30" xr:uid="{00000000-0005-0000-0000-000013000000}"/>
    <cellStyle name="Celda de comprobación 2" xfId="31" xr:uid="{00000000-0005-0000-0000-000014000000}"/>
    <cellStyle name="Celda vinculada 2" xfId="32" xr:uid="{00000000-0005-0000-0000-000015000000}"/>
    <cellStyle name="Encabezado 4 2" xfId="33" xr:uid="{00000000-0005-0000-0000-000016000000}"/>
    <cellStyle name="Énfasis1 2" xfId="34" xr:uid="{00000000-0005-0000-0000-000017000000}"/>
    <cellStyle name="Énfasis2 2" xfId="35" xr:uid="{00000000-0005-0000-0000-000018000000}"/>
    <cellStyle name="Énfasis3 2" xfId="36" xr:uid="{00000000-0005-0000-0000-000019000000}"/>
    <cellStyle name="Énfasis4 2" xfId="37" xr:uid="{00000000-0005-0000-0000-00001A000000}"/>
    <cellStyle name="Énfasis5 2" xfId="38" xr:uid="{00000000-0005-0000-0000-00001B000000}"/>
    <cellStyle name="Énfasis6 2" xfId="39" xr:uid="{00000000-0005-0000-0000-00001C000000}"/>
    <cellStyle name="Entrada 2" xfId="40" xr:uid="{00000000-0005-0000-0000-00001D000000}"/>
    <cellStyle name="Estilo 1" xfId="41" xr:uid="{00000000-0005-0000-0000-00001E000000}"/>
    <cellStyle name="Euro" xfId="42" xr:uid="{00000000-0005-0000-0000-00001F000000}"/>
    <cellStyle name="Euro 2" xfId="43" xr:uid="{00000000-0005-0000-0000-000020000000}"/>
    <cellStyle name="Hipervínculo" xfId="378" builtinId="8"/>
    <cellStyle name="Hipervínculo 2" xfId="44" xr:uid="{00000000-0005-0000-0000-000021000000}"/>
    <cellStyle name="Hipervínculo 3" xfId="45" xr:uid="{00000000-0005-0000-0000-000022000000}"/>
    <cellStyle name="Incorrecto 2" xfId="46" xr:uid="{00000000-0005-0000-0000-000023000000}"/>
    <cellStyle name="Millares" xfId="173" builtinId="3"/>
    <cellStyle name="Millares [0] 2" xfId="47" xr:uid="{00000000-0005-0000-0000-000025000000}"/>
    <cellStyle name="Millares [0] 2 2" xfId="176" xr:uid="{00000000-0005-0000-0000-000026000000}"/>
    <cellStyle name="Millares [0] 2 2 2" xfId="310" xr:uid="{40B3566D-546E-4DFD-81A2-70D7A6E25988}"/>
    <cellStyle name="Millares 10" xfId="48" xr:uid="{00000000-0005-0000-0000-000027000000}"/>
    <cellStyle name="Millares 11" xfId="178" xr:uid="{00000000-0005-0000-0000-000028000000}"/>
    <cellStyle name="Millares 11 2" xfId="311" xr:uid="{0B0E2F8C-34D3-4FB4-9389-868432EB8618}"/>
    <cellStyle name="Millares 12" xfId="184" xr:uid="{00000000-0005-0000-0000-000029000000}"/>
    <cellStyle name="Millares 12 2" xfId="316" xr:uid="{ECE5D4D7-7646-4947-8F10-6204BE34C524}"/>
    <cellStyle name="Millares 13" xfId="201" xr:uid="{C4B79A3C-0745-493A-9CA9-CE79753301C4}"/>
    <cellStyle name="Millares 13 2" xfId="331" xr:uid="{E58B8C40-CBF3-4822-A086-20955F8736E9}"/>
    <cellStyle name="Millares 14" xfId="309" xr:uid="{8F36267F-FE55-4550-A08C-3E93EC0C0637}"/>
    <cellStyle name="Millares 2" xfId="49" xr:uid="{00000000-0005-0000-0000-00002A000000}"/>
    <cellStyle name="Millares 2 2" xfId="50" xr:uid="{00000000-0005-0000-0000-00002B000000}"/>
    <cellStyle name="Millares 2 3" xfId="51" xr:uid="{00000000-0005-0000-0000-00002C000000}"/>
    <cellStyle name="Millares 2 4" xfId="52" xr:uid="{00000000-0005-0000-0000-00002D000000}"/>
    <cellStyle name="Millares 3" xfId="53" xr:uid="{00000000-0005-0000-0000-00002E000000}"/>
    <cellStyle name="Millares 4" xfId="54" xr:uid="{00000000-0005-0000-0000-00002F000000}"/>
    <cellStyle name="Millares 4 2" xfId="55" xr:uid="{00000000-0005-0000-0000-000030000000}"/>
    <cellStyle name="Millares 4 2 2" xfId="232" xr:uid="{9B1C3D42-F148-424B-A6B7-1ACCBA709DB3}"/>
    <cellStyle name="Millares 4 3" xfId="231" xr:uid="{C088C1F5-0E7E-4190-9CA6-4A2F648D4DB2}"/>
    <cellStyle name="Millares 5" xfId="56" xr:uid="{00000000-0005-0000-0000-000031000000}"/>
    <cellStyle name="Millares 5 2" xfId="57" xr:uid="{00000000-0005-0000-0000-000032000000}"/>
    <cellStyle name="Millares 5 2 2" xfId="234" xr:uid="{CAEFD4A4-913C-4570-A4EB-96BFBA120AB0}"/>
    <cellStyle name="Millares 5 3" xfId="233" xr:uid="{DE3347FC-3C7C-49BA-BE91-274EBB0ED99A}"/>
    <cellStyle name="Millares 6" xfId="58" xr:uid="{00000000-0005-0000-0000-000033000000}"/>
    <cellStyle name="Millares 6 2" xfId="59" xr:uid="{00000000-0005-0000-0000-000034000000}"/>
    <cellStyle name="Millares 6 2 2" xfId="236" xr:uid="{A68B7113-2409-448A-A877-5469DF2CBDE2}"/>
    <cellStyle name="Millares 6 3" xfId="235" xr:uid="{229B06FC-23B5-42F1-B936-9E42ABC3DA67}"/>
    <cellStyle name="Millares 7" xfId="60" xr:uid="{00000000-0005-0000-0000-000035000000}"/>
    <cellStyle name="Millares 7 2" xfId="237" xr:uid="{A164876F-EAD7-4B3C-B4B6-4630BD09EF35}"/>
    <cellStyle name="Millares 8" xfId="61" xr:uid="{00000000-0005-0000-0000-000036000000}"/>
    <cellStyle name="Millares 8 2" xfId="238" xr:uid="{BD9FCBCF-EA6B-42E6-AF0E-00A48A3BD65F}"/>
    <cellStyle name="Millares 9" xfId="62" xr:uid="{00000000-0005-0000-0000-000037000000}"/>
    <cellStyle name="Millares 9 2" xfId="239" xr:uid="{644D000C-FCB9-4D58-9AA2-E69B6607CCA7}"/>
    <cellStyle name="Millares_PPTO ASEO  2004 - 2005 2" xfId="221" xr:uid="{7968B444-A574-4835-BDBE-DF19B4215E3A}"/>
    <cellStyle name="Moneda" xfId="1" builtinId="4"/>
    <cellStyle name="Moneda [0]" xfId="2" builtinId="7"/>
    <cellStyle name="Moneda [0] 2" xfId="63" xr:uid="{00000000-0005-0000-0000-00003A000000}"/>
    <cellStyle name="Moneda [0] 3" xfId="171" xr:uid="{00000000-0005-0000-0000-00003B000000}"/>
    <cellStyle name="Moneda [0] 3 2" xfId="308" xr:uid="{7E100835-8EC3-4A97-B28E-062FC8961D15}"/>
    <cellStyle name="Moneda [0] 4" xfId="230" xr:uid="{B7A18353-9C07-4976-993B-B0799697BFC8}"/>
    <cellStyle name="Moneda 10" xfId="188" xr:uid="{504CC408-1242-4A98-B0FC-59245D0D7D58}"/>
    <cellStyle name="Moneda 10 2" xfId="200" xr:uid="{1C1011B1-004E-41E1-BFF2-4097D4336FCE}"/>
    <cellStyle name="Moneda 10 2 2" xfId="330" xr:uid="{E0CCAA33-AA81-4C40-8414-7AE95B4B3C5E}"/>
    <cellStyle name="Moneda 10 3" xfId="377" xr:uid="{3FD3E29E-EBA6-4354-AA5C-8E0F12A809D7}"/>
    <cellStyle name="Moneda 2" xfId="64" xr:uid="{00000000-0005-0000-0000-00003C000000}"/>
    <cellStyle name="Moneda 2 2" xfId="10" xr:uid="{00000000-0005-0000-0000-00003D000000}"/>
    <cellStyle name="Moneda 2 2 3 2" xfId="189" xr:uid="{CFC766CB-9E43-4C66-98B6-330C4419AD0F}"/>
    <cellStyle name="Moneda 2 2 3 2 2" xfId="222" xr:uid="{2A7E46DA-118C-4859-840B-A86F26844228}"/>
    <cellStyle name="Moneda 2 2 3 2 2 2" xfId="348" xr:uid="{9ECD232E-53C4-4712-B97F-9A1F6FADB8C1}"/>
    <cellStyle name="Moneda 2 2 3 2 3" xfId="319" xr:uid="{4C099B4A-6762-4537-B779-47CC7D7267B9}"/>
    <cellStyle name="Moneda 2 2 3 2 4" xfId="371" xr:uid="{8716C92E-491F-44AA-BF18-A1AA5CBA7131}"/>
    <cellStyle name="Moneda 2 3" xfId="375" xr:uid="{A1655131-E963-4629-986B-C0069B3C3C8F}"/>
    <cellStyle name="Moneda 3" xfId="8" xr:uid="{00000000-0005-0000-0000-00003E000000}"/>
    <cellStyle name="Moneda 3 10" xfId="223" xr:uid="{AE5EC286-31F2-4613-8B12-EE9EBAD849FD}"/>
    <cellStyle name="Moneda 3 10 2" xfId="349" xr:uid="{1DA45126-50C7-4FA8-80DC-804E89769C47}"/>
    <cellStyle name="Moneda 3 11" xfId="227" xr:uid="{580F028B-864A-4EA4-BA75-FE7BBCF1068F}"/>
    <cellStyle name="Moneda 3 12" xfId="354" xr:uid="{B0171FCD-C8D8-4607-B411-0E3ED9273130}"/>
    <cellStyle name="Moneda 3 13" xfId="356" xr:uid="{2D4F9E05-C48A-4458-96B1-BABEF82D3A07}"/>
    <cellStyle name="Moneda 3 14" xfId="169" xr:uid="{00000000-0005-0000-0000-00003F000000}"/>
    <cellStyle name="Moneda 3 15" xfId="358" xr:uid="{751A8DE2-D86C-4E57-8BF7-482E53A0C92A}"/>
    <cellStyle name="Moneda 3 16" xfId="361" xr:uid="{C95F93A1-03EE-4E98-BEBC-39CFE4FB205E}"/>
    <cellStyle name="Moneda 3 17" xfId="365" xr:uid="{F1720C52-103E-46C1-9FBF-8F77AD04DA4C}"/>
    <cellStyle name="Moneda 3 18" xfId="368" xr:uid="{C6024366-5DD7-4394-8B8E-CEC79C9E622A}"/>
    <cellStyle name="Moneda 3 2" xfId="181" xr:uid="{00000000-0005-0000-0000-000040000000}"/>
    <cellStyle name="Moneda 3 2 2" xfId="313" xr:uid="{14E5643B-1CA0-43D1-82C9-26C28B6A5736}"/>
    <cellStyle name="Moneda 3 2 3" xfId="167" xr:uid="{00000000-0005-0000-0000-000041000000}"/>
    <cellStyle name="Moneda 3 2 3 2" xfId="307" xr:uid="{1BC3C0A2-F34E-4088-85FB-29CD8415A9FC}"/>
    <cellStyle name="Moneda 3 3" xfId="165" xr:uid="{00000000-0005-0000-0000-000042000000}"/>
    <cellStyle name="Moneda 3 3 2" xfId="306" xr:uid="{629B04C2-B52F-4E29-A5B0-B4CC2B318EF5}"/>
    <cellStyle name="Moneda 3 4" xfId="190" xr:uid="{C5026495-C172-4BDA-A071-7658FBB8EA8A}"/>
    <cellStyle name="Moneda 3 4 2" xfId="320" xr:uid="{23144117-A6F3-41B2-8461-A4283AB2D6CF}"/>
    <cellStyle name="Moneda 3 5" xfId="193" xr:uid="{E0B7E855-3696-4F45-9BCA-0DFD5D602036}"/>
    <cellStyle name="Moneda 3 5 2" xfId="323" xr:uid="{5D6498DE-1618-44B4-9E74-4C1BFA5F3C62}"/>
    <cellStyle name="Moneda 3 6" xfId="205" xr:uid="{E76BB12D-978A-47BD-AFC4-CDE6AE5C0128}"/>
    <cellStyle name="Moneda 3 6 2" xfId="333" xr:uid="{508CE93F-CE61-4242-92D3-C6F6E8F810CE}"/>
    <cellStyle name="Moneda 3 7" xfId="210" xr:uid="{30347140-98BA-4285-9031-35C8E5AFDB8B}"/>
    <cellStyle name="Moneda 3 7 2" xfId="338" xr:uid="{ACAA2B64-5A3A-4B7B-9FE6-BAC75B9AFC0E}"/>
    <cellStyle name="Moneda 3 8" xfId="214" xr:uid="{6A2A0686-73B0-433C-8B7C-BE40A5609AA9}"/>
    <cellStyle name="Moneda 3 8 2" xfId="342" xr:uid="{CCD823ED-888E-4B6A-9DAD-AD0698E20720}"/>
    <cellStyle name="Moneda 3 9" xfId="219" xr:uid="{BD109FF9-FE6D-4AD6-887C-522DB4D9055D}"/>
    <cellStyle name="Moneda 3 9 2" xfId="346" xr:uid="{82154DBE-60A0-45A2-85F8-6406180587E7}"/>
    <cellStyle name="Moneda 4" xfId="65" xr:uid="{00000000-0005-0000-0000-000043000000}"/>
    <cellStyle name="Moneda 4 2" xfId="202" xr:uid="{7A30F553-248C-41C0-8065-966DB7C82402}"/>
    <cellStyle name="Moneda 5" xfId="66" xr:uid="{00000000-0005-0000-0000-000044000000}"/>
    <cellStyle name="Moneda 5 2" xfId="240" xr:uid="{1A250426-1826-4ADF-BDF5-ED1DBD605F70}"/>
    <cellStyle name="Moneda 6" xfId="67" xr:uid="{00000000-0005-0000-0000-000045000000}"/>
    <cellStyle name="Moneda 7" xfId="68" xr:uid="{00000000-0005-0000-0000-000046000000}"/>
    <cellStyle name="Moneda 8" xfId="179" xr:uid="{00000000-0005-0000-0000-000047000000}"/>
    <cellStyle name="Moneda 8 2" xfId="312" xr:uid="{C4240594-F75D-4B74-8F74-BD0DFD8B6DAD}"/>
    <cellStyle name="Moneda 9" xfId="185" xr:uid="{00000000-0005-0000-0000-000048000000}"/>
    <cellStyle name="Moneda 9 2" xfId="317" xr:uid="{B1CD0374-ACBB-4907-8AA5-701A112A8EFA}"/>
    <cellStyle name="Neutral 2" xfId="69" xr:uid="{00000000-0005-0000-0000-000049000000}"/>
    <cellStyle name="Normal" xfId="0" builtinId="0"/>
    <cellStyle name="Normal 10" xfId="70" xr:uid="{00000000-0005-0000-0000-00004B000000}"/>
    <cellStyle name="Normal 10 2" xfId="71" xr:uid="{00000000-0005-0000-0000-00004C000000}"/>
    <cellStyle name="Normal 10 2 2" xfId="72" xr:uid="{00000000-0005-0000-0000-00004D000000}"/>
    <cellStyle name="Normal 10 2 2 2" xfId="243" xr:uid="{F7174035-5F7F-4623-9D59-E24823C1A9AE}"/>
    <cellStyle name="Normal 10 2 3" xfId="242" xr:uid="{4F03B1AF-7F9E-4ED8-B25F-0706F33470B4}"/>
    <cellStyle name="Normal 10 3" xfId="73" xr:uid="{00000000-0005-0000-0000-00004E000000}"/>
    <cellStyle name="Normal 10 3 2" xfId="244" xr:uid="{D76C609C-1B03-4245-8DF9-CB18BC3400B5}"/>
    <cellStyle name="Normal 10 4" xfId="241" xr:uid="{398ACBDD-A5AC-4448-8235-A555A09FFAEF}"/>
    <cellStyle name="Normal 11" xfId="74" xr:uid="{00000000-0005-0000-0000-00004F000000}"/>
    <cellStyle name="Normal 11 2" xfId="75" xr:uid="{00000000-0005-0000-0000-000050000000}"/>
    <cellStyle name="Normal 11 2 2" xfId="76" xr:uid="{00000000-0005-0000-0000-000051000000}"/>
    <cellStyle name="Normal 11 2 2 2" xfId="247" xr:uid="{9BC27EF6-1C73-4211-B739-F2521A4170B8}"/>
    <cellStyle name="Normal 11 2 3" xfId="246" xr:uid="{4868AC68-2E9F-4BFE-A0AB-7FCAFE18B659}"/>
    <cellStyle name="Normal 11 3" xfId="77" xr:uid="{00000000-0005-0000-0000-000052000000}"/>
    <cellStyle name="Normal 11 3 2" xfId="248" xr:uid="{28D3D94E-5D31-4A54-BED6-39A1BDE33AF5}"/>
    <cellStyle name="Normal 11 4" xfId="245" xr:uid="{8BE82EF2-A26F-4F4E-8CB8-56E8239087EC}"/>
    <cellStyle name="Normal 114" xfId="168" xr:uid="{00000000-0005-0000-0000-000053000000}"/>
    <cellStyle name="Normal 12" xfId="78" xr:uid="{00000000-0005-0000-0000-000054000000}"/>
    <cellStyle name="Normal 12 2" xfId="79" xr:uid="{00000000-0005-0000-0000-000055000000}"/>
    <cellStyle name="Normal 12 3" xfId="80" xr:uid="{00000000-0005-0000-0000-000056000000}"/>
    <cellStyle name="Normal 12 3 2" xfId="250" xr:uid="{FC943A2E-8C35-4895-9C6D-846D80F69CF1}"/>
    <cellStyle name="Normal 12 4" xfId="249" xr:uid="{395956B7-F938-4082-B910-68D949DE36D2}"/>
    <cellStyle name="Normal 13" xfId="81" xr:uid="{00000000-0005-0000-0000-000057000000}"/>
    <cellStyle name="Normal 13 2" xfId="82" xr:uid="{00000000-0005-0000-0000-000058000000}"/>
    <cellStyle name="Normal 13 2 2" xfId="252" xr:uid="{D863F897-BE77-4933-888E-AFF709D4E339}"/>
    <cellStyle name="Normal 13 3" xfId="251" xr:uid="{98DC4988-5285-48F5-A2CF-36A20870C6BA}"/>
    <cellStyle name="Normal 14" xfId="83" xr:uid="{00000000-0005-0000-0000-000059000000}"/>
    <cellStyle name="Normal 14 2" xfId="253" xr:uid="{3CA98D60-9E81-43CD-9A24-FDB2E67E432E}"/>
    <cellStyle name="Normal 15" xfId="84" xr:uid="{00000000-0005-0000-0000-00005A000000}"/>
    <cellStyle name="Normal 15 2" xfId="254" xr:uid="{0C422BD9-A0EE-4292-8BEF-D8210E785535}"/>
    <cellStyle name="Normal 16" xfId="85" xr:uid="{00000000-0005-0000-0000-00005B000000}"/>
    <cellStyle name="Normal 16 2" xfId="255" xr:uid="{6CC75631-8332-4BAC-B511-ADFBFAC379EA}"/>
    <cellStyle name="Normal 16 2 2" xfId="374" xr:uid="{A7BF8081-06BE-4270-9E51-8DC17C877453}"/>
    <cellStyle name="Normal 17" xfId="86" xr:uid="{00000000-0005-0000-0000-00005C000000}"/>
    <cellStyle name="Normal 18" xfId="170" xr:uid="{00000000-0005-0000-0000-00005D000000}"/>
    <cellStyle name="Normal 19" xfId="174" xr:uid="{00000000-0005-0000-0000-00005E000000}"/>
    <cellStyle name="Normal 2" xfId="87" xr:uid="{00000000-0005-0000-0000-00005F000000}"/>
    <cellStyle name="Normal 2 2" xfId="88" xr:uid="{00000000-0005-0000-0000-000060000000}"/>
    <cellStyle name="Normal 2 2 2" xfId="89" xr:uid="{00000000-0005-0000-0000-000061000000}"/>
    <cellStyle name="Normal 2 3" xfId="90" xr:uid="{00000000-0005-0000-0000-000062000000}"/>
    <cellStyle name="Normal 2 3 2" xfId="91" xr:uid="{00000000-0005-0000-0000-000063000000}"/>
    <cellStyle name="Normal 2 3 2 2" xfId="92" xr:uid="{00000000-0005-0000-0000-000064000000}"/>
    <cellStyle name="Normal 2 3 2 2 2" xfId="257" xr:uid="{A4FD8F57-7C6B-4CC7-9BED-3C3BEB150A31}"/>
    <cellStyle name="Normal 2 3 2 3" xfId="256" xr:uid="{8514F7F6-8A5E-4A12-84AC-BE30D7B87A39}"/>
    <cellStyle name="Normal 2 4" xfId="93" xr:uid="{00000000-0005-0000-0000-000065000000}"/>
    <cellStyle name="Normal 2 4 2" xfId="94" xr:uid="{00000000-0005-0000-0000-000066000000}"/>
    <cellStyle name="Normal 2 4 2 2" xfId="95" xr:uid="{00000000-0005-0000-0000-000067000000}"/>
    <cellStyle name="Normal 2 4 2 2 2" xfId="177" xr:uid="{00000000-0005-0000-0000-000068000000}"/>
    <cellStyle name="Normal 2 4 2 2 3" xfId="260" xr:uid="{DB18F55D-19C1-438E-B49F-97BF046472C7}"/>
    <cellStyle name="Normal 2 4 2 3" xfId="259" xr:uid="{FB0F802A-D9F5-4819-84F4-A33CEC8B3608}"/>
    <cellStyle name="Normal 2 4 3" xfId="96" xr:uid="{00000000-0005-0000-0000-000069000000}"/>
    <cellStyle name="Normal 2 4 3 2" xfId="261" xr:uid="{62E26CFA-C90F-40CB-9D76-2296AB98112A}"/>
    <cellStyle name="Normal 2 4 4" xfId="258" xr:uid="{E7CA29F5-D3BA-43BC-A05F-126DB6FB75D1}"/>
    <cellStyle name="Normal 2 5" xfId="97" xr:uid="{00000000-0005-0000-0000-00006A000000}"/>
    <cellStyle name="Normal 2 6" xfId="175" xr:uid="{00000000-0005-0000-0000-00006B000000}"/>
    <cellStyle name="Normal 20" xfId="186" xr:uid="{2900874C-FE17-40A2-A831-3C28643E8229}"/>
    <cellStyle name="Normal 20 2" xfId="198" xr:uid="{1939D33D-3B21-40C4-B6DF-DD0DAC1B90C0}"/>
    <cellStyle name="Normal 20 2 2" xfId="328" xr:uid="{8E585C8F-0DAB-4C9B-AB50-546D48B31DF5}"/>
    <cellStyle name="Normal 20 3" xfId="318" xr:uid="{04546A92-FFFA-47F7-B1BD-196AD0E3DDE6}"/>
    <cellStyle name="Normal 21" xfId="187" xr:uid="{9DA99368-85EA-4637-BD01-7853C2814880}"/>
    <cellStyle name="Normal 22" xfId="196" xr:uid="{A4DC20EA-B1C6-4A01-BE7B-2F4B31FE566F}"/>
    <cellStyle name="Normal 22 2" xfId="326" xr:uid="{BA4D1234-BDB6-4173-B329-D2F546BF6E63}"/>
    <cellStyle name="Normal 23" xfId="197" xr:uid="{4B8CE3C1-2D61-4434-B315-96C90531650F}"/>
    <cellStyle name="Normal 23 2" xfId="327" xr:uid="{4F1CF105-FB30-4E28-8F7F-1D62367ED467}"/>
    <cellStyle name="Normal 24" xfId="203" xr:uid="{3780EDAA-F030-4750-8F36-7A6FE0E2D852}"/>
    <cellStyle name="Normal 24 2" xfId="332" xr:uid="{757AD21A-0B04-4521-BBD8-1E8BE91719DC}"/>
    <cellStyle name="Normal 25" xfId="208" xr:uid="{61AF465F-ABFB-4FBC-ADCD-F33579275A00}"/>
    <cellStyle name="Normal 25 2" xfId="98" xr:uid="{00000000-0005-0000-0000-00006C000000}"/>
    <cellStyle name="Normal 25 3" xfId="336" xr:uid="{04A44258-11FF-4322-B243-C13A6C376C11}"/>
    <cellStyle name="Normal 26" xfId="209" xr:uid="{435D66FD-4D37-4D69-B519-99CBF7D5B5B9}"/>
    <cellStyle name="Normal 26 2" xfId="337" xr:uid="{ACDEB9B7-BDA5-451C-B2CB-14092F89D3D9}"/>
    <cellStyle name="Normal 27" xfId="213" xr:uid="{D6CCEE7C-E028-4D9B-94DF-91326139DF80}"/>
    <cellStyle name="Normal 27 2" xfId="341" xr:uid="{1BE40575-E69F-48D7-81B5-B21FE867E422}"/>
    <cellStyle name="Normal 28" xfId="217" xr:uid="{423BF27F-B9AB-4EBC-A777-09A7A6F87359}"/>
    <cellStyle name="Normal 28 2" xfId="345" xr:uid="{9C6B6514-B79A-42B0-833A-83C9DA2E711E}"/>
    <cellStyle name="Normal 29" xfId="226" xr:uid="{98B82A95-5FDC-490D-BF1B-952421912637}"/>
    <cellStyle name="Normal 29 2" xfId="352" xr:uid="{AF7562FE-0AFB-400F-8056-535213EEDAC7}"/>
    <cellStyle name="Normal 3" xfId="99" xr:uid="{00000000-0005-0000-0000-00006D000000}"/>
    <cellStyle name="Normal 3 2" xfId="100" xr:uid="{00000000-0005-0000-0000-00006E000000}"/>
    <cellStyle name="Normal 3 2 2" xfId="101" xr:uid="{00000000-0005-0000-0000-00006F000000}"/>
    <cellStyle name="Normal 3 2 3" xfId="102" xr:uid="{00000000-0005-0000-0000-000070000000}"/>
    <cellStyle name="Normal 3 2 3 2" xfId="103" xr:uid="{00000000-0005-0000-0000-000071000000}"/>
    <cellStyle name="Normal 3 2 3 2 2" xfId="264" xr:uid="{A477414F-3F3A-4051-A671-1BAE40537A16}"/>
    <cellStyle name="Normal 3 2 3 3" xfId="263" xr:uid="{FC9DF0DD-80F7-418D-BEB0-A83EFD2A6D63}"/>
    <cellStyle name="Normal 3 2 4" xfId="104" xr:uid="{00000000-0005-0000-0000-000072000000}"/>
    <cellStyle name="Normal 3 2 4 2" xfId="265" xr:uid="{B3A2730D-7716-461C-8418-D082A49427E0}"/>
    <cellStyle name="Normal 3 2 5" xfId="262" xr:uid="{4DEBF871-511D-4503-8DC3-1D52FDD76040}"/>
    <cellStyle name="Normal 30" xfId="353" xr:uid="{ED79ABF7-DEE4-4141-BAC4-0CE4959E6248}"/>
    <cellStyle name="Normal 31" xfId="360" xr:uid="{6FD25210-E3E1-40EE-8B55-1238DC156B13}"/>
    <cellStyle name="Normal 32" xfId="363" xr:uid="{832BE810-C894-4F14-A3E2-B4B68BEFEFEF}"/>
    <cellStyle name="Normal 33" xfId="364" xr:uid="{22B0766C-410A-47B8-B245-14F16B793ADD}"/>
    <cellStyle name="Normal 34" xfId="367" xr:uid="{B5A5E95F-2FB7-4339-BA87-4A4F51617FF7}"/>
    <cellStyle name="Normal 4" xfId="105" xr:uid="{00000000-0005-0000-0000-000073000000}"/>
    <cellStyle name="Normal 4 2" xfId="106" xr:uid="{00000000-0005-0000-0000-000074000000}"/>
    <cellStyle name="Normal 4 3" xfId="107" xr:uid="{00000000-0005-0000-0000-000075000000}"/>
    <cellStyle name="Normal 4 3 2" xfId="108" xr:uid="{00000000-0005-0000-0000-000076000000}"/>
    <cellStyle name="Normal 4 3 2 2" xfId="109" xr:uid="{00000000-0005-0000-0000-000077000000}"/>
    <cellStyle name="Normal 4 3 2 2 2" xfId="268" xr:uid="{04123D3C-C8F3-4B40-B196-02C8D3A08BEE}"/>
    <cellStyle name="Normal 4 3 2 3" xfId="267" xr:uid="{FE02F25F-CFCB-4774-96A9-03431A0C09B0}"/>
    <cellStyle name="Normal 4 3 3" xfId="110" xr:uid="{00000000-0005-0000-0000-000078000000}"/>
    <cellStyle name="Normal 4 3 3 2" xfId="269" xr:uid="{7B6B4AF6-9668-4AF2-8D1A-A8B66BF31492}"/>
    <cellStyle name="Normal 4 3 4" xfId="266" xr:uid="{FD81B5F1-233A-433F-AA41-2DA9146A7E64}"/>
    <cellStyle name="Normal 5" xfId="111" xr:uid="{00000000-0005-0000-0000-000079000000}"/>
    <cellStyle name="Normal 5 2" xfId="112" xr:uid="{00000000-0005-0000-0000-00007A000000}"/>
    <cellStyle name="Normal 5 2 2" xfId="113" xr:uid="{00000000-0005-0000-0000-00007B000000}"/>
    <cellStyle name="Normal 5 2 2 2" xfId="114" xr:uid="{00000000-0005-0000-0000-00007C000000}"/>
    <cellStyle name="Normal 5 2 2 2 2" xfId="272" xr:uid="{D4BF7206-C466-4919-BB42-16449DB07177}"/>
    <cellStyle name="Normal 5 2 2 3" xfId="271" xr:uid="{75CABF93-C292-4A92-A1D1-6CD25F8A65AA}"/>
    <cellStyle name="Normal 5 2 3" xfId="115" xr:uid="{00000000-0005-0000-0000-00007D000000}"/>
    <cellStyle name="Normal 5 2 3 2" xfId="273" xr:uid="{BD2DF897-9F90-49B0-8A04-8BE39FAE3CCD}"/>
    <cellStyle name="Normal 5 2 4" xfId="270" xr:uid="{D86BE4A6-C456-4810-A8E3-F4A022BABC9C}"/>
    <cellStyle name="Normal 5 3" xfId="116" xr:uid="{00000000-0005-0000-0000-00007E000000}"/>
    <cellStyle name="Normal 5 3 2" xfId="117" xr:uid="{00000000-0005-0000-0000-00007F000000}"/>
    <cellStyle name="Normal 5 3 2 2" xfId="275" xr:uid="{38CC9F23-CE1C-4D89-A43A-0EE2839C27CF}"/>
    <cellStyle name="Normal 5 3 3" xfId="274" xr:uid="{33CE8214-70CF-4A60-A847-B15E23570689}"/>
    <cellStyle name="Normal 5 4" xfId="118" xr:uid="{00000000-0005-0000-0000-000080000000}"/>
    <cellStyle name="Normal 5 4 2" xfId="276" xr:uid="{BBE6582A-C1C2-43CE-9699-9D92D3965D8D}"/>
    <cellStyle name="Normal 5 5" xfId="199" xr:uid="{0BC8532A-4CFE-428A-8663-B672C761A5A1}"/>
    <cellStyle name="Normal 5 5 2" xfId="329" xr:uid="{7AE46FAB-F53A-45AB-BAE1-24A25769CBF3}"/>
    <cellStyle name="Normal 6" xfId="119" xr:uid="{00000000-0005-0000-0000-000081000000}"/>
    <cellStyle name="Normal 6 2" xfId="120" xr:uid="{00000000-0005-0000-0000-000082000000}"/>
    <cellStyle name="Normal 6 2 2" xfId="121" xr:uid="{00000000-0005-0000-0000-000083000000}"/>
    <cellStyle name="Normal 6 2 2 2" xfId="122" xr:uid="{00000000-0005-0000-0000-000084000000}"/>
    <cellStyle name="Normal 6 2 2 2 2" xfId="123" xr:uid="{00000000-0005-0000-0000-000085000000}"/>
    <cellStyle name="Normal 6 2 2 2 2 2" xfId="278" xr:uid="{8547E9F0-294F-4B04-80DD-ACE15252CA06}"/>
    <cellStyle name="Normal 6 2 2 2 3" xfId="277" xr:uid="{3E31CBC2-6379-4964-8A2B-18591AF00A8D}"/>
    <cellStyle name="Normal 6 2 2 3" xfId="124" xr:uid="{00000000-0005-0000-0000-000086000000}"/>
    <cellStyle name="Normal 6 2 2 3 2" xfId="279" xr:uid="{AC88C9E7-B914-46AB-93CE-CAADEBA0A7C7}"/>
    <cellStyle name="Normal 6 2 2 5" xfId="172" xr:uid="{00000000-0005-0000-0000-000087000000}"/>
    <cellStyle name="Normal 6 2 2 5 10" xfId="228" xr:uid="{0F006E14-CB99-4764-8E04-CCE2039C12EC}"/>
    <cellStyle name="Normal 6 2 2 5 11" xfId="355" xr:uid="{04C712DA-F105-451E-A046-6410329CDCC5}"/>
    <cellStyle name="Normal 6 2 2 5 12" xfId="357" xr:uid="{DDC89A61-03AD-401B-9FB4-A27724641612}"/>
    <cellStyle name="Normal 6 2 2 5 13" xfId="359" xr:uid="{08051899-B4CE-4454-A73B-5DBF168E5D08}"/>
    <cellStyle name="Normal 6 2 2 5 14" xfId="362" xr:uid="{56A86EF0-C27A-4F05-8B63-D1E208F1CAD4}"/>
    <cellStyle name="Normal 6 2 2 5 15" xfId="366" xr:uid="{C59FAEFD-549D-48D0-860F-F811EF934F02}"/>
    <cellStyle name="Normal 6 2 2 5 15 2" xfId="372" xr:uid="{D3012F72-28D5-439E-9945-A2B6FCC1C2D2}"/>
    <cellStyle name="Normal 6 2 2 5 16" xfId="369" xr:uid="{C9D799C3-F42B-4F0A-8AB6-804744E42A8D}"/>
    <cellStyle name="Normal 6 2 2 5 16 4" xfId="381" xr:uid="{88D11C2B-85F5-46A1-9223-235DDF7B6527}"/>
    <cellStyle name="Normal 6 2 2 5 2" xfId="182" xr:uid="{00000000-0005-0000-0000-000088000000}"/>
    <cellStyle name="Normal 6 2 2 5 2 2" xfId="314" xr:uid="{7B19046C-C28B-427B-9AE5-660317AB0F62}"/>
    <cellStyle name="Normal 6 2 2 5 3" xfId="191" xr:uid="{1C1BAF64-51AD-4409-A019-AFD547E7D884}"/>
    <cellStyle name="Normal 6 2 2 5 3 2" xfId="321" xr:uid="{5D56A70F-F86F-45DB-AA79-FE89D3E279F6}"/>
    <cellStyle name="Normal 6 2 2 5 4" xfId="194" xr:uid="{24FF86B0-7559-441E-9387-095647292E25}"/>
    <cellStyle name="Normal 6 2 2 5 4 2" xfId="324" xr:uid="{8C4109CC-AA8B-487A-9DFB-A1824F5102D4}"/>
    <cellStyle name="Normal 6 2 2 5 5" xfId="206" xr:uid="{8336F60C-0BD8-48FA-8FBA-340461B2245B}"/>
    <cellStyle name="Normal 6 2 2 5 5 2" xfId="334" xr:uid="{53BB1A0A-BAB0-49A8-8546-4D9E7D9B3B4B}"/>
    <cellStyle name="Normal 6 2 2 5 6" xfId="211" xr:uid="{B18908E5-637D-4CBF-BE47-C1121627071B}"/>
    <cellStyle name="Normal 6 2 2 5 6 2" xfId="339" xr:uid="{75B302AF-9DA2-4266-BDFF-89664C52B52B}"/>
    <cellStyle name="Normal 6 2 2 5 7" xfId="215" xr:uid="{A17076F5-9FDC-4623-8FA5-417668003CCA}"/>
    <cellStyle name="Normal 6 2 2 5 7 2" xfId="343" xr:uid="{8770BBA3-A07F-4D3F-8BA9-65B9D76E2B77}"/>
    <cellStyle name="Normal 6 2 2 5 8" xfId="220" xr:uid="{6566F238-7BC4-470F-996E-D0F473FBA60D}"/>
    <cellStyle name="Normal 6 2 2 5 8 2" xfId="347" xr:uid="{CDE6156B-6F6E-4765-878D-23F3B2FA1AE0}"/>
    <cellStyle name="Normal 6 2 2 5 9" xfId="224" xr:uid="{2A7FED83-7474-40F7-AC2D-8D5C84276CD8}"/>
    <cellStyle name="Normal 6 2 2 5 9 2" xfId="350" xr:uid="{FAD65061-2CE9-403A-BFD4-6F60AC4C9997}"/>
    <cellStyle name="Normal 6 2 3" xfId="125" xr:uid="{00000000-0005-0000-0000-000089000000}"/>
    <cellStyle name="Normal 6 2 3 2" xfId="126" xr:uid="{00000000-0005-0000-0000-00008A000000}"/>
    <cellStyle name="Normal 6 2 3 2 2" xfId="281" xr:uid="{6B4E4177-3B3A-482A-A520-C67F7BC82B22}"/>
    <cellStyle name="Normal 6 2 3 3" xfId="280" xr:uid="{F3F59D07-2ACA-41B1-B810-15B58F3C4F38}"/>
    <cellStyle name="Normal 6 2 4" xfId="127" xr:uid="{00000000-0005-0000-0000-00008B000000}"/>
    <cellStyle name="Normal 6 2 4 2" xfId="282" xr:uid="{B63CCBDA-48A6-4D8B-8150-E580FA9C11A5}"/>
    <cellStyle name="Normal 6 3" xfId="128" xr:uid="{00000000-0005-0000-0000-00008C000000}"/>
    <cellStyle name="Normal 6 3 2" xfId="129" xr:uid="{00000000-0005-0000-0000-00008D000000}"/>
    <cellStyle name="Normal 6 3 2 2" xfId="130" xr:uid="{00000000-0005-0000-0000-00008E000000}"/>
    <cellStyle name="Normal 6 3 2 2 2" xfId="285" xr:uid="{9F030D90-FBE7-4A61-83F5-7D46B69BEE4B}"/>
    <cellStyle name="Normal 6 3 2 3" xfId="284" xr:uid="{26536BC5-8FD7-4354-83B5-E976EFF1BA73}"/>
    <cellStyle name="Normal 6 3 3" xfId="131" xr:uid="{00000000-0005-0000-0000-00008F000000}"/>
    <cellStyle name="Normal 6 3 3 2" xfId="286" xr:uid="{EE454056-04E3-43B9-93AC-50D8D39D7F57}"/>
    <cellStyle name="Normal 6 3 4" xfId="283" xr:uid="{59B91E1A-904F-4F94-9FA4-3A6BF9813D6D}"/>
    <cellStyle name="Normal 6 4" xfId="132" xr:uid="{00000000-0005-0000-0000-000090000000}"/>
    <cellStyle name="Normal 6 4 2" xfId="133" xr:uid="{00000000-0005-0000-0000-000091000000}"/>
    <cellStyle name="Normal 6 4 2 2" xfId="288" xr:uid="{33FE47DE-93FE-4A70-A50F-32780A857BF3}"/>
    <cellStyle name="Normal 6 4 3" xfId="287" xr:uid="{9337726C-08BE-4C41-99DF-B4EDA52E100F}"/>
    <cellStyle name="Normal 6 5" xfId="134" xr:uid="{00000000-0005-0000-0000-000092000000}"/>
    <cellStyle name="Normal 6 5 2" xfId="289" xr:uid="{8B3AACC0-7957-4F23-85F1-09DA1CD1CE10}"/>
    <cellStyle name="Normal 7" xfId="135" xr:uid="{00000000-0005-0000-0000-000093000000}"/>
    <cellStyle name="Normal 7 2 4" xfId="166" xr:uid="{00000000-0005-0000-0000-000094000000}"/>
    <cellStyle name="Normal 7 2 4 10" xfId="370" xr:uid="{103A47FF-91DE-4FFF-856E-CB1EEA6349FB}"/>
    <cellStyle name="Normal 7 2 4 10 5" xfId="380" xr:uid="{713C6777-B0D3-4A23-958E-93AE9CBC5ACD}"/>
    <cellStyle name="Normal 7 2 4 11" xfId="373" xr:uid="{D41DAF2D-7061-4849-89A9-71585DD31141}"/>
    <cellStyle name="Normal 7 2 4 12" xfId="379" xr:uid="{F27C5B27-0044-4BCD-86A4-A81F9E00AF51}"/>
    <cellStyle name="Normal 7 2 4 2" xfId="183" xr:uid="{00000000-0005-0000-0000-000095000000}"/>
    <cellStyle name="Normal 7 2 4 2 2" xfId="315" xr:uid="{6FE6A3B9-FFE5-48DA-9B6F-AC0DB3D0AF7A}"/>
    <cellStyle name="Normal 7 2 4 3" xfId="192" xr:uid="{2BCEC50E-278B-46D1-9BF6-F0E8A9E137B1}"/>
    <cellStyle name="Normal 7 2 4 3 2" xfId="322" xr:uid="{1BEF7760-13BC-4622-8748-AA2621CBAFC1}"/>
    <cellStyle name="Normal 7 2 4 4" xfId="195" xr:uid="{F3CA436E-3EF3-4D3D-8484-4877530819A0}"/>
    <cellStyle name="Normal 7 2 4 4 2" xfId="325" xr:uid="{A7927719-8ED0-40CC-94FB-CDD0C37CE4E0}"/>
    <cellStyle name="Normal 7 2 4 5" xfId="207" xr:uid="{91AAC432-82B5-4824-A16B-39F64CA92F1A}"/>
    <cellStyle name="Normal 7 2 4 5 2" xfId="335" xr:uid="{8B026E45-7784-4224-AAB1-A363B38C0F91}"/>
    <cellStyle name="Normal 7 2 4 6" xfId="212" xr:uid="{9F8A37DF-FE88-4F8F-BBEF-E1A9010D0386}"/>
    <cellStyle name="Normal 7 2 4 6 2" xfId="340" xr:uid="{27BEB56F-E39F-4248-A118-E67E75815A2F}"/>
    <cellStyle name="Normal 7 2 4 7" xfId="216" xr:uid="{098043DA-246C-4DE3-A791-98223E2EC574}"/>
    <cellStyle name="Normal 7 2 4 7 2" xfId="344" xr:uid="{DEDE0283-8705-4827-8908-072BA80DD75D}"/>
    <cellStyle name="Normal 7 2 4 8" xfId="225" xr:uid="{20BF7F06-986E-4077-A52F-4C1FB44BABC9}"/>
    <cellStyle name="Normal 7 2 4 8 2" xfId="351" xr:uid="{0F114736-8489-4B4E-A6E5-0F9C612113BA}"/>
    <cellStyle name="Normal 7 2 4 9" xfId="229" xr:uid="{F33AE060-3065-470D-B38D-F080FC896401}"/>
    <cellStyle name="Normal 8" xfId="136" xr:uid="{00000000-0005-0000-0000-000096000000}"/>
    <cellStyle name="Normal 8 2" xfId="137" xr:uid="{00000000-0005-0000-0000-000097000000}"/>
    <cellStyle name="Normal 8 2 2" xfId="138" xr:uid="{00000000-0005-0000-0000-000098000000}"/>
    <cellStyle name="Normal 8 2 2 2" xfId="139" xr:uid="{00000000-0005-0000-0000-000099000000}"/>
    <cellStyle name="Normal 8 2 2 2 2" xfId="293" xr:uid="{E07DA3D5-703E-4A8F-9AA6-38461CF4D8A8}"/>
    <cellStyle name="Normal 8 2 2 3" xfId="292" xr:uid="{F1DFE201-6232-4D28-B961-5ECF473962D7}"/>
    <cellStyle name="Normal 8 2 3" xfId="140" xr:uid="{00000000-0005-0000-0000-00009A000000}"/>
    <cellStyle name="Normal 8 2 3 2" xfId="294" xr:uid="{3817D8C8-1FA0-40F9-ACFC-29A193A4455A}"/>
    <cellStyle name="Normal 8 2 4" xfId="291" xr:uid="{B43AAF19-3E06-4C3C-BDC4-FDBF8653E71E}"/>
    <cellStyle name="Normal 8 3" xfId="141" xr:uid="{00000000-0005-0000-0000-00009B000000}"/>
    <cellStyle name="Normal 8 3 2" xfId="142" xr:uid="{00000000-0005-0000-0000-00009C000000}"/>
    <cellStyle name="Normal 8 3 2 2" xfId="296" xr:uid="{CB533A8A-A848-4146-8114-A19AAD87B50A}"/>
    <cellStyle name="Normal 8 3 3" xfId="295" xr:uid="{D19A43F1-6B98-45B9-BC22-46566435FE5C}"/>
    <cellStyle name="Normal 8 4" xfId="143" xr:uid="{00000000-0005-0000-0000-00009D000000}"/>
    <cellStyle name="Normal 8 4 2" xfId="297" xr:uid="{83381719-E5C1-4834-A4DA-5241951AC51F}"/>
    <cellStyle name="Normal 8 5" xfId="290" xr:uid="{1FE5C21B-730F-4498-93B1-6A7CA8E11AA0}"/>
    <cellStyle name="Normal 9" xfId="144" xr:uid="{00000000-0005-0000-0000-00009E000000}"/>
    <cellStyle name="Normal 9 2" xfId="145" xr:uid="{00000000-0005-0000-0000-00009F000000}"/>
    <cellStyle name="Normal 9 2 2" xfId="146" xr:uid="{00000000-0005-0000-0000-0000A0000000}"/>
    <cellStyle name="Normal 9 2 2 2" xfId="147" xr:uid="{00000000-0005-0000-0000-0000A1000000}"/>
    <cellStyle name="Normal 9 2 2 2 2" xfId="300" xr:uid="{7C62ACAD-57CC-46D8-827B-C1EFF6594FF9}"/>
    <cellStyle name="Normal 9 2 2 3" xfId="299" xr:uid="{616EA9C0-2BAD-4DD3-8B04-64ACB795A43D}"/>
    <cellStyle name="Normal 9 2 3" xfId="148" xr:uid="{00000000-0005-0000-0000-0000A2000000}"/>
    <cellStyle name="Normal 9 2 3 2" xfId="301" xr:uid="{4636D8E5-22F9-43CC-AE4D-1BA9ECC88393}"/>
    <cellStyle name="Normal 9 3" xfId="149" xr:uid="{00000000-0005-0000-0000-0000A3000000}"/>
    <cellStyle name="Normal 9 3 2" xfId="150" xr:uid="{00000000-0005-0000-0000-0000A4000000}"/>
    <cellStyle name="Normal 9 3 2 2" xfId="303" xr:uid="{31721BBF-4E10-4A7E-8D48-969ECB4C4B3A}"/>
    <cellStyle name="Normal 9 3 3" xfId="302" xr:uid="{56FEC216-2A64-4403-B69E-01BC789F03F0}"/>
    <cellStyle name="Normal 9 4" xfId="151" xr:uid="{00000000-0005-0000-0000-0000A5000000}"/>
    <cellStyle name="Normal 9 4 2" xfId="304" xr:uid="{EFB441B8-9099-41FD-B37E-E1EFFAFD3399}"/>
    <cellStyle name="Normal 9 5" xfId="298" xr:uid="{8A2B7034-3C5E-4A39-8EA7-9F77D6108196}"/>
    <cellStyle name="Normal_Hoja2" xfId="5" xr:uid="{00000000-0005-0000-0000-0000A6000000}"/>
    <cellStyle name="Normal_Presupuesto 2012" xfId="4" xr:uid="{00000000-0005-0000-0000-0000A7000000}"/>
    <cellStyle name="Normal_Presupuesto 2012 2" xfId="218" xr:uid="{E665FCF6-BA98-4F55-A589-3AFDFA0A0E43}"/>
    <cellStyle name="Notas 2" xfId="152" xr:uid="{00000000-0005-0000-0000-0000A8000000}"/>
    <cellStyle name="Porcentaje" xfId="3" builtinId="5"/>
    <cellStyle name="Porcentaje 2" xfId="9" xr:uid="{00000000-0005-0000-0000-0000AA000000}"/>
    <cellStyle name="Porcentaje 2 2" xfId="204" xr:uid="{4B3F0265-9BAF-41FE-9DAF-B527CFA97561}"/>
    <cellStyle name="Porcentaje 3" xfId="153" xr:uid="{00000000-0005-0000-0000-0000AB000000}"/>
    <cellStyle name="Porcentaje 4" xfId="180" xr:uid="{00000000-0005-0000-0000-0000AC000000}"/>
    <cellStyle name="Porcentaje 5" xfId="376" xr:uid="{A6DBA6A8-2BA0-4B0A-94F0-1B8721954237}"/>
    <cellStyle name="Porcentual 2" xfId="154" xr:uid="{00000000-0005-0000-0000-0000AD000000}"/>
    <cellStyle name="Porcentual 2 2" xfId="6" xr:uid="{00000000-0005-0000-0000-0000AE000000}"/>
    <cellStyle name="Porcentual 3" xfId="155" xr:uid="{00000000-0005-0000-0000-0000AF000000}"/>
    <cellStyle name="Porcentual 4" xfId="156" xr:uid="{00000000-0005-0000-0000-0000B0000000}"/>
    <cellStyle name="Porcentual 4 2" xfId="305" xr:uid="{35BCD497-7CC6-4135-8B5C-49705D60BA94}"/>
    <cellStyle name="Porcentual_Presupuesto 2012" xfId="7" xr:uid="{00000000-0005-0000-0000-0000B1000000}"/>
    <cellStyle name="Salida 2" xfId="157" xr:uid="{00000000-0005-0000-0000-0000B2000000}"/>
    <cellStyle name="Texto de advertencia 2" xfId="158" xr:uid="{00000000-0005-0000-0000-0000B3000000}"/>
    <cellStyle name="Texto explicativo 2" xfId="159" xr:uid="{00000000-0005-0000-0000-0000B4000000}"/>
    <cellStyle name="Título 1 2" xfId="160" xr:uid="{00000000-0005-0000-0000-0000B5000000}"/>
    <cellStyle name="Título 2 2" xfId="161" xr:uid="{00000000-0005-0000-0000-0000B6000000}"/>
    <cellStyle name="Título 3 2" xfId="162" xr:uid="{00000000-0005-0000-0000-0000B7000000}"/>
    <cellStyle name="Título 4" xfId="163" xr:uid="{00000000-0005-0000-0000-0000B8000000}"/>
    <cellStyle name="Total 2" xfId="164" xr:uid="{00000000-0005-0000-0000-0000B9000000}"/>
  </cellStyles>
  <dxfs count="0"/>
  <tableStyles count="0" defaultTableStyle="TableStyleMedium2" defaultPivotStyle="PivotStyleLight16"/>
  <colors>
    <mruColors>
      <color rgb="FFE4E8EC"/>
      <color rgb="FFF9FE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295275</xdr:colOff>
      <xdr:row>0</xdr:row>
      <xdr:rowOff>47625</xdr:rowOff>
    </xdr:from>
    <xdr:ext cx="2486025" cy="533400"/>
    <xdr:pic>
      <xdr:nvPicPr>
        <xdr:cNvPr id="2" name="image2.jpg">
          <a:extLst>
            <a:ext uri="{FF2B5EF4-FFF2-40B4-BE49-F238E27FC236}">
              <a16:creationId xmlns:a16="http://schemas.microsoft.com/office/drawing/2014/main" id="{0B000303-3E38-4511-9926-30849E01FFD3}"/>
            </a:ext>
          </a:extLst>
        </xdr:cNvPr>
        <xdr:cNvPicPr preferRelativeResize="0"/>
      </xdr:nvPicPr>
      <xdr:blipFill>
        <a:blip xmlns:r="http://schemas.openxmlformats.org/officeDocument/2006/relationships" r:embed="rId1" cstate="print"/>
        <a:stretch>
          <a:fillRect/>
        </a:stretch>
      </xdr:blipFill>
      <xdr:spPr>
        <a:xfrm>
          <a:off x="295275" y="47625"/>
          <a:ext cx="2486025" cy="5334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476250</xdr:colOff>
      <xdr:row>120</xdr:row>
      <xdr:rowOff>19050</xdr:rowOff>
    </xdr:from>
    <xdr:to>
      <xdr:col>5</xdr:col>
      <xdr:colOff>953687</xdr:colOff>
      <xdr:row>167</xdr:row>
      <xdr:rowOff>143955</xdr:rowOff>
    </xdr:to>
    <xdr:pic>
      <xdr:nvPicPr>
        <xdr:cNvPr id="5" name="Imagen 4">
          <a:extLst>
            <a:ext uri="{FF2B5EF4-FFF2-40B4-BE49-F238E27FC236}">
              <a16:creationId xmlns:a16="http://schemas.microsoft.com/office/drawing/2014/main" id="{B9E6A155-21BE-BF98-1D78-B785CCD4F386}"/>
            </a:ext>
          </a:extLst>
        </xdr:cNvPr>
        <xdr:cNvPicPr>
          <a:picLocks noChangeAspect="1"/>
        </xdr:cNvPicPr>
      </xdr:nvPicPr>
      <xdr:blipFill>
        <a:blip xmlns:r="http://schemas.openxmlformats.org/officeDocument/2006/relationships" r:embed="rId1"/>
        <a:stretch>
          <a:fillRect/>
        </a:stretch>
      </xdr:blipFill>
      <xdr:spPr>
        <a:xfrm>
          <a:off x="476250" y="26917650"/>
          <a:ext cx="8507012" cy="7735380"/>
        </a:xfrm>
        <a:prstGeom prst="rect">
          <a:avLst/>
        </a:prstGeom>
      </xdr:spPr>
    </xdr:pic>
    <xdr:clientData/>
  </xdr:twoCellAnchor>
  <xdr:twoCellAnchor editAs="oneCell">
    <xdr:from>
      <xdr:col>9</xdr:col>
      <xdr:colOff>0</xdr:colOff>
      <xdr:row>121</xdr:row>
      <xdr:rowOff>0</xdr:rowOff>
    </xdr:from>
    <xdr:to>
      <xdr:col>18</xdr:col>
      <xdr:colOff>144073</xdr:colOff>
      <xdr:row>142</xdr:row>
      <xdr:rowOff>114791</xdr:rowOff>
    </xdr:to>
    <xdr:pic>
      <xdr:nvPicPr>
        <xdr:cNvPr id="6" name="Imagen 5">
          <a:extLst>
            <a:ext uri="{FF2B5EF4-FFF2-40B4-BE49-F238E27FC236}">
              <a16:creationId xmlns:a16="http://schemas.microsoft.com/office/drawing/2014/main" id="{7B986EF7-B4D4-2B06-7400-256A0056ECD6}"/>
            </a:ext>
          </a:extLst>
        </xdr:cNvPr>
        <xdr:cNvPicPr>
          <a:picLocks noChangeAspect="1"/>
        </xdr:cNvPicPr>
      </xdr:nvPicPr>
      <xdr:blipFill>
        <a:blip xmlns:r="http://schemas.openxmlformats.org/officeDocument/2006/relationships" r:embed="rId2"/>
        <a:stretch>
          <a:fillRect/>
        </a:stretch>
      </xdr:blipFill>
      <xdr:spPr>
        <a:xfrm>
          <a:off x="12706350" y="27060525"/>
          <a:ext cx="8583223" cy="3515216"/>
        </a:xfrm>
        <a:prstGeom prst="rect">
          <a:avLst/>
        </a:prstGeom>
      </xdr:spPr>
    </xdr:pic>
    <xdr:clientData/>
  </xdr:twoCellAnchor>
  <xdr:twoCellAnchor editAs="oneCell">
    <xdr:from>
      <xdr:col>10</xdr:col>
      <xdr:colOff>285750</xdr:colOff>
      <xdr:row>83</xdr:row>
      <xdr:rowOff>9525</xdr:rowOff>
    </xdr:from>
    <xdr:to>
      <xdr:col>17</xdr:col>
      <xdr:colOff>353362</xdr:colOff>
      <xdr:row>114</xdr:row>
      <xdr:rowOff>134366</xdr:rowOff>
    </xdr:to>
    <xdr:pic>
      <xdr:nvPicPr>
        <xdr:cNvPr id="3" name="Imagen 2">
          <a:extLst>
            <a:ext uri="{FF2B5EF4-FFF2-40B4-BE49-F238E27FC236}">
              <a16:creationId xmlns:a16="http://schemas.microsoft.com/office/drawing/2014/main" id="{FB73C6F3-A022-F098-B453-C7F391DD43C0}"/>
            </a:ext>
          </a:extLst>
        </xdr:cNvPr>
        <xdr:cNvPicPr>
          <a:picLocks noChangeAspect="1"/>
        </xdr:cNvPicPr>
      </xdr:nvPicPr>
      <xdr:blipFill>
        <a:blip xmlns:r="http://schemas.openxmlformats.org/officeDocument/2006/relationships" r:embed="rId3"/>
        <a:stretch>
          <a:fillRect/>
        </a:stretch>
      </xdr:blipFill>
      <xdr:spPr>
        <a:xfrm>
          <a:off x="14020800" y="18459450"/>
          <a:ext cx="6716062" cy="72781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298450</xdr:colOff>
      <xdr:row>0</xdr:row>
      <xdr:rowOff>47625</xdr:rowOff>
    </xdr:from>
    <xdr:to>
      <xdr:col>3</xdr:col>
      <xdr:colOff>289898</xdr:colOff>
      <xdr:row>2</xdr:row>
      <xdr:rowOff>177800</xdr:rowOff>
    </xdr:to>
    <xdr:pic>
      <xdr:nvPicPr>
        <xdr:cNvPr id="2" name="Imagen 1">
          <a:extLst>
            <a:ext uri="{FF2B5EF4-FFF2-40B4-BE49-F238E27FC236}">
              <a16:creationId xmlns:a16="http://schemas.microsoft.com/office/drawing/2014/main" id="{F56C1990-0F4A-4166-8B4A-15D781C428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450" y="47625"/>
          <a:ext cx="2486998" cy="5492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298450</xdr:colOff>
      <xdr:row>0</xdr:row>
      <xdr:rowOff>47625</xdr:rowOff>
    </xdr:from>
    <xdr:to>
      <xdr:col>3</xdr:col>
      <xdr:colOff>451643</xdr:colOff>
      <xdr:row>2</xdr:row>
      <xdr:rowOff>177800</xdr:rowOff>
    </xdr:to>
    <xdr:pic>
      <xdr:nvPicPr>
        <xdr:cNvPr id="2" name="Imagen 1">
          <a:extLst>
            <a:ext uri="{FF2B5EF4-FFF2-40B4-BE49-F238E27FC236}">
              <a16:creationId xmlns:a16="http://schemas.microsoft.com/office/drawing/2014/main" id="{D4F0E6EF-A30E-442E-90E9-84B5E28C66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450" y="47625"/>
          <a:ext cx="2505868" cy="5492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10</xdr:col>
      <xdr:colOff>418095</xdr:colOff>
      <xdr:row>42</xdr:row>
      <xdr:rowOff>65837</xdr:rowOff>
    </xdr:to>
    <xdr:pic>
      <xdr:nvPicPr>
        <xdr:cNvPr id="2" name="Imagen 1">
          <a:extLst>
            <a:ext uri="{FF2B5EF4-FFF2-40B4-BE49-F238E27FC236}">
              <a16:creationId xmlns:a16="http://schemas.microsoft.com/office/drawing/2014/main" id="{36B8A208-BD0A-427E-B1DD-9F2426F10B08}"/>
            </a:ext>
          </a:extLst>
        </xdr:cNvPr>
        <xdr:cNvPicPr>
          <a:picLocks noChangeAspect="1"/>
        </xdr:cNvPicPr>
      </xdr:nvPicPr>
      <xdr:blipFill>
        <a:blip xmlns:r="http://schemas.openxmlformats.org/officeDocument/2006/relationships" r:embed="rId1"/>
        <a:stretch>
          <a:fillRect/>
        </a:stretch>
      </xdr:blipFill>
      <xdr:spPr>
        <a:xfrm>
          <a:off x="0" y="161925"/>
          <a:ext cx="8038095" cy="6704762"/>
        </a:xfrm>
        <a:prstGeom prst="rect">
          <a:avLst/>
        </a:prstGeom>
      </xdr:spPr>
    </xdr:pic>
    <xdr:clientData/>
  </xdr:twoCellAnchor>
  <xdr:twoCellAnchor editAs="oneCell">
    <xdr:from>
      <xdr:col>10</xdr:col>
      <xdr:colOff>47625</xdr:colOff>
      <xdr:row>13</xdr:row>
      <xdr:rowOff>28575</xdr:rowOff>
    </xdr:from>
    <xdr:to>
      <xdr:col>23</xdr:col>
      <xdr:colOff>274958</xdr:colOff>
      <xdr:row>43</xdr:row>
      <xdr:rowOff>37492</xdr:rowOff>
    </xdr:to>
    <xdr:pic>
      <xdr:nvPicPr>
        <xdr:cNvPr id="3" name="Imagen 2">
          <a:extLst>
            <a:ext uri="{FF2B5EF4-FFF2-40B4-BE49-F238E27FC236}">
              <a16:creationId xmlns:a16="http://schemas.microsoft.com/office/drawing/2014/main" id="{75073712-73E5-45C7-9BF5-2CB972FA2AE1}"/>
            </a:ext>
          </a:extLst>
        </xdr:cNvPr>
        <xdr:cNvPicPr>
          <a:picLocks noChangeAspect="1"/>
        </xdr:cNvPicPr>
      </xdr:nvPicPr>
      <xdr:blipFill>
        <a:blip xmlns:r="http://schemas.openxmlformats.org/officeDocument/2006/relationships" r:embed="rId2"/>
        <a:stretch>
          <a:fillRect/>
        </a:stretch>
      </xdr:blipFill>
      <xdr:spPr>
        <a:xfrm>
          <a:off x="7667625" y="2133600"/>
          <a:ext cx="10133333" cy="486666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an Gonzalo Palacio Jaramillo" id="{927B5331-638D-40D0-B3FD-F3206455791D}" userId="S::juan.palacio@metropol.gov.co::baac47ab-9a81-43b3-ac98-41c072e6051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8" dT="2024-12-20T20:38:17.90" personId="{927B5331-638D-40D0-B3FD-F3206455791D}" id="{D9D9969B-F286-42AE-9B15-333216E50F7B}">
    <text>Revisar con el RP</text>
  </threadedComment>
</ThreadedComments>
</file>

<file path=xl/threadedComments/threadedComment2.xml><?xml version="1.0" encoding="utf-8"?>
<ThreadedComments xmlns="http://schemas.microsoft.com/office/spreadsheetml/2018/threadedcomments" xmlns:x="http://schemas.openxmlformats.org/spreadsheetml/2006/main">
  <threadedComment ref="A86" dT="2026-03-04T23:08:20.45" personId="{927B5331-638D-40D0-B3FD-F3206455791D}" id="{3550B550-A3E6-4955-B537-1B8FD58CFB41}">
    <text>Revisar bien la proyección que se tenga desde el AMVA Sede...</text>
  </threadedComment>
</ThreadedComments>
</file>

<file path=xl/threadedComments/threadedComment3.xml><?xml version="1.0" encoding="utf-8"?>
<ThreadedComments xmlns="http://schemas.microsoft.com/office/spreadsheetml/2018/threadedcomments" xmlns:x="http://schemas.openxmlformats.org/spreadsheetml/2006/main">
  <threadedComment ref="AF52" dT="2025-11-05T23:40:37.46" personId="{927B5331-638D-40D0-B3FD-F3206455791D}" id="{46268DE3-112A-4AE5-BAC1-C45C907A3084}">
    <text>Si presenta 2 dias de ausencia sin justa causa, porque se contempla el pago de riesgos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xperta.legis.co/visor/legcol/legcol_5209c20e793447eb92fb661042583d19"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91F7B-06E8-439B-9F5E-2F2930727D32}">
  <sheetPr codeName="Hoja2">
    <pageSetUpPr fitToPage="1"/>
  </sheetPr>
  <dimension ref="A2:T14"/>
  <sheetViews>
    <sheetView workbookViewId="0"/>
  </sheetViews>
  <sheetFormatPr baseColWidth="10" defaultColWidth="11.42578125" defaultRowHeight="12"/>
  <cols>
    <col min="1" max="1" width="28.85546875" style="1" customWidth="1"/>
    <col min="2" max="2" width="16" style="1" bestFit="1" customWidth="1"/>
    <col min="3" max="3" width="64.42578125" style="1" customWidth="1"/>
    <col min="4" max="4" width="38.140625" style="1" bestFit="1" customWidth="1"/>
    <col min="5" max="5" width="18.140625" style="1" bestFit="1" customWidth="1"/>
    <col min="6" max="6" width="4.85546875" style="1" customWidth="1"/>
    <col min="7" max="11" width="11.140625" style="1" customWidth="1"/>
    <col min="12" max="12" width="22.7109375" style="1" bestFit="1" customWidth="1"/>
    <col min="13" max="13" width="26.7109375" style="1" customWidth="1"/>
    <col min="14" max="14" width="21.85546875" style="1" customWidth="1"/>
    <col min="15" max="15" width="26" style="1" customWidth="1"/>
    <col min="16" max="16" width="21" style="1" customWidth="1"/>
    <col min="17" max="17" width="20.85546875" style="1" customWidth="1"/>
    <col min="18" max="18" width="20.140625" style="1" customWidth="1"/>
    <col min="19" max="19" width="22.42578125" style="3" customWidth="1"/>
    <col min="20" max="20" width="19.85546875" style="3" customWidth="1"/>
    <col min="21" max="21" width="23.140625" style="1" bestFit="1" customWidth="1"/>
    <col min="22" max="22" width="25.7109375" style="1" bestFit="1" customWidth="1"/>
    <col min="23" max="16384" width="11.42578125" style="1"/>
  </cols>
  <sheetData>
    <row r="2" spans="1:20" s="97" customFormat="1" ht="27.75" customHeight="1">
      <c r="A2" s="901" t="s">
        <v>0</v>
      </c>
      <c r="B2" s="902"/>
      <c r="C2" s="902"/>
      <c r="D2" s="902"/>
      <c r="E2" s="902"/>
      <c r="F2" s="114"/>
      <c r="G2" s="114"/>
      <c r="H2" s="114"/>
      <c r="I2" s="114"/>
      <c r="J2" s="114"/>
      <c r="K2" s="114"/>
      <c r="L2" s="114"/>
      <c r="M2" s="114"/>
      <c r="N2" s="114"/>
      <c r="O2" s="114"/>
      <c r="P2" s="114"/>
      <c r="Q2" s="114"/>
      <c r="R2" s="114"/>
      <c r="S2" s="114"/>
      <c r="T2" s="115"/>
    </row>
    <row r="3" spans="1:20" s="106" customFormat="1" ht="42.75" customHeight="1">
      <c r="A3" s="903" t="s">
        <v>1</v>
      </c>
      <c r="B3" s="904"/>
      <c r="C3" s="904"/>
      <c r="D3" s="904"/>
      <c r="E3" s="904"/>
      <c r="F3" s="117"/>
      <c r="G3" s="117"/>
      <c r="H3" s="117"/>
      <c r="I3" s="117"/>
      <c r="J3" s="117"/>
      <c r="K3" s="117"/>
      <c r="L3" s="117"/>
      <c r="M3" s="117"/>
      <c r="N3" s="117"/>
      <c r="O3" s="117"/>
      <c r="P3" s="117"/>
      <c r="Q3" s="117"/>
      <c r="R3" s="117"/>
      <c r="S3" s="117"/>
      <c r="T3" s="116"/>
    </row>
    <row r="4" spans="1:20" s="97" customFormat="1" ht="12.75">
      <c r="A4" s="905"/>
      <c r="B4" s="905"/>
      <c r="C4" s="905"/>
      <c r="D4" s="905"/>
      <c r="E4" s="905"/>
    </row>
    <row r="5" spans="1:20" ht="12.75" thickBot="1">
      <c r="A5" s="906"/>
      <c r="B5" s="906"/>
      <c r="C5" s="906"/>
      <c r="D5" s="906"/>
      <c r="E5" s="906"/>
      <c r="F5" s="906"/>
      <c r="G5" s="906"/>
      <c r="H5" s="906"/>
      <c r="I5" s="906"/>
      <c r="J5" s="906"/>
      <c r="K5" s="906"/>
      <c r="L5" s="906"/>
      <c r="M5" s="906"/>
      <c r="N5" s="906"/>
      <c r="O5" s="906"/>
      <c r="P5" s="906"/>
      <c r="Q5" s="906"/>
      <c r="R5" s="906"/>
      <c r="S5" s="906"/>
      <c r="T5" s="906"/>
    </row>
    <row r="6" spans="1:20" s="97" customFormat="1" ht="26.25" customHeight="1" thickTop="1" thickBot="1">
      <c r="A6" s="922" t="s">
        <v>2</v>
      </c>
      <c r="B6" s="925" t="s">
        <v>3</v>
      </c>
      <c r="C6" s="926"/>
      <c r="D6" s="926"/>
      <c r="E6" s="926"/>
      <c r="G6" s="907" t="s">
        <v>4</v>
      </c>
      <c r="H6" s="908"/>
      <c r="I6" s="908"/>
      <c r="J6" s="908"/>
      <c r="K6" s="908"/>
      <c r="L6" s="909"/>
      <c r="M6" s="920" t="s">
        <v>5</v>
      </c>
    </row>
    <row r="7" spans="1:20" s="97" customFormat="1" ht="74.25" customHeight="1" thickTop="1" thickBot="1">
      <c r="A7" s="923"/>
      <c r="B7" s="917" t="s">
        <v>6</v>
      </c>
      <c r="C7" s="118" t="s">
        <v>7</v>
      </c>
      <c r="D7" s="98" t="s">
        <v>8</v>
      </c>
      <c r="E7" s="96" t="s">
        <v>9</v>
      </c>
      <c r="G7" s="917" t="s">
        <v>6</v>
      </c>
      <c r="H7" s="914" t="s">
        <v>10</v>
      </c>
      <c r="I7" s="915"/>
      <c r="J7" s="915"/>
      <c r="K7" s="916"/>
      <c r="L7" s="94" t="s">
        <v>11</v>
      </c>
      <c r="M7" s="921"/>
    </row>
    <row r="8" spans="1:20" s="97" customFormat="1" ht="42.75" customHeight="1" thickTop="1" thickBot="1">
      <c r="A8" s="923"/>
      <c r="B8" s="918"/>
      <c r="C8" s="119" t="s">
        <v>12</v>
      </c>
      <c r="D8" s="107" t="e">
        <f>#REF!</f>
        <v>#REF!</v>
      </c>
      <c r="E8" s="99" t="s">
        <v>13</v>
      </c>
      <c r="G8" s="918"/>
      <c r="H8" s="911" t="s">
        <v>14</v>
      </c>
      <c r="I8" s="912"/>
      <c r="J8" s="912"/>
      <c r="K8" s="913"/>
      <c r="L8" s="93" t="e">
        <f>+D8+D12</f>
        <v>#REF!</v>
      </c>
      <c r="M8" s="113">
        <v>1324301528</v>
      </c>
    </row>
    <row r="9" spans="1:20" s="97" customFormat="1" ht="26.25" customHeight="1" thickTop="1" thickBot="1">
      <c r="A9" s="923"/>
      <c r="B9" s="918"/>
      <c r="C9" s="119" t="s">
        <v>15</v>
      </c>
      <c r="D9" s="107" t="e">
        <f>#REF!</f>
        <v>#REF!</v>
      </c>
      <c r="E9" s="99" t="s">
        <v>16</v>
      </c>
      <c r="G9" s="918"/>
      <c r="H9" s="911" t="s">
        <v>17</v>
      </c>
      <c r="I9" s="912"/>
      <c r="J9" s="912"/>
      <c r="K9" s="913"/>
      <c r="L9" s="93" t="e">
        <f>+D9+D10</f>
        <v>#REF!</v>
      </c>
      <c r="M9" s="113">
        <v>92529562</v>
      </c>
    </row>
    <row r="10" spans="1:20" s="97" customFormat="1" ht="26.25" customHeight="1" thickTop="1" thickBot="1">
      <c r="A10" s="923"/>
      <c r="B10" s="918"/>
      <c r="C10" s="119" t="s">
        <v>18</v>
      </c>
      <c r="D10" s="107" t="e">
        <f>#REF!</f>
        <v>#REF!</v>
      </c>
      <c r="E10" s="99" t="s">
        <v>16</v>
      </c>
      <c r="G10" s="918"/>
      <c r="H10" s="911" t="s">
        <v>19</v>
      </c>
      <c r="I10" s="912"/>
      <c r="J10" s="912"/>
      <c r="K10" s="913"/>
      <c r="L10" s="93" t="e">
        <f>+D11</f>
        <v>#REF!</v>
      </c>
      <c r="M10" s="113">
        <v>139823033</v>
      </c>
    </row>
    <row r="11" spans="1:20" s="97" customFormat="1" ht="42.75" customHeight="1" thickTop="1" thickBot="1">
      <c r="A11" s="923"/>
      <c r="B11" s="918"/>
      <c r="C11" s="119" t="s">
        <v>20</v>
      </c>
      <c r="D11" s="107" t="e">
        <f>#REF!+#REF!+#REF!+#REF!+#REF!+#REF!+#REF!</f>
        <v>#REF!</v>
      </c>
      <c r="E11" s="99" t="s">
        <v>21</v>
      </c>
      <c r="G11" s="919"/>
      <c r="H11" s="914" t="s">
        <v>22</v>
      </c>
      <c r="I11" s="915"/>
      <c r="J11" s="915"/>
      <c r="K11" s="916"/>
      <c r="L11" s="95" t="e">
        <f>SUM(L8:L10)</f>
        <v>#REF!</v>
      </c>
      <c r="M11" s="113">
        <f>SUM(M8:M10)</f>
        <v>1556654123</v>
      </c>
    </row>
    <row r="12" spans="1:20" s="97" customFormat="1" ht="26.25" customHeight="1" thickTop="1" thickBot="1">
      <c r="A12" s="923"/>
      <c r="B12" s="918"/>
      <c r="C12" s="119" t="s">
        <v>23</v>
      </c>
      <c r="D12" s="107" t="e">
        <f>#REF!</f>
        <v>#REF!</v>
      </c>
      <c r="E12" s="99" t="s">
        <v>13</v>
      </c>
    </row>
    <row r="13" spans="1:20" s="97" customFormat="1" ht="26.25" customHeight="1" thickTop="1" thickBot="1">
      <c r="A13" s="924"/>
      <c r="B13" s="919"/>
      <c r="C13" s="120" t="s">
        <v>22</v>
      </c>
      <c r="D13" s="92" t="e">
        <f>SUM(D8:D12)</f>
        <v>#REF!</v>
      </c>
      <c r="E13" s="100"/>
    </row>
    <row r="14" spans="1:20" ht="9.75" customHeight="1" thickTop="1">
      <c r="A14" s="910"/>
      <c r="B14" s="910"/>
      <c r="C14" s="910"/>
      <c r="D14" s="910"/>
      <c r="E14" s="910"/>
      <c r="F14" s="910"/>
      <c r="G14" s="910"/>
      <c r="H14" s="910"/>
      <c r="I14" s="910"/>
      <c r="J14" s="910"/>
      <c r="K14" s="910"/>
      <c r="L14" s="910"/>
      <c r="M14" s="910"/>
      <c r="N14" s="910"/>
      <c r="O14" s="910"/>
      <c r="P14" s="910"/>
      <c r="Q14" s="910"/>
      <c r="R14" s="910"/>
      <c r="S14" s="910"/>
      <c r="T14" s="910"/>
    </row>
  </sheetData>
  <mergeCells count="16">
    <mergeCell ref="A14:T14"/>
    <mergeCell ref="H10:K10"/>
    <mergeCell ref="H11:K11"/>
    <mergeCell ref="G7:G11"/>
    <mergeCell ref="H7:K7"/>
    <mergeCell ref="H8:K8"/>
    <mergeCell ref="H9:K9"/>
    <mergeCell ref="M6:M7"/>
    <mergeCell ref="B7:B13"/>
    <mergeCell ref="A6:A13"/>
    <mergeCell ref="B6:E6"/>
    <mergeCell ref="A2:E2"/>
    <mergeCell ref="A3:E3"/>
    <mergeCell ref="A4:E4"/>
    <mergeCell ref="A5:T5"/>
    <mergeCell ref="G6:L6"/>
  </mergeCells>
  <pageMargins left="0.35433070866141736" right="0" top="0.19685039370078741" bottom="0.19685039370078741" header="0" footer="0"/>
  <pageSetup paperSize="5" scale="41" fitToHeight="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E90E3-12DD-4311-A199-119B2826F142}">
  <dimension ref="A1:Z14"/>
  <sheetViews>
    <sheetView workbookViewId="0">
      <selection sqref="A1:J3"/>
    </sheetView>
  </sheetViews>
  <sheetFormatPr baseColWidth="10" defaultColWidth="14.42578125" defaultRowHeight="15" customHeight="1"/>
  <cols>
    <col min="1" max="1" width="6.28515625" style="493" customWidth="1"/>
    <col min="2" max="2" width="12.140625" style="493" customWidth="1"/>
    <col min="3" max="3" width="11.28515625" style="493" customWidth="1"/>
    <col min="4" max="4" width="34.28515625" style="493" customWidth="1"/>
    <col min="5" max="5" width="14.7109375" style="493" customWidth="1"/>
    <col min="6" max="6" width="36.42578125" style="493" customWidth="1"/>
    <col min="7" max="7" width="14.85546875" style="493" customWidth="1"/>
    <col min="8" max="8" width="12.7109375" style="493" customWidth="1"/>
    <col min="9" max="9" width="11.28515625" style="493" customWidth="1"/>
    <col min="10" max="10" width="14.85546875" style="493" customWidth="1"/>
    <col min="11" max="11" width="14.7109375" style="493" customWidth="1"/>
    <col min="12" max="12" width="16.28515625" style="493" customWidth="1"/>
    <col min="13" max="13" width="1.140625" style="493" hidden="1" customWidth="1"/>
    <col min="14" max="14" width="14.7109375" style="493" customWidth="1"/>
    <col min="15" max="15" width="18.85546875" style="493" customWidth="1"/>
    <col min="16" max="17" width="15.42578125" style="493" hidden="1" customWidth="1"/>
    <col min="18" max="21" width="17.140625" style="493" customWidth="1"/>
    <col min="22" max="46" width="40.42578125" style="493" customWidth="1"/>
    <col min="47" max="16384" width="14.42578125" style="493"/>
  </cols>
  <sheetData>
    <row r="1" spans="1:26" ht="18" customHeight="1">
      <c r="A1" s="935" t="s">
        <v>24</v>
      </c>
      <c r="B1" s="931"/>
      <c r="C1" s="931"/>
      <c r="D1" s="931"/>
      <c r="E1" s="931"/>
      <c r="F1" s="931"/>
      <c r="G1" s="931"/>
      <c r="H1" s="931"/>
      <c r="I1" s="931"/>
      <c r="J1" s="936"/>
      <c r="K1" s="499" t="s">
        <v>25</v>
      </c>
      <c r="L1" s="499" t="s">
        <v>26</v>
      </c>
      <c r="M1" s="499"/>
      <c r="N1" s="500" t="s">
        <v>25</v>
      </c>
      <c r="O1" s="500" t="s">
        <v>27</v>
      </c>
      <c r="P1" s="939"/>
      <c r="Q1" s="502"/>
      <c r="R1" s="501"/>
      <c r="S1" s="501"/>
      <c r="T1" s="501"/>
      <c r="U1" s="501"/>
      <c r="V1" s="501"/>
      <c r="W1" s="501"/>
      <c r="X1" s="501"/>
      <c r="Y1" s="501"/>
      <c r="Z1" s="501"/>
    </row>
    <row r="2" spans="1:26" ht="14.25" customHeight="1">
      <c r="A2" s="931"/>
      <c r="B2" s="931"/>
      <c r="C2" s="931"/>
      <c r="D2" s="931"/>
      <c r="E2" s="931"/>
      <c r="F2" s="931"/>
      <c r="G2" s="931"/>
      <c r="H2" s="931"/>
      <c r="I2" s="931"/>
      <c r="J2" s="936"/>
      <c r="K2" s="503" t="s">
        <v>28</v>
      </c>
      <c r="L2" s="499">
        <f>+K13+L13</f>
        <v>8540074.6899999995</v>
      </c>
      <c r="M2" s="503"/>
      <c r="N2" s="500" t="s">
        <v>28</v>
      </c>
      <c r="O2" s="500">
        <f>+N13+O13</f>
        <v>1568420</v>
      </c>
      <c r="P2" s="940"/>
      <c r="Q2" s="502"/>
      <c r="R2" s="501"/>
      <c r="S2" s="501"/>
      <c r="T2" s="501"/>
      <c r="U2" s="501"/>
      <c r="V2" s="501"/>
      <c r="W2" s="501"/>
      <c r="X2" s="501"/>
      <c r="Y2" s="501"/>
      <c r="Z2" s="501"/>
    </row>
    <row r="3" spans="1:26" ht="21" customHeight="1">
      <c r="A3" s="937"/>
      <c r="B3" s="937"/>
      <c r="C3" s="937"/>
      <c r="D3" s="937"/>
      <c r="E3" s="937"/>
      <c r="F3" s="937"/>
      <c r="G3" s="937"/>
      <c r="H3" s="937"/>
      <c r="I3" s="937"/>
      <c r="J3" s="938"/>
      <c r="K3" s="504"/>
      <c r="L3" s="505"/>
      <c r="M3" s="505"/>
      <c r="N3" s="506"/>
      <c r="O3" s="507"/>
      <c r="P3" s="940"/>
      <c r="Q3" s="502"/>
      <c r="R3" s="501"/>
      <c r="S3" s="501"/>
      <c r="T3" s="501"/>
      <c r="U3" s="501"/>
      <c r="V3" s="501"/>
      <c r="W3" s="501"/>
      <c r="X3" s="501"/>
      <c r="Y3" s="501"/>
      <c r="Z3" s="501"/>
    </row>
    <row r="4" spans="1:26" ht="31.5" customHeight="1">
      <c r="A4" s="941" t="s">
        <v>29</v>
      </c>
      <c r="B4" s="941" t="s">
        <v>30</v>
      </c>
      <c r="C4" s="941" t="s">
        <v>31</v>
      </c>
      <c r="D4" s="941" t="s">
        <v>32</v>
      </c>
      <c r="E4" s="941" t="s">
        <v>33</v>
      </c>
      <c r="F4" s="941" t="s">
        <v>34</v>
      </c>
      <c r="G4" s="942" t="s">
        <v>35</v>
      </c>
      <c r="H4" s="932" t="s">
        <v>36</v>
      </c>
      <c r="I4" s="932" t="s">
        <v>37</v>
      </c>
      <c r="J4" s="932" t="s">
        <v>38</v>
      </c>
      <c r="K4" s="934" t="s">
        <v>39</v>
      </c>
      <c r="L4" s="934" t="s">
        <v>40</v>
      </c>
      <c r="M4" s="934" t="s">
        <v>41</v>
      </c>
      <c r="N4" s="932" t="s">
        <v>42</v>
      </c>
      <c r="O4" s="932" t="s">
        <v>43</v>
      </c>
      <c r="P4" s="943" t="s">
        <v>44</v>
      </c>
      <c r="Q4" s="509" t="s">
        <v>45</v>
      </c>
      <c r="R4" s="501"/>
      <c r="S4" s="501"/>
      <c r="T4" s="501"/>
      <c r="U4" s="501"/>
      <c r="V4" s="501"/>
      <c r="W4" s="501"/>
      <c r="X4" s="501"/>
      <c r="Y4" s="501"/>
      <c r="Z4" s="501"/>
    </row>
    <row r="5" spans="1:26" ht="29.25" customHeight="1">
      <c r="A5" s="933"/>
      <c r="B5" s="933"/>
      <c r="C5" s="933"/>
      <c r="D5" s="933"/>
      <c r="E5" s="933"/>
      <c r="F5" s="933"/>
      <c r="G5" s="933"/>
      <c r="H5" s="933"/>
      <c r="I5" s="933"/>
      <c r="J5" s="933"/>
      <c r="K5" s="933"/>
      <c r="L5" s="933"/>
      <c r="M5" s="933"/>
      <c r="N5" s="933"/>
      <c r="O5" s="933"/>
      <c r="P5" s="933"/>
      <c r="Q5" s="508" t="s">
        <v>46</v>
      </c>
      <c r="R5" s="501"/>
      <c r="S5" s="501"/>
      <c r="T5" s="501"/>
      <c r="U5" s="501"/>
      <c r="V5" s="501"/>
      <c r="W5" s="501"/>
      <c r="X5" s="501"/>
      <c r="Y5" s="501"/>
      <c r="Z5" s="501" t="s">
        <v>47</v>
      </c>
    </row>
    <row r="6" spans="1:26" ht="39" customHeight="1">
      <c r="A6" s="510">
        <v>1</v>
      </c>
      <c r="B6" s="511" t="s">
        <v>48</v>
      </c>
      <c r="C6" s="512">
        <v>45880</v>
      </c>
      <c r="D6" s="511" t="s">
        <v>49</v>
      </c>
      <c r="E6" s="511">
        <v>43977355</v>
      </c>
      <c r="F6" s="511" t="s">
        <v>50</v>
      </c>
      <c r="G6" s="497">
        <v>66500</v>
      </c>
      <c r="H6" s="513">
        <v>0</v>
      </c>
      <c r="I6" s="513"/>
      <c r="J6" s="514">
        <f t="shared" ref="J6:J12" si="0">+G6+H6</f>
        <v>66500</v>
      </c>
      <c r="K6" s="514">
        <f t="shared" ref="K6:L8" si="1">+G6</f>
        <v>66500</v>
      </c>
      <c r="L6" s="514">
        <f t="shared" si="1"/>
        <v>0</v>
      </c>
      <c r="M6" s="514"/>
      <c r="N6" s="514"/>
      <c r="O6" s="514"/>
      <c r="P6" s="515"/>
      <c r="Q6" s="508"/>
      <c r="R6" s="502"/>
      <c r="S6" s="502"/>
      <c r="T6" s="501"/>
      <c r="U6" s="501"/>
      <c r="V6" s="501"/>
      <c r="W6" s="501"/>
      <c r="X6" s="501"/>
      <c r="Y6" s="501"/>
      <c r="Z6" s="501"/>
    </row>
    <row r="7" spans="1:26" ht="45.75" customHeight="1">
      <c r="A7" s="510">
        <v>2</v>
      </c>
      <c r="B7" s="511" t="s">
        <v>51</v>
      </c>
      <c r="C7" s="512">
        <v>45888</v>
      </c>
      <c r="D7" s="511" t="s">
        <v>52</v>
      </c>
      <c r="E7" s="511" t="s">
        <v>53</v>
      </c>
      <c r="F7" s="511" t="s">
        <v>54</v>
      </c>
      <c r="G7" s="497">
        <v>490500</v>
      </c>
      <c r="H7" s="513">
        <f t="shared" ref="H7:H12" si="2">+G7*19%</f>
        <v>93195</v>
      </c>
      <c r="I7" s="513"/>
      <c r="J7" s="514">
        <f t="shared" si="0"/>
        <v>583695</v>
      </c>
      <c r="K7" s="514">
        <f t="shared" si="1"/>
        <v>490500</v>
      </c>
      <c r="L7" s="514">
        <f t="shared" si="1"/>
        <v>93195</v>
      </c>
      <c r="M7" s="514"/>
      <c r="N7" s="514"/>
      <c r="O7" s="514"/>
      <c r="P7" s="515"/>
      <c r="Q7" s="508"/>
      <c r="R7" s="502"/>
      <c r="S7" s="502"/>
      <c r="T7" s="501"/>
      <c r="U7" s="501"/>
      <c r="V7" s="501"/>
      <c r="W7" s="501"/>
      <c r="X7" s="501"/>
      <c r="Y7" s="501"/>
      <c r="Z7" s="501"/>
    </row>
    <row r="8" spans="1:26" ht="43.5" customHeight="1">
      <c r="A8" s="510">
        <v>3</v>
      </c>
      <c r="B8" s="511" t="s">
        <v>55</v>
      </c>
      <c r="C8" s="512">
        <v>45896</v>
      </c>
      <c r="D8" s="511" t="s">
        <v>56</v>
      </c>
      <c r="E8" s="511" t="s">
        <v>57</v>
      </c>
      <c r="F8" s="511" t="s">
        <v>58</v>
      </c>
      <c r="G8" s="497">
        <v>3092000</v>
      </c>
      <c r="H8" s="513">
        <f t="shared" si="2"/>
        <v>587480</v>
      </c>
      <c r="I8" s="513">
        <f>+G8*2.5%</f>
        <v>77300</v>
      </c>
      <c r="J8" s="514">
        <f t="shared" si="0"/>
        <v>3679480</v>
      </c>
      <c r="K8" s="514">
        <f t="shared" si="1"/>
        <v>3092000</v>
      </c>
      <c r="L8" s="514">
        <f t="shared" si="1"/>
        <v>587480</v>
      </c>
      <c r="M8" s="514"/>
      <c r="N8" s="514"/>
      <c r="O8" s="514"/>
      <c r="P8" s="515"/>
      <c r="Q8" s="508"/>
      <c r="R8" s="502"/>
      <c r="S8" s="502"/>
      <c r="T8" s="501"/>
      <c r="U8" s="501"/>
      <c r="V8" s="501"/>
      <c r="W8" s="501"/>
      <c r="X8" s="501"/>
      <c r="Y8" s="501"/>
      <c r="Z8" s="501"/>
    </row>
    <row r="9" spans="1:26" ht="56.25" customHeight="1">
      <c r="A9" s="510">
        <v>4</v>
      </c>
      <c r="B9" s="516" t="s">
        <v>59</v>
      </c>
      <c r="C9" s="517">
        <v>45898</v>
      </c>
      <c r="D9" s="516" t="s">
        <v>60</v>
      </c>
      <c r="E9" s="516" t="s">
        <v>61</v>
      </c>
      <c r="F9" s="516" t="s">
        <v>62</v>
      </c>
      <c r="G9" s="498">
        <v>1318000</v>
      </c>
      <c r="H9" s="518">
        <f t="shared" si="2"/>
        <v>250420</v>
      </c>
      <c r="I9" s="518">
        <v>52720</v>
      </c>
      <c r="J9" s="514">
        <f t="shared" si="0"/>
        <v>1568420</v>
      </c>
      <c r="K9" s="519"/>
      <c r="L9" s="519"/>
      <c r="M9" s="514"/>
      <c r="N9" s="514">
        <f t="shared" ref="N9:O9" si="3">+G9</f>
        <v>1318000</v>
      </c>
      <c r="O9" s="514">
        <f t="shared" si="3"/>
        <v>250420</v>
      </c>
      <c r="P9" s="515"/>
      <c r="Q9" s="508"/>
      <c r="R9" s="502"/>
      <c r="S9" s="502"/>
      <c r="T9" s="501"/>
      <c r="U9" s="501"/>
      <c r="V9" s="501"/>
      <c r="W9" s="501"/>
      <c r="X9" s="501"/>
      <c r="Y9" s="501"/>
      <c r="Z9" s="501"/>
    </row>
    <row r="10" spans="1:26" ht="39" customHeight="1">
      <c r="A10" s="510">
        <v>5</v>
      </c>
      <c r="B10" s="516" t="s">
        <v>63</v>
      </c>
      <c r="C10" s="517">
        <v>45899</v>
      </c>
      <c r="D10" s="516" t="s">
        <v>64</v>
      </c>
      <c r="E10" s="516" t="s">
        <v>65</v>
      </c>
      <c r="F10" s="516" t="s">
        <v>66</v>
      </c>
      <c r="G10" s="498">
        <v>1378151</v>
      </c>
      <c r="H10" s="518">
        <f t="shared" si="2"/>
        <v>261848.69</v>
      </c>
      <c r="I10" s="518">
        <v>34454</v>
      </c>
      <c r="J10" s="514">
        <f t="shared" si="0"/>
        <v>1639999.69</v>
      </c>
      <c r="K10" s="514">
        <f t="shared" ref="K10:L12" si="4">+G10</f>
        <v>1378151</v>
      </c>
      <c r="L10" s="514">
        <f t="shared" si="4"/>
        <v>261848.69</v>
      </c>
      <c r="M10" s="514"/>
      <c r="N10" s="514"/>
      <c r="O10" s="514"/>
      <c r="P10" s="515"/>
      <c r="Q10" s="508"/>
      <c r="R10" s="502"/>
      <c r="S10" s="502"/>
      <c r="T10" s="501"/>
      <c r="U10" s="501"/>
      <c r="V10" s="501"/>
      <c r="W10" s="501"/>
      <c r="X10" s="501"/>
      <c r="Y10" s="501"/>
      <c r="Z10" s="501"/>
    </row>
    <row r="11" spans="1:26" ht="45" customHeight="1">
      <c r="A11" s="510">
        <v>6</v>
      </c>
      <c r="B11" s="511" t="s">
        <v>67</v>
      </c>
      <c r="C11" s="512">
        <v>45899</v>
      </c>
      <c r="D11" s="511" t="s">
        <v>52</v>
      </c>
      <c r="E11" s="511" t="s">
        <v>53</v>
      </c>
      <c r="F11" s="511" t="s">
        <v>68</v>
      </c>
      <c r="G11" s="497">
        <v>480000</v>
      </c>
      <c r="H11" s="513">
        <f t="shared" si="2"/>
        <v>91200</v>
      </c>
      <c r="I11" s="513"/>
      <c r="J11" s="514">
        <f t="shared" si="0"/>
        <v>571200</v>
      </c>
      <c r="K11" s="514">
        <f t="shared" si="4"/>
        <v>480000</v>
      </c>
      <c r="L11" s="514">
        <f t="shared" si="4"/>
        <v>91200</v>
      </c>
      <c r="M11" s="514"/>
      <c r="N11" s="514"/>
      <c r="O11" s="514"/>
      <c r="P11" s="515"/>
      <c r="Q11" s="508"/>
      <c r="R11" s="502"/>
      <c r="S11" s="502"/>
      <c r="T11" s="501"/>
      <c r="U11" s="501"/>
      <c r="V11" s="501"/>
      <c r="W11" s="501"/>
      <c r="X11" s="501"/>
      <c r="Y11" s="501"/>
      <c r="Z11" s="501"/>
    </row>
    <row r="12" spans="1:26" ht="45" customHeight="1">
      <c r="A12" s="510"/>
      <c r="B12" s="520"/>
      <c r="C12" s="521"/>
      <c r="D12" s="522"/>
      <c r="E12" s="522"/>
      <c r="F12" s="523"/>
      <c r="G12" s="497">
        <v>1680000</v>
      </c>
      <c r="H12" s="513">
        <f t="shared" si="2"/>
        <v>319200</v>
      </c>
      <c r="I12" s="513"/>
      <c r="J12" s="514">
        <f t="shared" si="0"/>
        <v>1999200</v>
      </c>
      <c r="K12" s="514">
        <f t="shared" si="4"/>
        <v>1680000</v>
      </c>
      <c r="L12" s="514">
        <f t="shared" si="4"/>
        <v>319200</v>
      </c>
      <c r="M12" s="514"/>
      <c r="N12" s="514"/>
      <c r="O12" s="514"/>
      <c r="P12" s="515"/>
      <c r="Q12" s="508"/>
      <c r="R12" s="502"/>
      <c r="S12" s="502"/>
      <c r="T12" s="501"/>
      <c r="U12" s="501"/>
      <c r="V12" s="501"/>
      <c r="W12" s="501"/>
      <c r="X12" s="501"/>
      <c r="Y12" s="501"/>
      <c r="Z12" s="501"/>
    </row>
    <row r="13" spans="1:26" ht="34.5" customHeight="1">
      <c r="A13" s="524"/>
      <c r="B13" s="927" t="s">
        <v>69</v>
      </c>
      <c r="C13" s="928"/>
      <c r="D13" s="928"/>
      <c r="E13" s="928"/>
      <c r="F13" s="929"/>
      <c r="G13" s="525">
        <f>SUM(G6:G12)</f>
        <v>8505151</v>
      </c>
      <c r="H13" s="525">
        <f>SUM(H6:H12)</f>
        <v>1603343.69</v>
      </c>
      <c r="I13" s="525">
        <f t="shared" ref="I13" si="5">SUM(I6:I11)</f>
        <v>164474</v>
      </c>
      <c r="J13" s="526">
        <f>SUM(J6:J12)</f>
        <v>10108494.689999999</v>
      </c>
      <c r="K13" s="525">
        <f>SUM(K6:K12)</f>
        <v>7187151</v>
      </c>
      <c r="L13" s="525">
        <f>SUM(L6:L12)</f>
        <v>1352923.69</v>
      </c>
      <c r="M13" s="525" t="e">
        <f>SUM(#REF!)</f>
        <v>#REF!</v>
      </c>
      <c r="N13" s="525">
        <f t="shared" ref="N13:O13" si="6">SUM(N6:N11)</f>
        <v>1318000</v>
      </c>
      <c r="O13" s="525">
        <f t="shared" si="6"/>
        <v>250420</v>
      </c>
      <c r="P13" s="527"/>
      <c r="Q13" s="528" t="e">
        <f>SUM(#REF!)</f>
        <v>#REF!</v>
      </c>
      <c r="R13" s="501"/>
      <c r="S13" s="501"/>
      <c r="T13" s="501"/>
      <c r="U13" s="501"/>
      <c r="V13" s="501"/>
      <c r="W13" s="501"/>
      <c r="X13" s="501"/>
      <c r="Y13" s="501"/>
      <c r="Z13" s="501"/>
    </row>
    <row r="14" spans="1:26" ht="13.5" customHeight="1">
      <c r="A14" s="529"/>
      <c r="B14" s="530"/>
      <c r="C14" s="531"/>
      <c r="D14" s="531"/>
      <c r="E14" s="532"/>
      <c r="F14" s="533"/>
      <c r="G14" s="534"/>
      <c r="H14" s="534"/>
      <c r="I14" s="534"/>
      <c r="J14" s="535"/>
      <c r="K14" s="930"/>
      <c r="L14" s="931"/>
      <c r="M14" s="931"/>
      <c r="N14" s="536"/>
      <c r="O14" s="536"/>
      <c r="P14" s="527"/>
      <c r="Q14" s="502"/>
      <c r="R14" s="501"/>
      <c r="S14" s="501"/>
      <c r="T14" s="501"/>
      <c r="U14" s="501"/>
      <c r="V14" s="501"/>
      <c r="W14" s="501"/>
      <c r="X14" s="501"/>
      <c r="Y14" s="501"/>
      <c r="Z14" s="501"/>
    </row>
  </sheetData>
  <mergeCells count="20">
    <mergeCell ref="A1:J3"/>
    <mergeCell ref="P1:P3"/>
    <mergeCell ref="A4:A5"/>
    <mergeCell ref="B4:B5"/>
    <mergeCell ref="C4:C5"/>
    <mergeCell ref="D4:D5"/>
    <mergeCell ref="E4:E5"/>
    <mergeCell ref="F4:F5"/>
    <mergeCell ref="G4:G5"/>
    <mergeCell ref="H4:H5"/>
    <mergeCell ref="O4:O5"/>
    <mergeCell ref="P4:P5"/>
    <mergeCell ref="N4:N5"/>
    <mergeCell ref="B13:F13"/>
    <mergeCell ref="K14:M14"/>
    <mergeCell ref="I4:I5"/>
    <mergeCell ref="J4:J5"/>
    <mergeCell ref="K4:K5"/>
    <mergeCell ref="L4:L5"/>
    <mergeCell ref="M4:M5"/>
  </mergeCells>
  <pageMargins left="0.16" right="0.16" top="0.3543307086614173" bottom="0.3543307086614173" header="0" footer="0"/>
  <pageSetup paperSize="9" scale="56"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39456-0903-4D63-9D20-F26AE13C15F1}">
  <sheetPr>
    <pageSetUpPr fitToPage="1"/>
  </sheetPr>
  <dimension ref="A1:S118"/>
  <sheetViews>
    <sheetView showGridLines="0" tabSelected="1" workbookViewId="0">
      <selection activeCell="A4" sqref="A4:E4"/>
    </sheetView>
  </sheetViews>
  <sheetFormatPr baseColWidth="10" defaultColWidth="11.42578125" defaultRowHeight="15"/>
  <cols>
    <col min="1" max="1" width="15.140625" style="601" customWidth="1"/>
    <col min="2" max="2" width="41.28515625" style="601" customWidth="1"/>
    <col min="3" max="4" width="21.85546875" style="601" bestFit="1" customWidth="1"/>
    <col min="5" max="5" width="15.140625" style="601" customWidth="1"/>
    <col min="6" max="6" width="16.140625" style="601" customWidth="1"/>
    <col min="7" max="7" width="17.42578125" style="601" customWidth="1"/>
    <col min="8" max="8" width="13.85546875" style="601" customWidth="1"/>
    <col min="9" max="15" width="11.42578125" style="601" customWidth="1"/>
    <col min="16" max="16" width="15.85546875" style="601" customWidth="1"/>
    <col min="17" max="17" width="23.28515625" style="601" customWidth="1"/>
    <col min="18" max="18" width="14.28515625" style="601" customWidth="1"/>
    <col min="19" max="19" width="14.140625" style="601" customWidth="1"/>
    <col min="20" max="28" width="11.42578125" style="601" customWidth="1"/>
    <col min="29" max="16384" width="11.42578125" style="601"/>
  </cols>
  <sheetData>
    <row r="1" spans="1:18" ht="40.5" customHeight="1">
      <c r="A1" s="862" t="s">
        <v>70</v>
      </c>
      <c r="B1" s="863"/>
      <c r="C1" s="863"/>
      <c r="D1" s="863"/>
      <c r="E1" s="864"/>
      <c r="M1" s="602"/>
      <c r="N1" s="602"/>
      <c r="O1" s="602"/>
      <c r="P1" s="602"/>
      <c r="Q1" s="602"/>
      <c r="R1" s="602"/>
    </row>
    <row r="2" spans="1:18">
      <c r="A2" s="865" t="s">
        <v>816</v>
      </c>
      <c r="B2" s="866"/>
      <c r="C2" s="866"/>
      <c r="D2" s="866"/>
      <c r="E2" s="867"/>
      <c r="M2" s="602"/>
      <c r="N2" s="602"/>
      <c r="O2" s="602"/>
      <c r="P2" s="602"/>
      <c r="Q2" s="602"/>
      <c r="R2" s="602"/>
    </row>
    <row r="3" spans="1:18" ht="39.75" customHeight="1">
      <c r="A3" s="868" t="s">
        <v>71</v>
      </c>
      <c r="B3" s="866"/>
      <c r="C3" s="866"/>
      <c r="D3" s="866"/>
      <c r="E3" s="867"/>
      <c r="M3" s="602"/>
      <c r="N3" s="602"/>
      <c r="O3" s="602"/>
      <c r="P3" s="602"/>
      <c r="Q3" s="602"/>
      <c r="R3" s="602"/>
    </row>
    <row r="4" spans="1:18" ht="70.5" customHeight="1">
      <c r="A4" s="868" t="s">
        <v>72</v>
      </c>
      <c r="B4" s="869"/>
      <c r="C4" s="869"/>
      <c r="D4" s="869"/>
      <c r="E4" s="870"/>
      <c r="M4" s="602"/>
      <c r="N4" s="602"/>
      <c r="O4" s="602"/>
      <c r="P4" s="602"/>
      <c r="Q4" s="602"/>
      <c r="R4" s="602"/>
    </row>
    <row r="5" spans="1:18" ht="26.25" customHeight="1">
      <c r="A5" s="871" t="s">
        <v>73</v>
      </c>
      <c r="B5" s="872"/>
      <c r="C5" s="872"/>
      <c r="D5" s="872"/>
      <c r="E5" s="873"/>
      <c r="F5" s="602"/>
      <c r="G5" s="602"/>
      <c r="H5" s="602"/>
      <c r="I5" s="602"/>
      <c r="J5" s="602"/>
      <c r="K5" s="602"/>
      <c r="L5" s="602"/>
      <c r="M5" s="602"/>
      <c r="N5" s="602"/>
      <c r="O5" s="602"/>
      <c r="P5" s="602"/>
      <c r="Q5" s="602"/>
      <c r="R5" s="602"/>
    </row>
    <row r="6" spans="1:18" ht="15" customHeight="1" thickBot="1">
      <c r="E6" s="602"/>
      <c r="F6" s="602"/>
      <c r="G6" s="602"/>
      <c r="H6" s="602"/>
      <c r="I6" s="602"/>
      <c r="J6" s="602"/>
      <c r="K6" s="602"/>
      <c r="L6" s="602"/>
      <c r="M6" s="602"/>
      <c r="N6" s="602"/>
      <c r="O6" s="602"/>
      <c r="P6" s="602"/>
      <c r="Q6" s="602"/>
      <c r="R6" s="602"/>
    </row>
    <row r="7" spans="1:18" ht="25.5" customHeight="1" thickTop="1" thickBot="1">
      <c r="A7" s="874" t="s">
        <v>74</v>
      </c>
      <c r="B7" s="875"/>
      <c r="C7" s="875"/>
      <c r="D7" s="875"/>
      <c r="E7" s="876"/>
      <c r="F7" s="602"/>
      <c r="G7" s="602"/>
      <c r="H7" s="602"/>
      <c r="I7" s="602"/>
      <c r="J7" s="602"/>
      <c r="K7" s="602"/>
      <c r="L7" s="602"/>
      <c r="M7" s="602"/>
      <c r="N7" s="602"/>
      <c r="O7" s="602"/>
      <c r="P7" s="602"/>
      <c r="Q7" s="602"/>
      <c r="R7" s="602"/>
    </row>
    <row r="8" spans="1:18" ht="40.5" customHeight="1" thickTop="1" thickBot="1">
      <c r="A8" s="877" t="s">
        <v>75</v>
      </c>
      <c r="B8" s="877"/>
      <c r="C8" s="98" t="s">
        <v>76</v>
      </c>
      <c r="D8" s="98" t="s">
        <v>77</v>
      </c>
      <c r="E8" s="603" t="s">
        <v>78</v>
      </c>
      <c r="F8" s="602"/>
      <c r="G8" s="854" t="s">
        <v>812</v>
      </c>
      <c r="H8" s="855" t="s">
        <v>813</v>
      </c>
      <c r="I8" s="855" t="s">
        <v>814</v>
      </c>
      <c r="J8" s="602"/>
      <c r="K8" s="602"/>
      <c r="L8" s="602"/>
      <c r="M8" s="602"/>
      <c r="N8" s="602"/>
      <c r="O8" s="602"/>
      <c r="P8" s="602"/>
      <c r="Q8" s="602"/>
      <c r="R8" s="602"/>
    </row>
    <row r="9" spans="1:18" ht="33" customHeight="1" thickTop="1" thickBot="1">
      <c r="A9" s="877"/>
      <c r="B9" s="877"/>
      <c r="C9" s="604">
        <f>+C15</f>
        <v>5739061253.1960001</v>
      </c>
      <c r="D9" s="604">
        <f>+D15</f>
        <v>6447834665.1960001</v>
      </c>
      <c r="E9" s="605">
        <v>0.08</v>
      </c>
      <c r="F9" s="602"/>
      <c r="G9" s="856">
        <f>D9*150%</f>
        <v>9671751997.7940006</v>
      </c>
      <c r="H9" s="857">
        <f>+G9/1750905</f>
        <v>5523.858803186924</v>
      </c>
      <c r="I9" s="858">
        <f>D9*75%</f>
        <v>4835875998.8970003</v>
      </c>
      <c r="J9" s="602"/>
      <c r="K9" s="602"/>
      <c r="L9" s="602"/>
      <c r="M9" s="602"/>
      <c r="N9" s="602"/>
      <c r="O9" s="602"/>
      <c r="P9" s="602"/>
      <c r="Q9" s="602"/>
      <c r="R9" s="602"/>
    </row>
    <row r="10" spans="1:18" ht="33" customHeight="1" thickTop="1" thickBot="1">
      <c r="E10" s="602"/>
      <c r="F10" s="602"/>
      <c r="G10" s="606"/>
      <c r="H10" s="606"/>
      <c r="I10" s="602"/>
      <c r="J10" s="602"/>
      <c r="K10" s="602"/>
      <c r="L10" s="602"/>
      <c r="M10" s="602"/>
      <c r="N10" s="602"/>
      <c r="O10" s="602"/>
      <c r="P10" s="602"/>
      <c r="Q10" s="602"/>
      <c r="R10" s="602"/>
    </row>
    <row r="11" spans="1:18" ht="33" customHeight="1" thickTop="1" thickBot="1">
      <c r="A11" s="874" t="s">
        <v>79</v>
      </c>
      <c r="B11" s="875"/>
      <c r="C11" s="875"/>
      <c r="D11" s="875"/>
      <c r="E11" s="876"/>
      <c r="F11" s="602"/>
      <c r="G11" s="606"/>
      <c r="H11" s="606"/>
      <c r="I11" s="602"/>
      <c r="J11" s="602"/>
      <c r="K11" s="602"/>
      <c r="L11" s="602"/>
      <c r="M11" s="602"/>
      <c r="N11" s="602"/>
      <c r="O11" s="602"/>
      <c r="P11" s="602"/>
      <c r="Q11" s="602"/>
      <c r="R11" s="602"/>
    </row>
    <row r="12" spans="1:18" ht="54" customHeight="1" thickTop="1" thickBot="1">
      <c r="A12" s="877" t="s">
        <v>80</v>
      </c>
      <c r="B12" s="877"/>
      <c r="C12" s="98" t="s">
        <v>76</v>
      </c>
      <c r="D12" s="98" t="s">
        <v>77</v>
      </c>
      <c r="E12" s="98" t="s">
        <v>81</v>
      </c>
      <c r="F12" s="602" t="s">
        <v>36</v>
      </c>
      <c r="G12" s="606"/>
      <c r="H12" s="606"/>
      <c r="I12" s="602"/>
      <c r="J12" s="602"/>
      <c r="K12" s="602"/>
      <c r="L12" s="602"/>
      <c r="M12" s="602"/>
      <c r="N12" s="602"/>
      <c r="O12" s="602"/>
      <c r="P12" s="602"/>
      <c r="Q12" s="602"/>
      <c r="R12" s="602"/>
    </row>
    <row r="13" spans="1:18" ht="52.5" customHeight="1" thickTop="1" thickBot="1">
      <c r="A13" s="878" t="s">
        <v>82</v>
      </c>
      <c r="B13" s="878"/>
      <c r="C13" s="859">
        <f>ROUND(('POP DETALLADO 2026 '!AA63+'POE DETALLADO 2027'!AA63),0)</f>
        <v>5207558507</v>
      </c>
      <c r="D13" s="859">
        <f>ROUND(('POP DETALLADO 2026 '!AC63+'POE DETALLADO 2027'!AC63),0)</f>
        <v>5794545295</v>
      </c>
      <c r="E13" s="859">
        <f>'POP DETALLADO 2026 '!W63+'POE DETALLADO 2027'!W63</f>
        <v>385745072</v>
      </c>
      <c r="F13" s="703"/>
      <c r="G13" s="607"/>
      <c r="H13" s="606"/>
      <c r="I13" s="602"/>
      <c r="J13" s="602"/>
      <c r="K13" s="602"/>
      <c r="L13" s="602"/>
      <c r="M13" s="602"/>
      <c r="N13" s="602"/>
      <c r="O13" s="602"/>
      <c r="P13" s="602"/>
      <c r="Q13" s="602"/>
      <c r="R13" s="602"/>
    </row>
    <row r="14" spans="1:18" ht="49.5" customHeight="1" thickTop="1" thickBot="1">
      <c r="A14" s="878" t="s">
        <v>83</v>
      </c>
      <c r="B14" s="878"/>
      <c r="C14" s="604">
        <f>'POP DETALLADO 2026 '!N118+'POE DETALLADO 2027'!N117</f>
        <v>531502746.19599998</v>
      </c>
      <c r="D14" s="604">
        <f>'POP DETALLADO 2026 '!U118+'POE DETALLADO 2027'!U117</f>
        <v>653289370.19599998</v>
      </c>
      <c r="E14" s="604">
        <f>'POP DETALLADO 2026 '!M118+'POP DETALLADO 2026 '!M90</f>
        <v>8511288</v>
      </c>
      <c r="F14" s="703"/>
      <c r="G14" s="607"/>
      <c r="H14" s="606"/>
      <c r="I14" s="602"/>
      <c r="J14" s="602"/>
      <c r="K14" s="602"/>
      <c r="L14" s="602"/>
      <c r="M14" s="602"/>
      <c r="N14" s="602"/>
      <c r="O14" s="602"/>
      <c r="P14" s="602"/>
      <c r="Q14" s="602"/>
      <c r="R14" s="602"/>
    </row>
    <row r="15" spans="1:18" ht="33" customHeight="1" thickTop="1" thickBot="1">
      <c r="A15" s="861" t="s">
        <v>84</v>
      </c>
      <c r="B15" s="861"/>
      <c r="C15" s="608">
        <f>SUM(C13:C14)</f>
        <v>5739061253.1960001</v>
      </c>
      <c r="D15" s="608">
        <f>SUM(D13:D14)</f>
        <v>6447834665.1960001</v>
      </c>
      <c r="E15" s="608">
        <f>SUM(E13:E14)</f>
        <v>394256360</v>
      </c>
      <c r="F15" s="704"/>
      <c r="G15" s="606"/>
      <c r="H15" s="606"/>
      <c r="I15" s="602"/>
      <c r="J15" s="602"/>
      <c r="K15" s="602"/>
      <c r="L15" s="602"/>
      <c r="M15" s="602"/>
      <c r="N15" s="602"/>
      <c r="O15" s="602"/>
      <c r="P15" s="602"/>
      <c r="Q15" s="602"/>
      <c r="R15" s="602"/>
    </row>
    <row r="16" spans="1:18" ht="15" customHeight="1" thickTop="1">
      <c r="C16" s="609"/>
      <c r="D16" s="609"/>
      <c r="E16" s="606"/>
      <c r="F16" s="602"/>
      <c r="G16" s="602"/>
      <c r="H16" s="602"/>
      <c r="I16" s="602"/>
      <c r="J16" s="602"/>
      <c r="K16" s="602"/>
      <c r="L16" s="602"/>
      <c r="M16" s="602"/>
      <c r="N16" s="602"/>
      <c r="O16" s="602"/>
      <c r="P16" s="602"/>
      <c r="Q16" s="602"/>
      <c r="R16" s="602"/>
    </row>
    <row r="17" spans="1:19" ht="15" customHeight="1">
      <c r="E17" s="602"/>
      <c r="F17" s="602"/>
      <c r="G17" s="602"/>
      <c r="H17" s="602"/>
      <c r="I17" s="602"/>
      <c r="J17" s="602"/>
      <c r="K17" s="602"/>
      <c r="L17" s="602"/>
      <c r="M17" s="602"/>
      <c r="N17" s="602"/>
      <c r="O17" s="602"/>
      <c r="P17" s="602"/>
      <c r="Q17" s="602"/>
      <c r="R17" s="602"/>
    </row>
    <row r="18" spans="1:19" ht="26.25" customHeight="1">
      <c r="A18" s="879" t="s">
        <v>85</v>
      </c>
      <c r="B18" s="880"/>
      <c r="C18" s="880"/>
      <c r="D18" s="881"/>
      <c r="E18" s="882"/>
      <c r="F18" s="602"/>
      <c r="G18" s="602"/>
      <c r="H18" s="602"/>
      <c r="I18" s="602"/>
      <c r="J18" s="602"/>
      <c r="K18" s="602"/>
      <c r="L18" s="602"/>
      <c r="M18" s="602"/>
      <c r="N18" s="602"/>
      <c r="O18" s="602"/>
      <c r="P18" s="602"/>
      <c r="Q18" s="602"/>
      <c r="R18" s="602"/>
    </row>
    <row r="19" spans="1:19" ht="66.75" customHeight="1">
      <c r="A19" s="885" t="s">
        <v>85</v>
      </c>
      <c r="B19" s="886" t="s">
        <v>9</v>
      </c>
      <c r="C19" s="887"/>
      <c r="D19" s="610" t="s">
        <v>86</v>
      </c>
      <c r="E19" s="883"/>
      <c r="F19" s="610" t="s">
        <v>87</v>
      </c>
      <c r="G19" s="602"/>
      <c r="H19" s="602"/>
      <c r="I19" s="602"/>
      <c r="J19" s="602"/>
      <c r="K19" s="602"/>
      <c r="L19" s="602"/>
      <c r="M19" s="602"/>
      <c r="N19" s="602"/>
      <c r="O19" s="602"/>
      <c r="P19" s="602"/>
      <c r="Q19" s="602"/>
      <c r="R19" s="602"/>
    </row>
    <row r="20" spans="1:19" ht="33" customHeight="1">
      <c r="A20" s="885"/>
      <c r="B20" s="888" t="s">
        <v>14</v>
      </c>
      <c r="C20" s="889"/>
      <c r="D20" s="611">
        <f>+D30+D39</f>
        <v>4913129669</v>
      </c>
      <c r="E20" s="883"/>
      <c r="F20" s="612"/>
      <c r="G20" s="602"/>
      <c r="H20" s="602"/>
      <c r="I20" s="602"/>
      <c r="J20" s="602"/>
      <c r="K20" s="602"/>
      <c r="L20" s="602"/>
      <c r="M20" s="602"/>
      <c r="N20" s="602"/>
      <c r="O20" s="602"/>
      <c r="P20" s="602"/>
      <c r="Q20" s="602"/>
      <c r="R20" s="602"/>
    </row>
    <row r="21" spans="1:19" ht="29.25" customHeight="1">
      <c r="A21" s="885"/>
      <c r="B21" s="888" t="s">
        <v>88</v>
      </c>
      <c r="C21" s="889"/>
      <c r="D21" s="611">
        <f>+D31+D40</f>
        <v>1275730630</v>
      </c>
      <c r="E21" s="883"/>
      <c r="F21" s="612"/>
      <c r="G21" s="602"/>
      <c r="H21" s="602"/>
      <c r="I21" s="602"/>
      <c r="J21" s="602"/>
      <c r="K21" s="602"/>
      <c r="L21" s="602"/>
      <c r="M21" s="602"/>
      <c r="N21" s="602"/>
      <c r="O21" s="602"/>
      <c r="P21" s="602"/>
      <c r="Q21" s="602"/>
      <c r="R21" s="602"/>
    </row>
    <row r="22" spans="1:19" ht="24.95" customHeight="1">
      <c r="A22" s="885"/>
      <c r="B22" s="888" t="s">
        <v>17</v>
      </c>
      <c r="C22" s="889"/>
      <c r="D22" s="611">
        <f>+D32+D34</f>
        <v>0</v>
      </c>
      <c r="E22" s="883"/>
      <c r="F22" s="612"/>
      <c r="G22" s="602"/>
      <c r="H22" s="602"/>
      <c r="I22" s="602"/>
      <c r="J22" s="602"/>
      <c r="K22" s="602"/>
      <c r="L22" s="602"/>
      <c r="M22" s="602"/>
      <c r="N22" s="602"/>
      <c r="O22" s="602"/>
      <c r="P22" s="602"/>
      <c r="Q22" s="602"/>
      <c r="R22" s="602"/>
    </row>
    <row r="23" spans="1:19" ht="30" customHeight="1">
      <c r="A23" s="885"/>
      <c r="B23" s="888" t="s">
        <v>89</v>
      </c>
      <c r="C23" s="889"/>
      <c r="D23" s="611">
        <f>+D33+D35</f>
        <v>0</v>
      </c>
      <c r="E23" s="883"/>
      <c r="F23" s="612"/>
      <c r="G23" s="602"/>
      <c r="H23" s="602"/>
      <c r="I23" s="602"/>
      <c r="J23" s="602"/>
      <c r="K23" s="602"/>
      <c r="L23" s="602"/>
      <c r="M23" s="602"/>
      <c r="N23" s="602"/>
      <c r="O23" s="602"/>
      <c r="P23" s="602"/>
      <c r="Q23" s="602"/>
      <c r="R23" s="602"/>
    </row>
    <row r="24" spans="1:19" ht="28.5" customHeight="1">
      <c r="A24" s="885"/>
      <c r="B24" s="888" t="s">
        <v>19</v>
      </c>
      <c r="C24" s="889"/>
      <c r="D24" s="611">
        <f>+D36</f>
        <v>0</v>
      </c>
      <c r="E24" s="883"/>
      <c r="F24" s="612"/>
      <c r="G24" s="602"/>
      <c r="H24" s="602"/>
      <c r="I24" s="602"/>
      <c r="J24" s="602"/>
      <c r="K24" s="602"/>
      <c r="L24" s="602"/>
      <c r="M24" s="602"/>
      <c r="N24" s="602"/>
      <c r="O24" s="602"/>
      <c r="P24" s="602"/>
      <c r="Q24" s="602"/>
      <c r="R24" s="602"/>
    </row>
    <row r="25" spans="1:19" ht="28.5" customHeight="1">
      <c r="A25" s="885"/>
      <c r="B25" s="888" t="s">
        <v>90</v>
      </c>
      <c r="C25" s="889"/>
      <c r="D25" s="613">
        <f>+D37+D38</f>
        <v>258974366</v>
      </c>
      <c r="E25" s="883"/>
      <c r="F25" s="612"/>
      <c r="G25" s="602"/>
      <c r="H25" s="602"/>
      <c r="I25" s="602"/>
      <c r="J25" s="602"/>
      <c r="K25" s="602"/>
      <c r="L25" s="602"/>
      <c r="M25" s="602"/>
      <c r="N25" s="602"/>
      <c r="O25" s="602"/>
      <c r="P25" s="602"/>
      <c r="Q25" s="602"/>
      <c r="R25" s="602"/>
    </row>
    <row r="26" spans="1:19" ht="24.95" customHeight="1">
      <c r="A26" s="885"/>
      <c r="B26" s="890" t="s">
        <v>84</v>
      </c>
      <c r="C26" s="891"/>
      <c r="D26" s="614">
        <f>SUM(D20:D25)</f>
        <v>6447834665</v>
      </c>
      <c r="E26" s="884"/>
      <c r="F26" s="615">
        <f>SUM(F20:F25)</f>
        <v>0</v>
      </c>
      <c r="G26" s="602"/>
      <c r="H26" s="602"/>
      <c r="I26" s="602"/>
      <c r="J26" s="602"/>
      <c r="K26" s="602"/>
      <c r="L26" s="602"/>
      <c r="M26" s="602"/>
      <c r="N26" s="602"/>
      <c r="O26" s="602"/>
      <c r="P26" s="602"/>
      <c r="Q26" s="602"/>
      <c r="R26" s="602"/>
    </row>
    <row r="27" spans="1:19" ht="15" customHeight="1" thickBot="1">
      <c r="E27" s="602"/>
      <c r="F27" s="602"/>
      <c r="G27" s="602"/>
      <c r="H27" s="602"/>
      <c r="I27" s="602"/>
      <c r="J27" s="602"/>
      <c r="K27" s="602"/>
      <c r="L27" s="602"/>
      <c r="M27" s="602"/>
      <c r="N27" s="602"/>
      <c r="O27" s="602"/>
      <c r="P27" s="602"/>
      <c r="Q27" s="602"/>
      <c r="R27" s="602"/>
    </row>
    <row r="28" spans="1:19" ht="28.5" customHeight="1" thickTop="1" thickBot="1">
      <c r="A28" s="874" t="s">
        <v>91</v>
      </c>
      <c r="B28" s="875"/>
      <c r="C28" s="875"/>
      <c r="D28" s="875"/>
      <c r="E28" s="876"/>
      <c r="F28" s="602"/>
      <c r="G28" s="602"/>
      <c r="H28" s="602"/>
      <c r="I28" s="602"/>
      <c r="J28" s="602"/>
      <c r="K28" s="602"/>
      <c r="L28" s="602"/>
      <c r="M28" s="602"/>
      <c r="N28" s="602"/>
      <c r="O28" s="602"/>
      <c r="P28" s="602"/>
      <c r="Q28" s="602"/>
      <c r="R28" s="602"/>
    </row>
    <row r="29" spans="1:19" ht="51" customHeight="1" thickTop="1" thickBot="1">
      <c r="A29" s="892" t="s">
        <v>92</v>
      </c>
      <c r="B29" s="894" t="s">
        <v>7</v>
      </c>
      <c r="C29" s="894"/>
      <c r="D29" s="98" t="s">
        <v>77</v>
      </c>
      <c r="E29" s="96" t="s">
        <v>9</v>
      </c>
      <c r="F29" s="602"/>
      <c r="G29" s="602"/>
      <c r="H29" s="602"/>
      <c r="I29" s="602"/>
      <c r="J29" s="602"/>
      <c r="K29" s="602"/>
      <c r="L29" s="602"/>
      <c r="M29" s="602"/>
      <c r="N29" s="602"/>
      <c r="O29" s="602"/>
      <c r="P29" s="602"/>
      <c r="Q29" s="602"/>
      <c r="R29" s="602"/>
    </row>
    <row r="30" spans="1:19" ht="49.5" customHeight="1" thickTop="1" thickBot="1">
      <c r="A30" s="892"/>
      <c r="B30" s="895" t="s">
        <v>93</v>
      </c>
      <c r="C30" s="896"/>
      <c r="D30" s="708">
        <f>ROUND(('POP DETALLADO 2026 '!I123+'POE DETALLADO 2027'!I122),0)</f>
        <v>4791277065</v>
      </c>
      <c r="E30" s="99" t="s">
        <v>13</v>
      </c>
      <c r="F30" s="606"/>
      <c r="G30" s="606"/>
      <c r="H30" s="606"/>
      <c r="I30" s="602"/>
      <c r="J30" s="602"/>
      <c r="K30" s="602"/>
      <c r="L30" s="602"/>
      <c r="M30" s="602"/>
      <c r="N30" s="602"/>
      <c r="O30" s="602"/>
      <c r="P30" s="602"/>
      <c r="Q30" s="606"/>
      <c r="R30" s="606"/>
      <c r="S30" s="616"/>
    </row>
    <row r="31" spans="1:19" ht="33.75" customHeight="1" thickTop="1" thickBot="1">
      <c r="A31" s="892"/>
      <c r="B31" s="895" t="s">
        <v>94</v>
      </c>
      <c r="C31" s="896"/>
      <c r="D31" s="708">
        <f>ROUND(('POP DETALLADO 2026 '!I124+'POE DETALLADO 2027'!I123),0)</f>
        <v>1003268230</v>
      </c>
      <c r="E31" s="99" t="s">
        <v>95</v>
      </c>
      <c r="F31" s="606"/>
      <c r="G31" s="606"/>
      <c r="H31" s="606"/>
      <c r="I31" s="602"/>
      <c r="J31" s="602"/>
      <c r="K31" s="602"/>
      <c r="L31" s="602"/>
      <c r="M31" s="602"/>
      <c r="N31" s="602"/>
      <c r="O31" s="602"/>
      <c r="P31" s="602"/>
      <c r="Q31" s="606"/>
      <c r="R31" s="606"/>
      <c r="S31" s="616"/>
    </row>
    <row r="32" spans="1:19" ht="33.75" customHeight="1" thickTop="1" thickBot="1">
      <c r="A32" s="892"/>
      <c r="B32" s="896" t="s">
        <v>15</v>
      </c>
      <c r="C32" s="896"/>
      <c r="D32" s="708">
        <f>ROUND(('POP DETALLADO 2026 '!I125+'POE DETALLADO 2027'!I124),0)</f>
        <v>0</v>
      </c>
      <c r="E32" s="99" t="s">
        <v>16</v>
      </c>
      <c r="F32" s="606"/>
      <c r="G32" s="606"/>
      <c r="H32" s="606"/>
      <c r="I32" s="602"/>
      <c r="J32" s="602"/>
      <c r="K32" s="602"/>
      <c r="L32" s="602"/>
      <c r="M32" s="602"/>
      <c r="N32" s="602"/>
      <c r="O32" s="602"/>
      <c r="P32" s="602"/>
      <c r="Q32" s="606"/>
      <c r="R32" s="606"/>
      <c r="S32" s="616"/>
    </row>
    <row r="33" spans="1:19" ht="33.75" customHeight="1" thickTop="1" thickBot="1">
      <c r="A33" s="892"/>
      <c r="B33" s="896" t="s">
        <v>96</v>
      </c>
      <c r="C33" s="896"/>
      <c r="D33" s="708">
        <f>ROUND(('POP DETALLADO 2026 '!I126+'POE DETALLADO 2027'!I125),0)</f>
        <v>0</v>
      </c>
      <c r="E33" s="99" t="s">
        <v>97</v>
      </c>
      <c r="F33" s="606"/>
      <c r="G33" s="606"/>
      <c r="H33" s="606"/>
      <c r="I33" s="602"/>
      <c r="J33" s="602"/>
      <c r="K33" s="602"/>
      <c r="L33" s="602"/>
      <c r="M33" s="602"/>
      <c r="N33" s="602"/>
      <c r="O33" s="602"/>
      <c r="P33" s="602"/>
      <c r="Q33" s="606"/>
      <c r="R33" s="606"/>
      <c r="S33" s="616"/>
    </row>
    <row r="34" spans="1:19" ht="33.75" customHeight="1" thickTop="1" thickBot="1">
      <c r="A34" s="892"/>
      <c r="B34" s="896" t="s">
        <v>18</v>
      </c>
      <c r="C34" s="896"/>
      <c r="D34" s="708">
        <f>ROUND(('POP DETALLADO 2026 '!I127+'POE DETALLADO 2027'!I126),0)</f>
        <v>0</v>
      </c>
      <c r="E34" s="99" t="s">
        <v>16</v>
      </c>
      <c r="F34" s="606"/>
      <c r="G34" s="606"/>
      <c r="H34" s="606"/>
      <c r="I34" s="602"/>
      <c r="J34" s="602"/>
      <c r="K34" s="602"/>
      <c r="L34" s="602"/>
      <c r="M34" s="602"/>
      <c r="N34" s="602"/>
      <c r="O34" s="602"/>
      <c r="P34" s="602"/>
      <c r="Q34" s="606"/>
      <c r="R34" s="606"/>
      <c r="S34" s="616"/>
    </row>
    <row r="35" spans="1:19" ht="33.75" customHeight="1" thickTop="1" thickBot="1">
      <c r="A35" s="892"/>
      <c r="B35" s="896" t="s">
        <v>98</v>
      </c>
      <c r="C35" s="896"/>
      <c r="D35" s="708">
        <f>ROUND(('POP DETALLADO 2026 '!I128+'POE DETALLADO 2027'!I127),0)</f>
        <v>0</v>
      </c>
      <c r="E35" s="99" t="s">
        <v>97</v>
      </c>
      <c r="F35" s="606"/>
      <c r="G35" s="606"/>
      <c r="H35" s="606"/>
      <c r="I35" s="602"/>
      <c r="J35" s="602"/>
      <c r="K35" s="602"/>
      <c r="L35" s="602"/>
      <c r="M35" s="602"/>
      <c r="N35" s="602"/>
      <c r="O35" s="602"/>
      <c r="P35" s="602"/>
      <c r="Q35" s="606"/>
      <c r="R35" s="606"/>
      <c r="S35" s="616"/>
    </row>
    <row r="36" spans="1:19" ht="33.75" customHeight="1" thickTop="1" thickBot="1">
      <c r="A36" s="892"/>
      <c r="B36" s="896" t="s">
        <v>20</v>
      </c>
      <c r="C36" s="896"/>
      <c r="D36" s="708">
        <f>ROUND(('POP DETALLADO 2026 '!I129+'POE DETALLADO 2027'!I128),0)</f>
        <v>0</v>
      </c>
      <c r="E36" s="99" t="s">
        <v>21</v>
      </c>
      <c r="F36" s="606"/>
      <c r="G36" s="606"/>
      <c r="H36" s="606"/>
      <c r="I36" s="602"/>
      <c r="J36" s="602"/>
      <c r="K36" s="602"/>
      <c r="L36" s="602"/>
      <c r="M36" s="602"/>
      <c r="N36" s="602"/>
      <c r="O36" s="602"/>
      <c r="P36" s="602"/>
      <c r="Q36" s="606"/>
      <c r="R36" s="606"/>
      <c r="S36" s="616"/>
    </row>
    <row r="37" spans="1:19" ht="33.75" customHeight="1" thickTop="1" thickBot="1">
      <c r="A37" s="892"/>
      <c r="B37" s="896" t="s">
        <v>99</v>
      </c>
      <c r="C37" s="896"/>
      <c r="D37" s="708">
        <f>ROUND(('POP DETALLADO 2026 '!I130+'POE DETALLADO 2027'!I129),0)</f>
        <v>0</v>
      </c>
      <c r="E37" s="99" t="s">
        <v>100</v>
      </c>
      <c r="F37" s="606"/>
      <c r="G37" s="606"/>
      <c r="H37" s="606"/>
      <c r="I37" s="602"/>
      <c r="J37" s="602"/>
      <c r="K37" s="602"/>
      <c r="L37" s="602"/>
      <c r="M37" s="602"/>
      <c r="N37" s="602"/>
      <c r="O37" s="602"/>
      <c r="P37" s="602"/>
      <c r="Q37" s="606"/>
      <c r="R37" s="606"/>
      <c r="S37" s="616"/>
    </row>
    <row r="38" spans="1:19" ht="51" customHeight="1" thickTop="1" thickBot="1">
      <c r="A38" s="892"/>
      <c r="B38" s="896" t="s">
        <v>806</v>
      </c>
      <c r="C38" s="896"/>
      <c r="D38" s="708">
        <f>ROUND(('POP DETALLADO 2026 '!I131+'POE DETALLADO 2027'!I130),0)</f>
        <v>258974366</v>
      </c>
      <c r="E38" s="99" t="s">
        <v>100</v>
      </c>
      <c r="F38" s="606"/>
      <c r="G38" s="606"/>
      <c r="H38" s="606"/>
      <c r="I38" s="602"/>
      <c r="J38" s="602"/>
      <c r="K38" s="602"/>
      <c r="L38" s="602"/>
      <c r="M38" s="602"/>
      <c r="N38" s="602"/>
      <c r="O38" s="602"/>
      <c r="P38" s="602"/>
      <c r="Q38" s="606"/>
      <c r="R38" s="606"/>
      <c r="S38" s="616"/>
    </row>
    <row r="39" spans="1:19" ht="36.75" customHeight="1" thickTop="1" thickBot="1">
      <c r="A39" s="892"/>
      <c r="B39" s="896" t="s">
        <v>23</v>
      </c>
      <c r="C39" s="896"/>
      <c r="D39" s="708">
        <f>ROUND(('POP DETALLADO 2026 '!I132+'POE DETALLADO 2027'!I131),0)</f>
        <v>121852604</v>
      </c>
      <c r="E39" s="99" t="s">
        <v>13</v>
      </c>
      <c r="F39" s="606"/>
      <c r="G39" s="606"/>
      <c r="H39" s="606"/>
      <c r="I39" s="602"/>
      <c r="J39" s="602"/>
      <c r="K39" s="602"/>
      <c r="L39" s="602"/>
      <c r="M39" s="602"/>
      <c r="N39" s="602"/>
      <c r="O39" s="602"/>
      <c r="P39" s="602"/>
      <c r="Q39" s="617"/>
      <c r="R39" s="606"/>
    </row>
    <row r="40" spans="1:19" ht="36.75" customHeight="1" thickTop="1" thickBot="1">
      <c r="A40" s="892"/>
      <c r="B40" s="896" t="s">
        <v>101</v>
      </c>
      <c r="C40" s="896"/>
      <c r="D40" s="708">
        <f>ROUND(('POP DETALLADO 2026 '!I133+'POE DETALLADO 2027'!I132),0)</f>
        <v>272462400</v>
      </c>
      <c r="E40" s="99" t="s">
        <v>95</v>
      </c>
      <c r="F40" s="618"/>
      <c r="G40" s="606"/>
      <c r="H40" s="602"/>
      <c r="I40" s="602"/>
      <c r="J40" s="602"/>
      <c r="K40" s="602"/>
      <c r="L40" s="602"/>
      <c r="M40" s="602"/>
      <c r="N40" s="602"/>
      <c r="O40" s="602"/>
      <c r="P40" s="602"/>
      <c r="Q40" s="602"/>
      <c r="R40" s="602"/>
    </row>
    <row r="41" spans="1:19" ht="37.5" customHeight="1" thickTop="1">
      <c r="A41" s="893"/>
      <c r="B41" s="900" t="s">
        <v>84</v>
      </c>
      <c r="C41" s="900"/>
      <c r="D41" s="619">
        <f>SUM(D30:D40)</f>
        <v>6447834665</v>
      </c>
      <c r="E41" s="620"/>
      <c r="F41" s="606"/>
      <c r="G41" s="606"/>
      <c r="H41" s="606"/>
      <c r="I41" s="602"/>
      <c r="J41" s="602"/>
      <c r="K41" s="602"/>
      <c r="L41" s="602"/>
      <c r="M41" s="602"/>
      <c r="N41" s="602"/>
      <c r="O41" s="602"/>
      <c r="P41" s="602"/>
      <c r="Q41" s="602"/>
      <c r="R41" s="602"/>
    </row>
    <row r="42" spans="1:19" ht="125.25" customHeight="1">
      <c r="A42" s="897" t="s">
        <v>102</v>
      </c>
      <c r="B42" s="898"/>
      <c r="C42" s="898"/>
      <c r="D42" s="898"/>
      <c r="E42" s="899"/>
      <c r="F42" s="602"/>
      <c r="G42" s="602"/>
      <c r="H42" s="602"/>
      <c r="I42" s="602"/>
      <c r="J42" s="602"/>
      <c r="K42" s="602"/>
      <c r="L42" s="602"/>
      <c r="M42" s="602"/>
      <c r="N42" s="602"/>
      <c r="O42" s="602"/>
      <c r="P42" s="602"/>
      <c r="Q42" s="602"/>
      <c r="R42" s="602"/>
    </row>
    <row r="43" spans="1:19" ht="34.5" customHeight="1">
      <c r="A43" s="897" t="s">
        <v>103</v>
      </c>
      <c r="B43" s="898"/>
      <c r="C43" s="898"/>
      <c r="D43" s="898"/>
      <c r="E43" s="899"/>
      <c r="F43" s="602"/>
      <c r="G43" s="602"/>
      <c r="H43" s="602"/>
      <c r="I43" s="602"/>
      <c r="J43" s="602"/>
      <c r="K43" s="602"/>
      <c r="L43" s="602"/>
      <c r="M43" s="602"/>
      <c r="N43" s="602"/>
      <c r="O43" s="602"/>
      <c r="P43" s="602"/>
      <c r="Q43" s="602"/>
      <c r="R43" s="602"/>
    </row>
    <row r="44" spans="1:19" ht="39" customHeight="1">
      <c r="A44" s="897" t="s">
        <v>104</v>
      </c>
      <c r="B44" s="898"/>
      <c r="C44" s="898"/>
      <c r="D44" s="898"/>
      <c r="E44" s="899"/>
      <c r="F44" s="602"/>
      <c r="G44" s="602"/>
      <c r="H44" s="602"/>
      <c r="I44" s="602"/>
      <c r="J44" s="602"/>
      <c r="K44" s="602"/>
      <c r="L44" s="602"/>
      <c r="M44" s="602"/>
      <c r="N44" s="602"/>
      <c r="O44" s="602"/>
      <c r="P44" s="602"/>
      <c r="Q44" s="602"/>
      <c r="R44" s="602"/>
    </row>
    <row r="45" spans="1:19" ht="75" customHeight="1">
      <c r="A45" s="897" t="s">
        <v>105</v>
      </c>
      <c r="B45" s="898"/>
      <c r="C45" s="898"/>
      <c r="D45" s="898"/>
      <c r="E45" s="899"/>
      <c r="F45" s="602"/>
      <c r="G45" s="602"/>
      <c r="H45" s="602"/>
      <c r="I45" s="602"/>
      <c r="J45" s="602"/>
      <c r="K45" s="602"/>
      <c r="L45" s="602"/>
      <c r="M45" s="602"/>
      <c r="N45" s="602"/>
      <c r="O45" s="602"/>
      <c r="P45" s="602"/>
      <c r="Q45" s="602"/>
      <c r="R45" s="602"/>
    </row>
    <row r="46" spans="1:19" ht="23.25" customHeight="1">
      <c r="A46" s="897" t="s">
        <v>106</v>
      </c>
      <c r="B46" s="898"/>
      <c r="C46" s="898"/>
      <c r="D46" s="898"/>
      <c r="E46" s="899"/>
      <c r="F46" s="602"/>
      <c r="G46" s="602"/>
      <c r="H46" s="602"/>
      <c r="I46" s="602"/>
      <c r="J46" s="602"/>
      <c r="K46" s="602"/>
      <c r="L46" s="602"/>
      <c r="M46" s="602"/>
      <c r="N46" s="602"/>
      <c r="O46" s="602"/>
      <c r="P46" s="602"/>
      <c r="Q46" s="602"/>
      <c r="R46" s="602"/>
    </row>
    <row r="47" spans="1:19" ht="33" customHeight="1">
      <c r="A47" s="897" t="s">
        <v>107</v>
      </c>
      <c r="B47" s="898"/>
      <c r="C47" s="898"/>
      <c r="D47" s="898"/>
      <c r="E47" s="899"/>
      <c r="F47" s="602"/>
      <c r="G47" s="602"/>
      <c r="H47" s="602"/>
      <c r="I47" s="602"/>
      <c r="J47" s="602"/>
      <c r="K47" s="602"/>
      <c r="L47" s="602"/>
      <c r="M47" s="602"/>
      <c r="N47" s="602"/>
      <c r="O47" s="602"/>
      <c r="P47" s="602"/>
      <c r="Q47" s="602"/>
      <c r="R47" s="602"/>
    </row>
    <row r="48" spans="1:19">
      <c r="B48" s="707"/>
    </row>
    <row r="49" spans="2:4">
      <c r="B49" s="621"/>
      <c r="C49" s="621"/>
      <c r="D49" s="621"/>
    </row>
    <row r="57" spans="2:4" hidden="1"/>
    <row r="108" spans="5:10">
      <c r="E108" s="601" t="s">
        <v>7</v>
      </c>
      <c r="J108" s="601" t="s">
        <v>9</v>
      </c>
    </row>
    <row r="109" spans="5:10" ht="135">
      <c r="E109" s="710" t="s">
        <v>12</v>
      </c>
    </row>
    <row r="110" spans="5:10" ht="102.75">
      <c r="E110" s="710" t="s">
        <v>94</v>
      </c>
    </row>
    <row r="111" spans="5:10">
      <c r="E111" s="601" t="s">
        <v>15</v>
      </c>
      <c r="J111" s="601" t="s">
        <v>16</v>
      </c>
    </row>
    <row r="112" spans="5:10">
      <c r="E112" s="601" t="s">
        <v>96</v>
      </c>
      <c r="J112" s="601" t="s">
        <v>97</v>
      </c>
    </row>
    <row r="113" spans="5:10">
      <c r="E113" s="601" t="s">
        <v>18</v>
      </c>
      <c r="J113" s="601" t="s">
        <v>16</v>
      </c>
    </row>
    <row r="114" spans="5:10">
      <c r="E114" s="601" t="s">
        <v>98</v>
      </c>
      <c r="J114" s="601" t="s">
        <v>97</v>
      </c>
    </row>
    <row r="115" spans="5:10">
      <c r="E115" s="601" t="s">
        <v>20</v>
      </c>
      <c r="J115" s="601" t="s">
        <v>21</v>
      </c>
    </row>
    <row r="116" spans="5:10">
      <c r="E116" s="601" t="s">
        <v>108</v>
      </c>
      <c r="J116" s="601" t="s">
        <v>100</v>
      </c>
    </row>
    <row r="117" spans="5:10">
      <c r="E117" s="601" t="s">
        <v>23</v>
      </c>
      <c r="I117" s="601">
        <f>+AC76</f>
        <v>0</v>
      </c>
      <c r="J117" s="601" t="s">
        <v>13</v>
      </c>
    </row>
    <row r="118" spans="5:10">
      <c r="E118" s="601" t="s">
        <v>101</v>
      </c>
      <c r="J118" s="601" t="s">
        <v>95</v>
      </c>
    </row>
  </sheetData>
  <mergeCells count="44">
    <mergeCell ref="A46:E46"/>
    <mergeCell ref="A47:E47"/>
    <mergeCell ref="B40:C40"/>
    <mergeCell ref="B41:C41"/>
    <mergeCell ref="A43:E43"/>
    <mergeCell ref="A44:E44"/>
    <mergeCell ref="A45:E45"/>
    <mergeCell ref="A42:E42"/>
    <mergeCell ref="A28:E28"/>
    <mergeCell ref="A29:A41"/>
    <mergeCell ref="B29:C29"/>
    <mergeCell ref="B30:C30"/>
    <mergeCell ref="B31:C31"/>
    <mergeCell ref="B32:C32"/>
    <mergeCell ref="B33:C33"/>
    <mergeCell ref="B34:C34"/>
    <mergeCell ref="B35:C35"/>
    <mergeCell ref="B36:C36"/>
    <mergeCell ref="B37:C37"/>
    <mergeCell ref="B39:C39"/>
    <mergeCell ref="B38:C38"/>
    <mergeCell ref="A18:D18"/>
    <mergeCell ref="E18:E26"/>
    <mergeCell ref="A19:A26"/>
    <mergeCell ref="B19:C19"/>
    <mergeCell ref="B20:C20"/>
    <mergeCell ref="B21:C21"/>
    <mergeCell ref="B22:C22"/>
    <mergeCell ref="B23:C23"/>
    <mergeCell ref="B24:C24"/>
    <mergeCell ref="B25:C25"/>
    <mergeCell ref="B26:C26"/>
    <mergeCell ref="A15:B15"/>
    <mergeCell ref="A1:E1"/>
    <mergeCell ref="A2:E2"/>
    <mergeCell ref="A3:E3"/>
    <mergeCell ref="A4:E4"/>
    <mergeCell ref="A5:E5"/>
    <mergeCell ref="A7:E7"/>
    <mergeCell ref="A8:B9"/>
    <mergeCell ref="A11:E11"/>
    <mergeCell ref="A12:B12"/>
    <mergeCell ref="A13:B13"/>
    <mergeCell ref="A14:B14"/>
  </mergeCells>
  <printOptions horizontalCentered="1" verticalCentered="1"/>
  <pageMargins left="0.70866141732283472" right="0.70866141732283472" top="0.74803149606299213" bottom="0.74803149606299213" header="0.31496062992125984" footer="0.31496062992125984"/>
  <pageSetup scale="4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74686-09E6-47AA-B722-15F8424CE652}">
  <sheetPr>
    <pageSetUpPr fitToPage="1"/>
  </sheetPr>
  <dimension ref="A1:AJ163"/>
  <sheetViews>
    <sheetView showGridLines="0" topLeftCell="F114" workbookViewId="0">
      <selection activeCell="B60" sqref="B60"/>
    </sheetView>
  </sheetViews>
  <sheetFormatPr baseColWidth="10" defaultColWidth="11.42578125" defaultRowHeight="12" outlineLevelRow="1"/>
  <cols>
    <col min="1" max="1" width="6" style="1" customWidth="1"/>
    <col min="2" max="2" width="8.7109375" style="1" customWidth="1"/>
    <col min="3" max="3" width="37.7109375" style="1" customWidth="1"/>
    <col min="4" max="4" width="15.42578125" style="1" customWidth="1"/>
    <col min="5" max="5" width="25.42578125" style="2" customWidth="1"/>
    <col min="6" max="6" width="22.7109375" style="2" customWidth="1"/>
    <col min="7" max="7" width="18.7109375" style="2" customWidth="1"/>
    <col min="8" max="8" width="19.7109375" style="2" customWidth="1"/>
    <col min="9" max="9" width="19.85546875" style="2" customWidth="1"/>
    <col min="10" max="10" width="21.28515625" style="1" customWidth="1"/>
    <col min="11" max="11" width="16.28515625" style="1" customWidth="1"/>
    <col min="12" max="12" width="21" style="15" customWidth="1"/>
    <col min="13" max="13" width="15.7109375" style="1" customWidth="1"/>
    <col min="14" max="14" width="19.28515625" style="1" customWidth="1"/>
    <col min="15" max="15" width="19" style="1" bestFit="1" customWidth="1"/>
    <col min="16" max="16" width="18.85546875" style="1" customWidth="1"/>
    <col min="17" max="17" width="13" style="1" customWidth="1"/>
    <col min="18" max="18" width="20.85546875" style="1" customWidth="1"/>
    <col min="19" max="19" width="18" style="1" customWidth="1"/>
    <col min="20" max="20" width="18.42578125" style="1" customWidth="1"/>
    <col min="21" max="21" width="19.28515625" style="1" customWidth="1"/>
    <col min="22" max="22" width="26.140625" style="1" customWidth="1"/>
    <col min="23" max="23" width="17.42578125" style="1" customWidth="1"/>
    <col min="24" max="24" width="17.85546875" style="1" customWidth="1"/>
    <col min="25" max="25" width="19.28515625" style="1" customWidth="1"/>
    <col min="26" max="26" width="18.7109375" style="1" customWidth="1"/>
    <col min="27" max="27" width="20.85546875" style="1" customWidth="1"/>
    <col min="28" max="28" width="19.85546875" style="1" customWidth="1"/>
    <col min="29" max="29" width="22" style="3" bestFit="1" customWidth="1"/>
    <col min="30" max="30" width="31.140625" style="3" bestFit="1" customWidth="1"/>
    <col min="31" max="31" width="4.85546875" style="1" customWidth="1"/>
    <col min="32" max="32" width="15.140625" style="1" customWidth="1"/>
    <col min="33" max="16384" width="11.42578125" style="1"/>
  </cols>
  <sheetData>
    <row r="1" spans="1:36" ht="12.75">
      <c r="B1" s="993" t="s">
        <v>792</v>
      </c>
      <c r="C1" s="991"/>
      <c r="D1" s="991"/>
      <c r="E1" s="991"/>
      <c r="F1" s="991"/>
      <c r="G1" s="991"/>
      <c r="H1" s="991"/>
      <c r="I1" s="991"/>
      <c r="J1" s="991"/>
      <c r="K1" s="991"/>
      <c r="L1" s="991"/>
      <c r="M1" s="991"/>
      <c r="N1" s="991"/>
      <c r="O1" s="991"/>
      <c r="P1" s="991"/>
      <c r="Q1" s="991"/>
      <c r="R1" s="991"/>
      <c r="S1" s="991"/>
      <c r="T1" s="991"/>
      <c r="U1" s="991"/>
      <c r="V1" s="991"/>
      <c r="W1" s="991"/>
      <c r="X1" s="991"/>
      <c r="Y1" s="991"/>
      <c r="Z1" s="991"/>
      <c r="AA1" s="991"/>
      <c r="AB1" s="991"/>
      <c r="AC1" s="991"/>
      <c r="AD1" s="992"/>
    </row>
    <row r="2" spans="1:36" ht="12.75">
      <c r="B2" s="990" t="s">
        <v>808</v>
      </c>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2"/>
    </row>
    <row r="3" spans="1:36" ht="43.5" customHeight="1">
      <c r="B3" s="993" t="s">
        <v>793</v>
      </c>
      <c r="C3" s="994"/>
      <c r="D3" s="994"/>
      <c r="E3" s="994"/>
      <c r="F3" s="994"/>
      <c r="G3" s="994"/>
      <c r="H3" s="994"/>
      <c r="I3" s="994"/>
      <c r="J3" s="994"/>
      <c r="K3" s="994"/>
      <c r="L3" s="994"/>
      <c r="M3" s="994"/>
      <c r="N3" s="994"/>
      <c r="O3" s="994"/>
      <c r="P3" s="994"/>
      <c r="Q3" s="994"/>
      <c r="R3" s="994"/>
      <c r="S3" s="994"/>
      <c r="T3" s="994"/>
      <c r="U3" s="994"/>
      <c r="V3" s="994"/>
      <c r="W3" s="994"/>
      <c r="X3" s="994"/>
      <c r="Y3" s="994"/>
      <c r="Z3" s="994"/>
      <c r="AA3" s="994"/>
      <c r="AB3" s="994"/>
      <c r="AC3" s="994"/>
      <c r="AD3" s="995"/>
      <c r="AH3" s="996" t="s">
        <v>794</v>
      </c>
      <c r="AI3" s="997"/>
      <c r="AJ3" s="756"/>
    </row>
    <row r="4" spans="1:36" ht="12.75">
      <c r="B4" s="990" t="s">
        <v>109</v>
      </c>
      <c r="C4" s="991"/>
      <c r="D4" s="991"/>
      <c r="E4" s="991"/>
      <c r="F4" s="991"/>
      <c r="G4" s="991"/>
      <c r="H4" s="991"/>
      <c r="I4" s="991"/>
      <c r="J4" s="991"/>
      <c r="K4" s="991"/>
      <c r="L4" s="991"/>
      <c r="M4" s="991"/>
      <c r="N4" s="991"/>
      <c r="O4" s="991"/>
      <c r="P4" s="991"/>
      <c r="Q4" s="991"/>
      <c r="R4" s="991"/>
      <c r="S4" s="991"/>
      <c r="T4" s="991"/>
      <c r="U4" s="991"/>
      <c r="V4" s="991"/>
      <c r="W4" s="991"/>
      <c r="X4" s="991"/>
      <c r="Y4" s="991"/>
      <c r="Z4" s="991"/>
      <c r="AA4" s="991"/>
      <c r="AB4" s="991"/>
      <c r="AC4" s="991"/>
      <c r="AD4" s="992"/>
    </row>
    <row r="5" spans="1:36" ht="12.75">
      <c r="B5" s="755"/>
      <c r="C5" s="711"/>
      <c r="D5" s="711"/>
      <c r="E5" s="711"/>
      <c r="F5" s="711"/>
      <c r="G5" s="711"/>
      <c r="H5" s="711"/>
      <c r="I5" s="711"/>
      <c r="J5" s="711"/>
      <c r="K5" s="711"/>
      <c r="L5" s="711"/>
      <c r="M5" s="711"/>
      <c r="N5" s="711"/>
      <c r="O5" s="711"/>
      <c r="P5" s="711"/>
      <c r="Q5" s="711"/>
      <c r="R5" s="711"/>
      <c r="S5" s="711"/>
      <c r="T5" s="711"/>
      <c r="U5" s="711"/>
      <c r="V5" s="711"/>
      <c r="W5" s="711"/>
      <c r="X5" s="711"/>
      <c r="Y5" s="711"/>
      <c r="Z5" s="711"/>
      <c r="AA5" s="711"/>
      <c r="AB5" s="711"/>
      <c r="AC5" s="711"/>
      <c r="AD5" s="754"/>
    </row>
    <row r="6" spans="1:36" ht="12.75">
      <c r="B6" s="990" t="s">
        <v>795</v>
      </c>
      <c r="C6" s="991"/>
      <c r="D6" s="991"/>
      <c r="E6" s="991"/>
      <c r="F6" s="991"/>
      <c r="G6" s="991"/>
      <c r="H6" s="991"/>
      <c r="I6" s="991"/>
      <c r="J6" s="991"/>
      <c r="K6" s="991"/>
      <c r="L6" s="991"/>
      <c r="M6" s="991"/>
      <c r="N6" s="991"/>
      <c r="O6" s="991"/>
      <c r="P6" s="991"/>
      <c r="Q6" s="991"/>
      <c r="R6" s="991"/>
      <c r="S6" s="991"/>
      <c r="T6" s="991"/>
      <c r="U6" s="991"/>
      <c r="V6" s="991"/>
      <c r="W6" s="991"/>
      <c r="X6" s="991"/>
      <c r="Y6" s="991"/>
      <c r="Z6" s="991"/>
      <c r="AA6" s="991"/>
      <c r="AB6" s="991"/>
      <c r="AC6" s="991"/>
      <c r="AD6" s="992"/>
    </row>
    <row r="7" spans="1:36" ht="12.75">
      <c r="B7" s="983" t="s">
        <v>796</v>
      </c>
      <c r="C7" s="984"/>
      <c r="D7" s="984"/>
      <c r="E7" s="984"/>
      <c r="F7" s="984"/>
      <c r="G7" s="984"/>
      <c r="H7" s="984"/>
      <c r="I7" s="984"/>
      <c r="J7" s="984"/>
      <c r="K7" s="984"/>
      <c r="L7" s="984"/>
      <c r="M7" s="984"/>
      <c r="N7" s="984"/>
      <c r="O7" s="984"/>
      <c r="P7" s="984"/>
      <c r="Q7" s="984"/>
      <c r="R7" s="984"/>
      <c r="S7" s="984"/>
      <c r="T7" s="984"/>
      <c r="U7" s="984"/>
      <c r="V7" s="984"/>
      <c r="W7" s="984"/>
      <c r="X7" s="984"/>
      <c r="Y7" s="984"/>
      <c r="Z7" s="984"/>
      <c r="AA7" s="984"/>
      <c r="AB7" s="984"/>
      <c r="AC7" s="984"/>
      <c r="AD7" s="985"/>
    </row>
    <row r="8" spans="1:36" customFormat="1" ht="12.75"/>
    <row r="9" spans="1:36" ht="12.75" customHeight="1">
      <c r="B9" s="63">
        <v>1</v>
      </c>
      <c r="C9" s="986" t="s">
        <v>110</v>
      </c>
      <c r="D9" s="986"/>
      <c r="E9" s="986"/>
      <c r="F9" s="986"/>
      <c r="G9" s="986"/>
      <c r="H9" s="986"/>
      <c r="I9" s="986"/>
      <c r="J9" s="986"/>
      <c r="K9" s="986"/>
      <c r="L9" s="986"/>
      <c r="M9" s="986"/>
      <c r="N9" s="986"/>
      <c r="O9" s="986"/>
      <c r="P9" s="986"/>
      <c r="Q9" s="986"/>
      <c r="R9" s="986"/>
      <c r="S9" s="986"/>
      <c r="T9" s="986"/>
      <c r="U9" s="986"/>
      <c r="V9" s="986"/>
      <c r="W9" s="986"/>
      <c r="X9" s="986"/>
      <c r="Y9" s="986"/>
      <c r="Z9" s="986"/>
      <c r="AA9" s="986"/>
      <c r="AB9" s="986"/>
      <c r="AC9" s="986"/>
      <c r="AD9" s="987"/>
    </row>
    <row r="10" spans="1:36" ht="25.5">
      <c r="B10" s="51" t="s">
        <v>111</v>
      </c>
      <c r="C10" s="48" t="s">
        <v>112</v>
      </c>
      <c r="D10" s="49"/>
      <c r="E10" s="49"/>
      <c r="F10" s="49"/>
      <c r="G10" s="49">
        <v>9</v>
      </c>
      <c r="H10" s="49">
        <v>4</v>
      </c>
      <c r="I10" s="49"/>
      <c r="J10" s="49"/>
      <c r="K10" s="49"/>
      <c r="L10" s="49"/>
      <c r="M10" s="49"/>
      <c r="N10" s="49"/>
      <c r="O10" s="49"/>
      <c r="P10" s="49"/>
      <c r="Q10" s="49"/>
      <c r="R10" s="49"/>
      <c r="S10" s="49"/>
      <c r="T10" s="49"/>
      <c r="U10" s="49"/>
      <c r="V10" s="49"/>
      <c r="W10" s="717" t="s">
        <v>790</v>
      </c>
      <c r="X10" s="49"/>
      <c r="Y10" s="49"/>
      <c r="Z10" s="49"/>
      <c r="AA10" s="49"/>
      <c r="AB10" s="49"/>
      <c r="AC10" s="49"/>
      <c r="AD10" s="50"/>
    </row>
    <row r="11" spans="1:36" s="6" customFormat="1" ht="41.25" customHeight="1">
      <c r="B11" s="980" t="s">
        <v>29</v>
      </c>
      <c r="C11" s="980" t="s">
        <v>113</v>
      </c>
      <c r="D11" s="980" t="s">
        <v>114</v>
      </c>
      <c r="E11" s="980" t="s">
        <v>115</v>
      </c>
      <c r="F11" s="980" t="s">
        <v>116</v>
      </c>
      <c r="G11" s="4" t="s">
        <v>117</v>
      </c>
      <c r="H11" s="4" t="s">
        <v>118</v>
      </c>
      <c r="I11" s="4" t="s">
        <v>119</v>
      </c>
      <c r="J11" s="980" t="s">
        <v>120</v>
      </c>
      <c r="K11" s="4" t="s">
        <v>121</v>
      </c>
      <c r="L11" s="4" t="s">
        <v>122</v>
      </c>
      <c r="M11" s="4" t="s">
        <v>123</v>
      </c>
      <c r="N11" s="4" t="s">
        <v>124</v>
      </c>
      <c r="O11" s="4" t="s">
        <v>125</v>
      </c>
      <c r="P11" s="4" t="s">
        <v>126</v>
      </c>
      <c r="Q11" s="980" t="s">
        <v>127</v>
      </c>
      <c r="R11" s="980" t="s">
        <v>128</v>
      </c>
      <c r="S11" s="4" t="s">
        <v>129</v>
      </c>
      <c r="T11" s="4" t="s">
        <v>130</v>
      </c>
      <c r="U11" s="4" t="s">
        <v>131</v>
      </c>
      <c r="V11" s="980" t="s">
        <v>132</v>
      </c>
      <c r="W11" s="5" t="s">
        <v>133</v>
      </c>
      <c r="X11" s="140" t="s">
        <v>134</v>
      </c>
      <c r="Y11" s="140" t="s">
        <v>135</v>
      </c>
      <c r="Z11" s="140" t="s">
        <v>136</v>
      </c>
      <c r="AA11" s="988" t="s">
        <v>137</v>
      </c>
      <c r="AB11" s="5" t="s">
        <v>791</v>
      </c>
      <c r="AC11" s="988" t="s">
        <v>139</v>
      </c>
      <c r="AD11" s="988" t="s">
        <v>9</v>
      </c>
    </row>
    <row r="12" spans="1:36" s="10" customFormat="1" ht="19.5" customHeight="1">
      <c r="B12" s="981"/>
      <c r="C12" s="981"/>
      <c r="D12" s="981"/>
      <c r="E12" s="981"/>
      <c r="F12" s="981"/>
      <c r="G12" s="111">
        <v>0.9</v>
      </c>
      <c r="H12" s="112">
        <v>1.9</v>
      </c>
      <c r="I12" s="61">
        <f>249095</f>
        <v>249095</v>
      </c>
      <c r="J12" s="981"/>
      <c r="K12" s="62">
        <v>4.1669999999999999E-2</v>
      </c>
      <c r="L12" s="62">
        <v>8.3330000000000001E-2</v>
      </c>
      <c r="M12" s="62">
        <v>8.3330000000000001E-2</v>
      </c>
      <c r="N12" s="8">
        <v>0.01</v>
      </c>
      <c r="O12" s="8">
        <v>0</v>
      </c>
      <c r="P12" s="8">
        <v>0.12</v>
      </c>
      <c r="Q12" s="981"/>
      <c r="R12" s="981"/>
      <c r="S12" s="8">
        <v>0</v>
      </c>
      <c r="T12" s="8">
        <v>0</v>
      </c>
      <c r="U12" s="8">
        <v>0.04</v>
      </c>
      <c r="V12" s="981"/>
      <c r="W12" s="718">
        <v>0.08</v>
      </c>
      <c r="X12" s="141"/>
      <c r="Y12" s="141"/>
      <c r="Z12" s="141"/>
      <c r="AA12" s="989"/>
      <c r="AB12" s="9">
        <v>0.19</v>
      </c>
      <c r="AC12" s="989"/>
      <c r="AD12" s="989"/>
    </row>
    <row r="13" spans="1:36" s="10" customFormat="1" ht="24.95" customHeight="1" outlineLevel="1">
      <c r="A13" s="10">
        <v>1</v>
      </c>
      <c r="B13" s="54" t="s">
        <v>140</v>
      </c>
      <c r="C13" s="82" t="s">
        <v>141</v>
      </c>
      <c r="D13" s="110">
        <v>1</v>
      </c>
      <c r="E13" s="712">
        <v>5238163</v>
      </c>
      <c r="F13" s="719">
        <f t="shared" ref="F13:F38" si="0">E13*D13</f>
        <v>5238163</v>
      </c>
      <c r="G13" s="712">
        <f t="shared" ref="G13:G38" si="1">IFERROR(ROUND(($F13/(42*30/6)*7)*$G$12*$G$10/$D$44,0),"")</f>
        <v>707152</v>
      </c>
      <c r="H13" s="712">
        <f t="shared" ref="H13:H38" si="2">IFERROR(ROUND(($F13/(42*30/6)*7)*$H$12*$H$10/$D$44,0),"")</f>
        <v>663501</v>
      </c>
      <c r="I13" s="712">
        <f t="shared" ref="I13:I38" si="3">IF(E13&gt;(1750905*2),0,$I$12*D13)</f>
        <v>0</v>
      </c>
      <c r="J13" s="719">
        <f t="shared" ref="J13:J38" si="4">IFERROR(SUM(F13:I13),"")</f>
        <v>6608816</v>
      </c>
      <c r="K13" s="712">
        <f t="shared" ref="K13:K38" si="5">IFERROR(ROUND((J13-I13)*$K$12,0),"")</f>
        <v>275389</v>
      </c>
      <c r="L13" s="712">
        <f t="shared" ref="L13:L38" si="6">IFERROR(ROUND((J13)*$L$12,0),"")</f>
        <v>550713</v>
      </c>
      <c r="M13" s="712">
        <f t="shared" ref="M13:M38" si="7">IFERROR(ROUND((J13)*$M$12,0),"")</f>
        <v>550713</v>
      </c>
      <c r="N13" s="712">
        <f t="shared" ref="N13:N38" si="8">IFERROR(ROUND((J13)*$N$12,0),"")</f>
        <v>66088</v>
      </c>
      <c r="O13" s="712">
        <f t="shared" ref="O13:O38" si="9">IFERROR(ROUND((J13-I13)*$O$12,0),"")</f>
        <v>0</v>
      </c>
      <c r="P13" s="712">
        <f t="shared" ref="P13:P38" si="10">IFERROR(ROUND((J13-I13)*$P$12,0),"")</f>
        <v>793058</v>
      </c>
      <c r="Q13" s="720">
        <v>5.2199999999999998E-3</v>
      </c>
      <c r="R13" s="721">
        <f t="shared" ref="R13:R38" si="11">ROUND((J13-I13)*Q13,0)</f>
        <v>34498</v>
      </c>
      <c r="S13" s="712">
        <f t="shared" ref="S13:S38" si="12">IFERROR(ROUND((J13-I13)*$S$12,0),"")</f>
        <v>0</v>
      </c>
      <c r="T13" s="712">
        <f t="shared" ref="T13:T38" si="13">IFERROR(ROUND((J13-I13)*$T$12,0),"")</f>
        <v>0</v>
      </c>
      <c r="U13" s="712">
        <f t="shared" ref="U13:U38" si="14">ROUND((J13-I13)*$U$12,0)</f>
        <v>264353</v>
      </c>
      <c r="V13" s="719">
        <f t="shared" ref="V13:V38" si="15">IFERROR(+J13+K13+L13+M13+N13+O13+P13+R13+S13+T13+U13,"")</f>
        <v>9143628</v>
      </c>
      <c r="W13" s="722">
        <f t="shared" ref="W13:W38" si="16">IFERROR(ROUND(V13*$W$12,0),"")</f>
        <v>731490</v>
      </c>
      <c r="X13" s="719"/>
      <c r="Y13" s="719">
        <f t="shared" ref="Y13:Y26" si="17">IFERROR(V13+W13,"")</f>
        <v>9875118</v>
      </c>
      <c r="Z13" s="719">
        <f t="shared" ref="Z13:Z26" si="18">IFERROR(Y13-(V13+W13),"")</f>
        <v>0</v>
      </c>
      <c r="AA13" s="723">
        <f t="shared" ref="AA13:AA38" si="19">IFERROR(V13+W13,"")</f>
        <v>9875118</v>
      </c>
      <c r="AB13" s="721">
        <f t="shared" ref="AB13:AB26" si="20">IFERROR(ROUND(AA13*$AB$12,0),"")</f>
        <v>1876272</v>
      </c>
      <c r="AC13" s="719">
        <f t="shared" ref="AC13:AC38" si="21">IFERROR(+AA13+AB13,"")</f>
        <v>11751390</v>
      </c>
      <c r="AD13" s="7" t="s">
        <v>13</v>
      </c>
    </row>
    <row r="14" spans="1:36" s="10" customFormat="1" ht="24.95" customHeight="1" outlineLevel="1">
      <c r="A14" s="10">
        <v>2</v>
      </c>
      <c r="B14" s="54" t="s">
        <v>142</v>
      </c>
      <c r="C14" s="82" t="s">
        <v>789</v>
      </c>
      <c r="D14" s="110">
        <v>1</v>
      </c>
      <c r="E14" s="712">
        <v>4200122</v>
      </c>
      <c r="F14" s="719">
        <f t="shared" si="0"/>
        <v>4200122</v>
      </c>
      <c r="G14" s="712">
        <f t="shared" si="1"/>
        <v>567016</v>
      </c>
      <c r="H14" s="712">
        <f t="shared" si="2"/>
        <v>532015</v>
      </c>
      <c r="I14" s="712">
        <f t="shared" si="3"/>
        <v>0</v>
      </c>
      <c r="J14" s="719">
        <f t="shared" si="4"/>
        <v>5299153</v>
      </c>
      <c r="K14" s="712">
        <f t="shared" si="5"/>
        <v>220816</v>
      </c>
      <c r="L14" s="712">
        <f t="shared" si="6"/>
        <v>441578</v>
      </c>
      <c r="M14" s="712">
        <f t="shared" si="7"/>
        <v>441578</v>
      </c>
      <c r="N14" s="712">
        <f t="shared" si="8"/>
        <v>52992</v>
      </c>
      <c r="O14" s="712">
        <f t="shared" si="9"/>
        <v>0</v>
      </c>
      <c r="P14" s="712">
        <f t="shared" si="10"/>
        <v>635898</v>
      </c>
      <c r="Q14" s="720">
        <v>5.2199999999999998E-3</v>
      </c>
      <c r="R14" s="712">
        <f t="shared" si="11"/>
        <v>27662</v>
      </c>
      <c r="S14" s="712">
        <f t="shared" si="12"/>
        <v>0</v>
      </c>
      <c r="T14" s="712">
        <f t="shared" si="13"/>
        <v>0</v>
      </c>
      <c r="U14" s="712">
        <f t="shared" si="14"/>
        <v>211966</v>
      </c>
      <c r="V14" s="719">
        <f t="shared" si="15"/>
        <v>7331643</v>
      </c>
      <c r="W14" s="722">
        <f t="shared" si="16"/>
        <v>586531</v>
      </c>
      <c r="X14" s="719"/>
      <c r="Y14" s="719">
        <f t="shared" si="17"/>
        <v>7918174</v>
      </c>
      <c r="Z14" s="719">
        <f t="shared" si="18"/>
        <v>0</v>
      </c>
      <c r="AA14" s="723">
        <f t="shared" si="19"/>
        <v>7918174</v>
      </c>
      <c r="AB14" s="721">
        <f t="shared" si="20"/>
        <v>1504453</v>
      </c>
      <c r="AC14" s="719">
        <f t="shared" si="21"/>
        <v>9422627</v>
      </c>
      <c r="AD14" s="7" t="s">
        <v>13</v>
      </c>
    </row>
    <row r="15" spans="1:36" s="10" customFormat="1" ht="24.95" customHeight="1" outlineLevel="1">
      <c r="A15" s="10">
        <v>3</v>
      </c>
      <c r="B15" s="54" t="s">
        <v>144</v>
      </c>
      <c r="C15" s="82" t="s">
        <v>143</v>
      </c>
      <c r="D15" s="110">
        <v>1</v>
      </c>
      <c r="E15" s="712">
        <v>4200122</v>
      </c>
      <c r="F15" s="719">
        <f t="shared" si="0"/>
        <v>4200122</v>
      </c>
      <c r="G15" s="712">
        <f t="shared" si="1"/>
        <v>567016</v>
      </c>
      <c r="H15" s="712">
        <f t="shared" si="2"/>
        <v>532015</v>
      </c>
      <c r="I15" s="712">
        <f t="shared" si="3"/>
        <v>0</v>
      </c>
      <c r="J15" s="719">
        <f t="shared" si="4"/>
        <v>5299153</v>
      </c>
      <c r="K15" s="712">
        <f t="shared" si="5"/>
        <v>220816</v>
      </c>
      <c r="L15" s="712">
        <f t="shared" si="6"/>
        <v>441578</v>
      </c>
      <c r="M15" s="712">
        <f t="shared" si="7"/>
        <v>441578</v>
      </c>
      <c r="N15" s="712">
        <f t="shared" si="8"/>
        <v>52992</v>
      </c>
      <c r="O15" s="712">
        <f t="shared" si="9"/>
        <v>0</v>
      </c>
      <c r="P15" s="712">
        <f t="shared" si="10"/>
        <v>635898</v>
      </c>
      <c r="Q15" s="720">
        <v>5.2199999999999998E-3</v>
      </c>
      <c r="R15" s="712">
        <f t="shared" si="11"/>
        <v>27662</v>
      </c>
      <c r="S15" s="712">
        <f t="shared" si="12"/>
        <v>0</v>
      </c>
      <c r="T15" s="712">
        <f t="shared" si="13"/>
        <v>0</v>
      </c>
      <c r="U15" s="712">
        <f t="shared" si="14"/>
        <v>211966</v>
      </c>
      <c r="V15" s="719">
        <f t="shared" si="15"/>
        <v>7331643</v>
      </c>
      <c r="W15" s="722">
        <f t="shared" si="16"/>
        <v>586531</v>
      </c>
      <c r="X15" s="719"/>
      <c r="Y15" s="719">
        <f t="shared" si="17"/>
        <v>7918174</v>
      </c>
      <c r="Z15" s="719">
        <f t="shared" si="18"/>
        <v>0</v>
      </c>
      <c r="AA15" s="723">
        <f t="shared" si="19"/>
        <v>7918174</v>
      </c>
      <c r="AB15" s="721">
        <f t="shared" si="20"/>
        <v>1504453</v>
      </c>
      <c r="AC15" s="719">
        <f t="shared" si="21"/>
        <v>9422627</v>
      </c>
      <c r="AD15" s="7" t="s">
        <v>13</v>
      </c>
    </row>
    <row r="16" spans="1:36" s="10" customFormat="1" ht="24.95" customHeight="1" outlineLevel="1">
      <c r="A16" s="10">
        <v>4</v>
      </c>
      <c r="B16" s="54" t="s">
        <v>146</v>
      </c>
      <c r="C16" s="82" t="s">
        <v>145</v>
      </c>
      <c r="D16" s="110">
        <v>2</v>
      </c>
      <c r="E16" s="712">
        <v>3453397</v>
      </c>
      <c r="F16" s="719">
        <f t="shared" si="0"/>
        <v>6906794</v>
      </c>
      <c r="G16" s="712">
        <f t="shared" si="1"/>
        <v>932417</v>
      </c>
      <c r="H16" s="712">
        <f t="shared" si="2"/>
        <v>874861</v>
      </c>
      <c r="I16" s="712">
        <f t="shared" si="3"/>
        <v>498190</v>
      </c>
      <c r="J16" s="719">
        <f t="shared" si="4"/>
        <v>9212262</v>
      </c>
      <c r="K16" s="712">
        <f t="shared" si="5"/>
        <v>363115</v>
      </c>
      <c r="L16" s="712">
        <f t="shared" si="6"/>
        <v>767658</v>
      </c>
      <c r="M16" s="712">
        <f t="shared" si="7"/>
        <v>767658</v>
      </c>
      <c r="N16" s="712">
        <f t="shared" si="8"/>
        <v>92123</v>
      </c>
      <c r="O16" s="712">
        <f t="shared" si="9"/>
        <v>0</v>
      </c>
      <c r="P16" s="712">
        <f t="shared" si="10"/>
        <v>1045689</v>
      </c>
      <c r="Q16" s="720">
        <v>2.436E-2</v>
      </c>
      <c r="R16" s="721">
        <f t="shared" si="11"/>
        <v>212275</v>
      </c>
      <c r="S16" s="712">
        <f t="shared" si="12"/>
        <v>0</v>
      </c>
      <c r="T16" s="712">
        <f t="shared" si="13"/>
        <v>0</v>
      </c>
      <c r="U16" s="712">
        <f t="shared" si="14"/>
        <v>348563</v>
      </c>
      <c r="V16" s="719">
        <f t="shared" si="15"/>
        <v>12809343</v>
      </c>
      <c r="W16" s="722">
        <f t="shared" si="16"/>
        <v>1024747</v>
      </c>
      <c r="X16" s="719"/>
      <c r="Y16" s="719">
        <f t="shared" si="17"/>
        <v>13834090</v>
      </c>
      <c r="Z16" s="719">
        <f t="shared" si="18"/>
        <v>0</v>
      </c>
      <c r="AA16" s="723">
        <f t="shared" si="19"/>
        <v>13834090</v>
      </c>
      <c r="AB16" s="721">
        <f t="shared" si="20"/>
        <v>2628477</v>
      </c>
      <c r="AC16" s="719">
        <f t="shared" si="21"/>
        <v>16462567</v>
      </c>
      <c r="AD16" s="7" t="s">
        <v>13</v>
      </c>
    </row>
    <row r="17" spans="1:30" s="10" customFormat="1" ht="24.95" customHeight="1" outlineLevel="1">
      <c r="A17" s="10">
        <v>5</v>
      </c>
      <c r="B17" s="54" t="s">
        <v>148</v>
      </c>
      <c r="C17" s="82" t="s">
        <v>147</v>
      </c>
      <c r="D17" s="110">
        <v>1</v>
      </c>
      <c r="E17" s="712">
        <v>4200122</v>
      </c>
      <c r="F17" s="719">
        <f t="shared" si="0"/>
        <v>4200122</v>
      </c>
      <c r="G17" s="712">
        <f t="shared" si="1"/>
        <v>567016</v>
      </c>
      <c r="H17" s="712">
        <f t="shared" si="2"/>
        <v>532015</v>
      </c>
      <c r="I17" s="712">
        <f t="shared" si="3"/>
        <v>0</v>
      </c>
      <c r="J17" s="719">
        <f t="shared" si="4"/>
        <v>5299153</v>
      </c>
      <c r="K17" s="712">
        <f t="shared" si="5"/>
        <v>220816</v>
      </c>
      <c r="L17" s="712">
        <f t="shared" si="6"/>
        <v>441578</v>
      </c>
      <c r="M17" s="712">
        <f t="shared" si="7"/>
        <v>441578</v>
      </c>
      <c r="N17" s="712">
        <f t="shared" si="8"/>
        <v>52992</v>
      </c>
      <c r="O17" s="712">
        <f t="shared" si="9"/>
        <v>0</v>
      </c>
      <c r="P17" s="712">
        <f t="shared" si="10"/>
        <v>635898</v>
      </c>
      <c r="Q17" s="720">
        <v>5.2199999999999998E-3</v>
      </c>
      <c r="R17" s="721">
        <f t="shared" si="11"/>
        <v>27662</v>
      </c>
      <c r="S17" s="712">
        <f t="shared" si="12"/>
        <v>0</v>
      </c>
      <c r="T17" s="712">
        <f t="shared" si="13"/>
        <v>0</v>
      </c>
      <c r="U17" s="712">
        <f t="shared" si="14"/>
        <v>211966</v>
      </c>
      <c r="V17" s="719">
        <f t="shared" si="15"/>
        <v>7331643</v>
      </c>
      <c r="W17" s="722">
        <f t="shared" si="16"/>
        <v>586531</v>
      </c>
      <c r="X17" s="719"/>
      <c r="Y17" s="719">
        <f t="shared" si="17"/>
        <v>7918174</v>
      </c>
      <c r="Z17" s="719">
        <f t="shared" si="18"/>
        <v>0</v>
      </c>
      <c r="AA17" s="723">
        <f t="shared" si="19"/>
        <v>7918174</v>
      </c>
      <c r="AB17" s="721">
        <f t="shared" si="20"/>
        <v>1504453</v>
      </c>
      <c r="AC17" s="719">
        <f t="shared" si="21"/>
        <v>9422627</v>
      </c>
      <c r="AD17" s="7" t="s">
        <v>13</v>
      </c>
    </row>
    <row r="18" spans="1:30" s="10" customFormat="1" ht="24.95" customHeight="1" outlineLevel="1">
      <c r="A18" s="10">
        <v>6</v>
      </c>
      <c r="B18" s="54" t="s">
        <v>150</v>
      </c>
      <c r="C18" s="81" t="s">
        <v>149</v>
      </c>
      <c r="D18" s="110">
        <v>1</v>
      </c>
      <c r="E18" s="713">
        <v>2286853</v>
      </c>
      <c r="F18" s="719">
        <f t="shared" si="0"/>
        <v>2286853</v>
      </c>
      <c r="G18" s="712">
        <f t="shared" si="1"/>
        <v>308725</v>
      </c>
      <c r="H18" s="712">
        <f t="shared" si="2"/>
        <v>289668</v>
      </c>
      <c r="I18" s="712">
        <f t="shared" si="3"/>
        <v>249095</v>
      </c>
      <c r="J18" s="719">
        <f t="shared" si="4"/>
        <v>3134341</v>
      </c>
      <c r="K18" s="712">
        <f t="shared" si="5"/>
        <v>120228</v>
      </c>
      <c r="L18" s="712">
        <f t="shared" si="6"/>
        <v>261185</v>
      </c>
      <c r="M18" s="712">
        <f t="shared" si="7"/>
        <v>261185</v>
      </c>
      <c r="N18" s="712">
        <f t="shared" si="8"/>
        <v>31343</v>
      </c>
      <c r="O18" s="712">
        <f t="shared" si="9"/>
        <v>0</v>
      </c>
      <c r="P18" s="712">
        <f t="shared" si="10"/>
        <v>346230</v>
      </c>
      <c r="Q18" s="720">
        <v>5.2199999999999998E-3</v>
      </c>
      <c r="R18" s="712">
        <f t="shared" si="11"/>
        <v>15061</v>
      </c>
      <c r="S18" s="712">
        <f t="shared" si="12"/>
        <v>0</v>
      </c>
      <c r="T18" s="712">
        <f t="shared" si="13"/>
        <v>0</v>
      </c>
      <c r="U18" s="712">
        <f t="shared" si="14"/>
        <v>115410</v>
      </c>
      <c r="V18" s="719">
        <f t="shared" si="15"/>
        <v>4284983</v>
      </c>
      <c r="W18" s="722">
        <f t="shared" si="16"/>
        <v>342799</v>
      </c>
      <c r="X18" s="719"/>
      <c r="Y18" s="719">
        <f t="shared" si="17"/>
        <v>4627782</v>
      </c>
      <c r="Z18" s="719">
        <f t="shared" si="18"/>
        <v>0</v>
      </c>
      <c r="AA18" s="723">
        <f t="shared" si="19"/>
        <v>4627782</v>
      </c>
      <c r="AB18" s="721">
        <f t="shared" si="20"/>
        <v>879279</v>
      </c>
      <c r="AC18" s="719">
        <f t="shared" si="21"/>
        <v>5507061</v>
      </c>
      <c r="AD18" s="7" t="s">
        <v>13</v>
      </c>
    </row>
    <row r="19" spans="1:30" s="10" customFormat="1" ht="24.95" customHeight="1" outlineLevel="1">
      <c r="A19" s="10">
        <v>7</v>
      </c>
      <c r="B19" s="54" t="s">
        <v>152</v>
      </c>
      <c r="C19" s="82" t="s">
        <v>151</v>
      </c>
      <c r="D19" s="110">
        <v>1</v>
      </c>
      <c r="E19" s="712">
        <v>3453397</v>
      </c>
      <c r="F19" s="719">
        <f t="shared" si="0"/>
        <v>3453397</v>
      </c>
      <c r="G19" s="712">
        <f t="shared" si="1"/>
        <v>466209</v>
      </c>
      <c r="H19" s="712">
        <f t="shared" si="2"/>
        <v>437430</v>
      </c>
      <c r="I19" s="712">
        <f t="shared" si="3"/>
        <v>249095</v>
      </c>
      <c r="J19" s="719">
        <f t="shared" si="4"/>
        <v>4606131</v>
      </c>
      <c r="K19" s="712">
        <f t="shared" si="5"/>
        <v>181558</v>
      </c>
      <c r="L19" s="712">
        <f t="shared" si="6"/>
        <v>383829</v>
      </c>
      <c r="M19" s="712">
        <f t="shared" si="7"/>
        <v>383829</v>
      </c>
      <c r="N19" s="712">
        <f t="shared" si="8"/>
        <v>46061</v>
      </c>
      <c r="O19" s="712">
        <f t="shared" si="9"/>
        <v>0</v>
      </c>
      <c r="P19" s="712">
        <f t="shared" si="10"/>
        <v>522844</v>
      </c>
      <c r="Q19" s="720">
        <v>2.436E-2</v>
      </c>
      <c r="R19" s="721">
        <f t="shared" si="11"/>
        <v>106137</v>
      </c>
      <c r="S19" s="712">
        <f t="shared" si="12"/>
        <v>0</v>
      </c>
      <c r="T19" s="712">
        <f t="shared" si="13"/>
        <v>0</v>
      </c>
      <c r="U19" s="712">
        <f t="shared" si="14"/>
        <v>174281</v>
      </c>
      <c r="V19" s="719">
        <f t="shared" si="15"/>
        <v>6404670</v>
      </c>
      <c r="W19" s="722">
        <f t="shared" si="16"/>
        <v>512374</v>
      </c>
      <c r="X19" s="719"/>
      <c r="Y19" s="719">
        <f t="shared" si="17"/>
        <v>6917044</v>
      </c>
      <c r="Z19" s="719">
        <f t="shared" si="18"/>
        <v>0</v>
      </c>
      <c r="AA19" s="723">
        <f t="shared" si="19"/>
        <v>6917044</v>
      </c>
      <c r="AB19" s="721">
        <f t="shared" si="20"/>
        <v>1314238</v>
      </c>
      <c r="AC19" s="719">
        <f t="shared" si="21"/>
        <v>8231282</v>
      </c>
      <c r="AD19" s="7" t="s">
        <v>13</v>
      </c>
    </row>
    <row r="20" spans="1:30" s="10" customFormat="1" ht="24.95" customHeight="1" outlineLevel="1">
      <c r="A20" s="10">
        <v>8</v>
      </c>
      <c r="B20" s="54" t="s">
        <v>154</v>
      </c>
      <c r="C20" s="82" t="s">
        <v>153</v>
      </c>
      <c r="D20" s="110">
        <v>1</v>
      </c>
      <c r="E20" s="712">
        <v>4200122</v>
      </c>
      <c r="F20" s="719">
        <f t="shared" si="0"/>
        <v>4200122</v>
      </c>
      <c r="G20" s="712">
        <f t="shared" si="1"/>
        <v>567016</v>
      </c>
      <c r="H20" s="712">
        <f t="shared" si="2"/>
        <v>532015</v>
      </c>
      <c r="I20" s="712">
        <f t="shared" si="3"/>
        <v>0</v>
      </c>
      <c r="J20" s="719">
        <f t="shared" si="4"/>
        <v>5299153</v>
      </c>
      <c r="K20" s="712">
        <f t="shared" si="5"/>
        <v>220816</v>
      </c>
      <c r="L20" s="712">
        <f t="shared" si="6"/>
        <v>441578</v>
      </c>
      <c r="M20" s="712">
        <f t="shared" si="7"/>
        <v>441578</v>
      </c>
      <c r="N20" s="712">
        <f t="shared" si="8"/>
        <v>52992</v>
      </c>
      <c r="O20" s="712">
        <f t="shared" si="9"/>
        <v>0</v>
      </c>
      <c r="P20" s="712">
        <f t="shared" si="10"/>
        <v>635898</v>
      </c>
      <c r="Q20" s="720">
        <v>2.436E-2</v>
      </c>
      <c r="R20" s="721">
        <f t="shared" si="11"/>
        <v>129087</v>
      </c>
      <c r="S20" s="712">
        <f t="shared" si="12"/>
        <v>0</v>
      </c>
      <c r="T20" s="712">
        <f t="shared" si="13"/>
        <v>0</v>
      </c>
      <c r="U20" s="712">
        <f t="shared" si="14"/>
        <v>211966</v>
      </c>
      <c r="V20" s="719">
        <f t="shared" si="15"/>
        <v>7433068</v>
      </c>
      <c r="W20" s="722">
        <f t="shared" si="16"/>
        <v>594645</v>
      </c>
      <c r="X20" s="719"/>
      <c r="Y20" s="719">
        <f t="shared" si="17"/>
        <v>8027713</v>
      </c>
      <c r="Z20" s="719">
        <f t="shared" si="18"/>
        <v>0</v>
      </c>
      <c r="AA20" s="723">
        <f t="shared" si="19"/>
        <v>8027713</v>
      </c>
      <c r="AB20" s="721">
        <f t="shared" si="20"/>
        <v>1525265</v>
      </c>
      <c r="AC20" s="719">
        <f t="shared" si="21"/>
        <v>9552978</v>
      </c>
      <c r="AD20" s="7" t="s">
        <v>13</v>
      </c>
    </row>
    <row r="21" spans="1:30" s="10" customFormat="1" ht="24.95" customHeight="1" outlineLevel="1">
      <c r="A21" s="10">
        <v>9</v>
      </c>
      <c r="B21" s="54" t="s">
        <v>156</v>
      </c>
      <c r="C21" s="81" t="s">
        <v>155</v>
      </c>
      <c r="D21" s="110">
        <v>4</v>
      </c>
      <c r="E21" s="712">
        <v>2286853</v>
      </c>
      <c r="F21" s="719">
        <f t="shared" si="0"/>
        <v>9147412</v>
      </c>
      <c r="G21" s="712">
        <f t="shared" si="1"/>
        <v>1234901</v>
      </c>
      <c r="H21" s="712">
        <f t="shared" si="2"/>
        <v>1158672</v>
      </c>
      <c r="I21" s="712">
        <f t="shared" si="3"/>
        <v>996380</v>
      </c>
      <c r="J21" s="719">
        <f t="shared" si="4"/>
        <v>12537365</v>
      </c>
      <c r="K21" s="712">
        <f t="shared" si="5"/>
        <v>480913</v>
      </c>
      <c r="L21" s="712">
        <f t="shared" si="6"/>
        <v>1044739</v>
      </c>
      <c r="M21" s="712">
        <f t="shared" si="7"/>
        <v>1044739</v>
      </c>
      <c r="N21" s="712">
        <f t="shared" si="8"/>
        <v>125374</v>
      </c>
      <c r="O21" s="712">
        <f t="shared" si="9"/>
        <v>0</v>
      </c>
      <c r="P21" s="712">
        <f t="shared" si="10"/>
        <v>1384918</v>
      </c>
      <c r="Q21" s="720">
        <v>5.2199999999999998E-3</v>
      </c>
      <c r="R21" s="721">
        <f t="shared" si="11"/>
        <v>60244</v>
      </c>
      <c r="S21" s="712">
        <f t="shared" si="12"/>
        <v>0</v>
      </c>
      <c r="T21" s="712">
        <f t="shared" si="13"/>
        <v>0</v>
      </c>
      <c r="U21" s="712">
        <f t="shared" si="14"/>
        <v>461639</v>
      </c>
      <c r="V21" s="719">
        <f t="shared" si="15"/>
        <v>17139931</v>
      </c>
      <c r="W21" s="722">
        <f t="shared" si="16"/>
        <v>1371194</v>
      </c>
      <c r="X21" s="719"/>
      <c r="Y21" s="719">
        <f t="shared" si="17"/>
        <v>18511125</v>
      </c>
      <c r="Z21" s="719">
        <f t="shared" si="18"/>
        <v>0</v>
      </c>
      <c r="AA21" s="723">
        <f t="shared" si="19"/>
        <v>18511125</v>
      </c>
      <c r="AB21" s="721">
        <f t="shared" si="20"/>
        <v>3517114</v>
      </c>
      <c r="AC21" s="719">
        <f t="shared" si="21"/>
        <v>22028239</v>
      </c>
      <c r="AD21" s="7" t="s">
        <v>13</v>
      </c>
    </row>
    <row r="22" spans="1:30" s="10" customFormat="1" ht="24.95" customHeight="1" outlineLevel="1">
      <c r="A22" s="10">
        <v>10</v>
      </c>
      <c r="B22" s="54" t="s">
        <v>158</v>
      </c>
      <c r="C22" s="81" t="s">
        <v>157</v>
      </c>
      <c r="D22" s="110">
        <v>1</v>
      </c>
      <c r="E22" s="712">
        <v>2286853</v>
      </c>
      <c r="F22" s="719">
        <f t="shared" si="0"/>
        <v>2286853</v>
      </c>
      <c r="G22" s="712">
        <f t="shared" si="1"/>
        <v>308725</v>
      </c>
      <c r="H22" s="712">
        <f t="shared" si="2"/>
        <v>289668</v>
      </c>
      <c r="I22" s="712">
        <f t="shared" si="3"/>
        <v>249095</v>
      </c>
      <c r="J22" s="719">
        <f t="shared" si="4"/>
        <v>3134341</v>
      </c>
      <c r="K22" s="712">
        <f t="shared" si="5"/>
        <v>120228</v>
      </c>
      <c r="L22" s="712">
        <f t="shared" si="6"/>
        <v>261185</v>
      </c>
      <c r="M22" s="712">
        <f t="shared" si="7"/>
        <v>261185</v>
      </c>
      <c r="N22" s="712">
        <f t="shared" si="8"/>
        <v>31343</v>
      </c>
      <c r="O22" s="712">
        <f t="shared" si="9"/>
        <v>0</v>
      </c>
      <c r="P22" s="712">
        <f t="shared" si="10"/>
        <v>346230</v>
      </c>
      <c r="Q22" s="720">
        <v>5.2199999999999998E-3</v>
      </c>
      <c r="R22" s="721">
        <f t="shared" si="11"/>
        <v>15061</v>
      </c>
      <c r="S22" s="712">
        <f t="shared" si="12"/>
        <v>0</v>
      </c>
      <c r="T22" s="712">
        <f t="shared" si="13"/>
        <v>0</v>
      </c>
      <c r="U22" s="712">
        <f t="shared" si="14"/>
        <v>115410</v>
      </c>
      <c r="V22" s="719">
        <f t="shared" si="15"/>
        <v>4284983</v>
      </c>
      <c r="W22" s="722">
        <f t="shared" si="16"/>
        <v>342799</v>
      </c>
      <c r="X22" s="719"/>
      <c r="Y22" s="719">
        <f t="shared" si="17"/>
        <v>4627782</v>
      </c>
      <c r="Z22" s="719">
        <f t="shared" si="18"/>
        <v>0</v>
      </c>
      <c r="AA22" s="723">
        <f t="shared" si="19"/>
        <v>4627782</v>
      </c>
      <c r="AB22" s="721">
        <f t="shared" si="20"/>
        <v>879279</v>
      </c>
      <c r="AC22" s="719">
        <f t="shared" si="21"/>
        <v>5507061</v>
      </c>
      <c r="AD22" s="7" t="s">
        <v>13</v>
      </c>
    </row>
    <row r="23" spans="1:30" s="10" customFormat="1" ht="24.95" customHeight="1" outlineLevel="1">
      <c r="A23" s="10">
        <v>11</v>
      </c>
      <c r="B23" s="54" t="s">
        <v>160</v>
      </c>
      <c r="C23" s="81" t="s">
        <v>159</v>
      </c>
      <c r="D23" s="110">
        <v>2</v>
      </c>
      <c r="E23" s="712">
        <v>2219582</v>
      </c>
      <c r="F23" s="719">
        <f t="shared" si="0"/>
        <v>4439164</v>
      </c>
      <c r="G23" s="712">
        <f t="shared" si="1"/>
        <v>599287</v>
      </c>
      <c r="H23" s="712">
        <f t="shared" si="2"/>
        <v>562294</v>
      </c>
      <c r="I23" s="712">
        <f t="shared" si="3"/>
        <v>498190</v>
      </c>
      <c r="J23" s="719">
        <f t="shared" si="4"/>
        <v>6098935</v>
      </c>
      <c r="K23" s="712">
        <f t="shared" si="5"/>
        <v>233383</v>
      </c>
      <c r="L23" s="712">
        <f t="shared" si="6"/>
        <v>508224</v>
      </c>
      <c r="M23" s="712">
        <f t="shared" si="7"/>
        <v>508224</v>
      </c>
      <c r="N23" s="712">
        <f t="shared" si="8"/>
        <v>60989</v>
      </c>
      <c r="O23" s="712">
        <f t="shared" si="9"/>
        <v>0</v>
      </c>
      <c r="P23" s="712">
        <f t="shared" si="10"/>
        <v>672089</v>
      </c>
      <c r="Q23" s="720">
        <v>5.2199999999999998E-3</v>
      </c>
      <c r="R23" s="721">
        <f t="shared" si="11"/>
        <v>29236</v>
      </c>
      <c r="S23" s="712">
        <f t="shared" si="12"/>
        <v>0</v>
      </c>
      <c r="T23" s="712">
        <f t="shared" si="13"/>
        <v>0</v>
      </c>
      <c r="U23" s="712">
        <f t="shared" si="14"/>
        <v>224030</v>
      </c>
      <c r="V23" s="719">
        <f t="shared" si="15"/>
        <v>8335110</v>
      </c>
      <c r="W23" s="722">
        <f t="shared" si="16"/>
        <v>666809</v>
      </c>
      <c r="X23" s="719"/>
      <c r="Y23" s="719">
        <f t="shared" si="17"/>
        <v>9001919</v>
      </c>
      <c r="Z23" s="719">
        <f t="shared" si="18"/>
        <v>0</v>
      </c>
      <c r="AA23" s="723">
        <f t="shared" si="19"/>
        <v>9001919</v>
      </c>
      <c r="AB23" s="721">
        <f t="shared" si="20"/>
        <v>1710365</v>
      </c>
      <c r="AC23" s="719">
        <f t="shared" si="21"/>
        <v>10712284</v>
      </c>
      <c r="AD23" s="7" t="s">
        <v>13</v>
      </c>
    </row>
    <row r="24" spans="1:30" s="10" customFormat="1" ht="24.95" customHeight="1" outlineLevel="1">
      <c r="A24" s="10">
        <v>12</v>
      </c>
      <c r="B24" s="54" t="s">
        <v>162</v>
      </c>
      <c r="C24" s="82" t="s">
        <v>161</v>
      </c>
      <c r="D24" s="496">
        <v>6</v>
      </c>
      <c r="E24" s="712">
        <v>3062112</v>
      </c>
      <c r="F24" s="719">
        <f t="shared" si="0"/>
        <v>18372672</v>
      </c>
      <c r="G24" s="712">
        <f t="shared" si="1"/>
        <v>2480311</v>
      </c>
      <c r="H24" s="712">
        <f t="shared" si="2"/>
        <v>2327205</v>
      </c>
      <c r="I24" s="712">
        <f t="shared" si="3"/>
        <v>1494570</v>
      </c>
      <c r="J24" s="719">
        <f t="shared" si="4"/>
        <v>24674758</v>
      </c>
      <c r="K24" s="712">
        <f t="shared" si="5"/>
        <v>965918</v>
      </c>
      <c r="L24" s="712">
        <f t="shared" si="6"/>
        <v>2056148</v>
      </c>
      <c r="M24" s="712">
        <f t="shared" si="7"/>
        <v>2056148</v>
      </c>
      <c r="N24" s="712">
        <f t="shared" si="8"/>
        <v>246748</v>
      </c>
      <c r="O24" s="712">
        <f t="shared" si="9"/>
        <v>0</v>
      </c>
      <c r="P24" s="712">
        <f t="shared" si="10"/>
        <v>2781623</v>
      </c>
      <c r="Q24" s="720">
        <v>6.9599999999999995E-2</v>
      </c>
      <c r="R24" s="712">
        <f t="shared" si="11"/>
        <v>1613341</v>
      </c>
      <c r="S24" s="712">
        <f t="shared" si="12"/>
        <v>0</v>
      </c>
      <c r="T24" s="712">
        <f t="shared" si="13"/>
        <v>0</v>
      </c>
      <c r="U24" s="712">
        <f t="shared" si="14"/>
        <v>927208</v>
      </c>
      <c r="V24" s="719">
        <f t="shared" si="15"/>
        <v>35321892</v>
      </c>
      <c r="W24" s="722">
        <f t="shared" si="16"/>
        <v>2825751</v>
      </c>
      <c r="X24" s="719"/>
      <c r="Y24" s="719">
        <f t="shared" si="17"/>
        <v>38147643</v>
      </c>
      <c r="Z24" s="719">
        <f t="shared" si="18"/>
        <v>0</v>
      </c>
      <c r="AA24" s="723">
        <f t="shared" si="19"/>
        <v>38147643</v>
      </c>
      <c r="AB24" s="721">
        <f t="shared" si="20"/>
        <v>7248052</v>
      </c>
      <c r="AC24" s="719">
        <f t="shared" si="21"/>
        <v>45395695</v>
      </c>
      <c r="AD24" s="7" t="s">
        <v>13</v>
      </c>
    </row>
    <row r="25" spans="1:30" s="10" customFormat="1" ht="24.95" customHeight="1" outlineLevel="1">
      <c r="A25" s="10">
        <v>13</v>
      </c>
      <c r="B25" s="54" t="s">
        <v>164</v>
      </c>
      <c r="C25" s="82" t="s">
        <v>163</v>
      </c>
      <c r="D25" s="110">
        <v>1</v>
      </c>
      <c r="E25" s="712">
        <v>2219582</v>
      </c>
      <c r="F25" s="719">
        <f t="shared" si="0"/>
        <v>2219582</v>
      </c>
      <c r="G25" s="712">
        <f t="shared" si="1"/>
        <v>299644</v>
      </c>
      <c r="H25" s="712">
        <f t="shared" si="2"/>
        <v>281147</v>
      </c>
      <c r="I25" s="712">
        <f t="shared" si="3"/>
        <v>249095</v>
      </c>
      <c r="J25" s="719">
        <f t="shared" si="4"/>
        <v>3049468</v>
      </c>
      <c r="K25" s="712">
        <f t="shared" si="5"/>
        <v>116692</v>
      </c>
      <c r="L25" s="712">
        <f t="shared" si="6"/>
        <v>254112</v>
      </c>
      <c r="M25" s="712">
        <f t="shared" si="7"/>
        <v>254112</v>
      </c>
      <c r="N25" s="712">
        <f t="shared" si="8"/>
        <v>30495</v>
      </c>
      <c r="O25" s="712">
        <f t="shared" si="9"/>
        <v>0</v>
      </c>
      <c r="P25" s="712">
        <f t="shared" si="10"/>
        <v>336045</v>
      </c>
      <c r="Q25" s="720">
        <v>6.9599999999999995E-2</v>
      </c>
      <c r="R25" s="721">
        <f t="shared" si="11"/>
        <v>194906</v>
      </c>
      <c r="S25" s="712">
        <f t="shared" si="12"/>
        <v>0</v>
      </c>
      <c r="T25" s="712">
        <f t="shared" si="13"/>
        <v>0</v>
      </c>
      <c r="U25" s="712">
        <f t="shared" si="14"/>
        <v>112015</v>
      </c>
      <c r="V25" s="719">
        <f t="shared" si="15"/>
        <v>4347845</v>
      </c>
      <c r="W25" s="722">
        <f t="shared" si="16"/>
        <v>347828</v>
      </c>
      <c r="X25" s="719"/>
      <c r="Y25" s="719">
        <f t="shared" si="17"/>
        <v>4695673</v>
      </c>
      <c r="Z25" s="719">
        <f t="shared" si="18"/>
        <v>0</v>
      </c>
      <c r="AA25" s="723">
        <f t="shared" si="19"/>
        <v>4695673</v>
      </c>
      <c r="AB25" s="721">
        <f t="shared" si="20"/>
        <v>892178</v>
      </c>
      <c r="AC25" s="719">
        <f t="shared" si="21"/>
        <v>5587851</v>
      </c>
      <c r="AD25" s="7" t="s">
        <v>13</v>
      </c>
    </row>
    <row r="26" spans="1:30" s="10" customFormat="1" ht="12.75" outlineLevel="1">
      <c r="A26" s="64">
        <v>14</v>
      </c>
      <c r="B26" s="54" t="s">
        <v>166</v>
      </c>
      <c r="C26" s="82" t="s">
        <v>165</v>
      </c>
      <c r="D26" s="110">
        <v>4</v>
      </c>
      <c r="E26" s="712">
        <v>2219582</v>
      </c>
      <c r="F26" s="719">
        <f t="shared" si="0"/>
        <v>8878328</v>
      </c>
      <c r="G26" s="712">
        <f t="shared" si="1"/>
        <v>1198574</v>
      </c>
      <c r="H26" s="712">
        <f t="shared" si="2"/>
        <v>1124588</v>
      </c>
      <c r="I26" s="712">
        <f t="shared" si="3"/>
        <v>996380</v>
      </c>
      <c r="J26" s="719">
        <f t="shared" si="4"/>
        <v>12197870</v>
      </c>
      <c r="K26" s="712">
        <f t="shared" si="5"/>
        <v>466766</v>
      </c>
      <c r="L26" s="712">
        <f t="shared" si="6"/>
        <v>1016449</v>
      </c>
      <c r="M26" s="712">
        <f t="shared" si="7"/>
        <v>1016449</v>
      </c>
      <c r="N26" s="712">
        <f t="shared" si="8"/>
        <v>121979</v>
      </c>
      <c r="O26" s="712">
        <f t="shared" si="9"/>
        <v>0</v>
      </c>
      <c r="P26" s="712">
        <f t="shared" si="10"/>
        <v>1344179</v>
      </c>
      <c r="Q26" s="720">
        <v>6.9599999999999995E-2</v>
      </c>
      <c r="R26" s="712">
        <f t="shared" si="11"/>
        <v>779624</v>
      </c>
      <c r="S26" s="712">
        <f t="shared" si="12"/>
        <v>0</v>
      </c>
      <c r="T26" s="712">
        <f t="shared" si="13"/>
        <v>0</v>
      </c>
      <c r="U26" s="712">
        <f t="shared" si="14"/>
        <v>448060</v>
      </c>
      <c r="V26" s="719">
        <f t="shared" si="15"/>
        <v>17391376</v>
      </c>
      <c r="W26" s="722">
        <f t="shared" si="16"/>
        <v>1391310</v>
      </c>
      <c r="X26" s="719"/>
      <c r="Y26" s="719">
        <f t="shared" si="17"/>
        <v>18782686</v>
      </c>
      <c r="Z26" s="719">
        <f t="shared" si="18"/>
        <v>0</v>
      </c>
      <c r="AA26" s="723">
        <f t="shared" si="19"/>
        <v>18782686</v>
      </c>
      <c r="AB26" s="721">
        <f t="shared" si="20"/>
        <v>3568710</v>
      </c>
      <c r="AC26" s="719">
        <f t="shared" si="21"/>
        <v>22351396</v>
      </c>
      <c r="AD26" s="7" t="s">
        <v>13</v>
      </c>
    </row>
    <row r="27" spans="1:30" s="64" customFormat="1" ht="25.5" customHeight="1" outlineLevel="1">
      <c r="A27" s="64">
        <v>15</v>
      </c>
      <c r="B27" s="54" t="s">
        <v>169</v>
      </c>
      <c r="C27" s="81" t="s">
        <v>167</v>
      </c>
      <c r="D27" s="110">
        <v>1</v>
      </c>
      <c r="E27" s="712">
        <v>3062112</v>
      </c>
      <c r="F27" s="719">
        <f t="shared" si="0"/>
        <v>3062112</v>
      </c>
      <c r="G27" s="712">
        <f t="shared" si="1"/>
        <v>413385</v>
      </c>
      <c r="H27" s="712">
        <f t="shared" si="2"/>
        <v>387868</v>
      </c>
      <c r="I27" s="712">
        <f t="shared" si="3"/>
        <v>249095</v>
      </c>
      <c r="J27" s="719">
        <f t="shared" si="4"/>
        <v>4112460</v>
      </c>
      <c r="K27" s="712">
        <f t="shared" si="5"/>
        <v>160986</v>
      </c>
      <c r="L27" s="712">
        <f t="shared" si="6"/>
        <v>342691</v>
      </c>
      <c r="M27" s="712">
        <f t="shared" si="7"/>
        <v>342691</v>
      </c>
      <c r="N27" s="712">
        <f t="shared" si="8"/>
        <v>41125</v>
      </c>
      <c r="O27" s="712">
        <f t="shared" si="9"/>
        <v>0</v>
      </c>
      <c r="P27" s="712">
        <f t="shared" si="10"/>
        <v>463604</v>
      </c>
      <c r="Q27" s="724">
        <v>4.3499999999999997E-2</v>
      </c>
      <c r="R27" s="712">
        <f t="shared" si="11"/>
        <v>168056</v>
      </c>
      <c r="S27" s="712">
        <f t="shared" si="12"/>
        <v>0</v>
      </c>
      <c r="T27" s="712">
        <f t="shared" si="13"/>
        <v>0</v>
      </c>
      <c r="U27" s="712">
        <f t="shared" si="14"/>
        <v>154535</v>
      </c>
      <c r="V27" s="719">
        <f t="shared" si="15"/>
        <v>5786148</v>
      </c>
      <c r="W27" s="722">
        <f t="shared" si="16"/>
        <v>462892</v>
      </c>
      <c r="X27" s="719">
        <f t="shared" ref="X27:X33" si="22">IFERROR(ROUND(V27*10%,0),"")</f>
        <v>578615</v>
      </c>
      <c r="Y27" s="719"/>
      <c r="Z27" s="719">
        <f t="shared" ref="Z27:Z33" si="23">IFERROR(V27-X27+W27,"")</f>
        <v>5670425</v>
      </c>
      <c r="AA27" s="723">
        <f t="shared" si="19"/>
        <v>6249040</v>
      </c>
      <c r="AB27" s="725">
        <f t="shared" ref="AB27:AB33" si="24">IFERROR(ROUND(X27*$AB$12,0),"")</f>
        <v>109937</v>
      </c>
      <c r="AC27" s="719">
        <f t="shared" si="21"/>
        <v>6358977</v>
      </c>
      <c r="AD27" s="726" t="s">
        <v>13</v>
      </c>
    </row>
    <row r="28" spans="1:30" s="64" customFormat="1" ht="25.5" customHeight="1" outlineLevel="1">
      <c r="A28" s="64">
        <v>16</v>
      </c>
      <c r="B28" s="54" t="s">
        <v>171</v>
      </c>
      <c r="C28" s="81" t="s">
        <v>170</v>
      </c>
      <c r="D28" s="110">
        <v>1</v>
      </c>
      <c r="E28" s="714">
        <v>3062112</v>
      </c>
      <c r="F28" s="719">
        <f t="shared" si="0"/>
        <v>3062112</v>
      </c>
      <c r="G28" s="712">
        <f t="shared" si="1"/>
        <v>413385</v>
      </c>
      <c r="H28" s="712">
        <f t="shared" si="2"/>
        <v>387868</v>
      </c>
      <c r="I28" s="712">
        <f t="shared" si="3"/>
        <v>249095</v>
      </c>
      <c r="J28" s="719">
        <f t="shared" si="4"/>
        <v>4112460</v>
      </c>
      <c r="K28" s="712">
        <f t="shared" si="5"/>
        <v>160986</v>
      </c>
      <c r="L28" s="712">
        <f t="shared" si="6"/>
        <v>342691</v>
      </c>
      <c r="M28" s="712">
        <f t="shared" si="7"/>
        <v>342691</v>
      </c>
      <c r="N28" s="712">
        <f t="shared" si="8"/>
        <v>41125</v>
      </c>
      <c r="O28" s="712">
        <f t="shared" si="9"/>
        <v>0</v>
      </c>
      <c r="P28" s="712">
        <f t="shared" si="10"/>
        <v>463604</v>
      </c>
      <c r="Q28" s="724">
        <v>4.3499999999999997E-2</v>
      </c>
      <c r="R28" s="712">
        <f t="shared" si="11"/>
        <v>168056</v>
      </c>
      <c r="S28" s="712">
        <f t="shared" si="12"/>
        <v>0</v>
      </c>
      <c r="T28" s="712">
        <f t="shared" si="13"/>
        <v>0</v>
      </c>
      <c r="U28" s="712">
        <f t="shared" si="14"/>
        <v>154535</v>
      </c>
      <c r="V28" s="719">
        <f t="shared" si="15"/>
        <v>5786148</v>
      </c>
      <c r="W28" s="722">
        <f t="shared" si="16"/>
        <v>462892</v>
      </c>
      <c r="X28" s="719">
        <f t="shared" si="22"/>
        <v>578615</v>
      </c>
      <c r="Y28" s="719"/>
      <c r="Z28" s="719">
        <f t="shared" si="23"/>
        <v>5670425</v>
      </c>
      <c r="AA28" s="723">
        <f t="shared" si="19"/>
        <v>6249040</v>
      </c>
      <c r="AB28" s="725">
        <f t="shared" si="24"/>
        <v>109937</v>
      </c>
      <c r="AC28" s="719">
        <f t="shared" si="21"/>
        <v>6358977</v>
      </c>
      <c r="AD28" s="726" t="s">
        <v>13</v>
      </c>
    </row>
    <row r="29" spans="1:30" s="64" customFormat="1" ht="12.75" customHeight="1" outlineLevel="1">
      <c r="A29" s="64">
        <v>17</v>
      </c>
      <c r="B29" s="54" t="s">
        <v>173</v>
      </c>
      <c r="C29" s="81" t="s">
        <v>172</v>
      </c>
      <c r="D29" s="110">
        <v>6</v>
      </c>
      <c r="E29" s="712">
        <v>2573073</v>
      </c>
      <c r="F29" s="719">
        <f t="shared" si="0"/>
        <v>15438438</v>
      </c>
      <c r="G29" s="712">
        <f t="shared" si="1"/>
        <v>2084189</v>
      </c>
      <c r="H29" s="712">
        <f t="shared" si="2"/>
        <v>1955535</v>
      </c>
      <c r="I29" s="712">
        <f t="shared" si="3"/>
        <v>1494570</v>
      </c>
      <c r="J29" s="719">
        <f t="shared" si="4"/>
        <v>20972732</v>
      </c>
      <c r="K29" s="712">
        <f t="shared" si="5"/>
        <v>811655</v>
      </c>
      <c r="L29" s="712">
        <f t="shared" si="6"/>
        <v>1747658</v>
      </c>
      <c r="M29" s="712">
        <f t="shared" si="7"/>
        <v>1747658</v>
      </c>
      <c r="N29" s="712">
        <f t="shared" si="8"/>
        <v>209727</v>
      </c>
      <c r="O29" s="712">
        <f t="shared" si="9"/>
        <v>0</v>
      </c>
      <c r="P29" s="712">
        <f t="shared" si="10"/>
        <v>2337379</v>
      </c>
      <c r="Q29" s="724">
        <v>4.3499999999999997E-2</v>
      </c>
      <c r="R29" s="712">
        <f t="shared" si="11"/>
        <v>847300</v>
      </c>
      <c r="S29" s="712">
        <f t="shared" si="12"/>
        <v>0</v>
      </c>
      <c r="T29" s="712">
        <f t="shared" si="13"/>
        <v>0</v>
      </c>
      <c r="U29" s="712">
        <f t="shared" si="14"/>
        <v>779126</v>
      </c>
      <c r="V29" s="719">
        <f t="shared" si="15"/>
        <v>29453235</v>
      </c>
      <c r="W29" s="722">
        <f t="shared" si="16"/>
        <v>2356259</v>
      </c>
      <c r="X29" s="719">
        <f t="shared" si="22"/>
        <v>2945324</v>
      </c>
      <c r="Y29" s="719"/>
      <c r="Z29" s="719">
        <f t="shared" si="23"/>
        <v>28864170</v>
      </c>
      <c r="AA29" s="723">
        <f t="shared" si="19"/>
        <v>31809494</v>
      </c>
      <c r="AB29" s="725">
        <f t="shared" si="24"/>
        <v>559612</v>
      </c>
      <c r="AC29" s="719">
        <f t="shared" si="21"/>
        <v>32369106</v>
      </c>
      <c r="AD29" s="726" t="s">
        <v>13</v>
      </c>
    </row>
    <row r="30" spans="1:30" s="64" customFormat="1" ht="25.5" customHeight="1" outlineLevel="1">
      <c r="A30" s="64">
        <v>18</v>
      </c>
      <c r="B30" s="54" t="s">
        <v>175</v>
      </c>
      <c r="C30" s="81" t="s">
        <v>174</v>
      </c>
      <c r="D30" s="110">
        <v>1</v>
      </c>
      <c r="E30" s="712">
        <v>2219582</v>
      </c>
      <c r="F30" s="719">
        <f t="shared" si="0"/>
        <v>2219582</v>
      </c>
      <c r="G30" s="712">
        <f t="shared" si="1"/>
        <v>299644</v>
      </c>
      <c r="H30" s="712">
        <f t="shared" si="2"/>
        <v>281147</v>
      </c>
      <c r="I30" s="712">
        <f t="shared" si="3"/>
        <v>249095</v>
      </c>
      <c r="J30" s="719">
        <f t="shared" si="4"/>
        <v>3049468</v>
      </c>
      <c r="K30" s="712">
        <f t="shared" si="5"/>
        <v>116692</v>
      </c>
      <c r="L30" s="712">
        <f t="shared" si="6"/>
        <v>254112</v>
      </c>
      <c r="M30" s="712">
        <f t="shared" si="7"/>
        <v>254112</v>
      </c>
      <c r="N30" s="712">
        <f t="shared" si="8"/>
        <v>30495</v>
      </c>
      <c r="O30" s="712">
        <f t="shared" si="9"/>
        <v>0</v>
      </c>
      <c r="P30" s="712">
        <f t="shared" si="10"/>
        <v>336045</v>
      </c>
      <c r="Q30" s="724">
        <v>4.3499999999999997E-2</v>
      </c>
      <c r="R30" s="712">
        <f t="shared" si="11"/>
        <v>121816</v>
      </c>
      <c r="S30" s="712">
        <f t="shared" si="12"/>
        <v>0</v>
      </c>
      <c r="T30" s="712">
        <f t="shared" si="13"/>
        <v>0</v>
      </c>
      <c r="U30" s="712">
        <f t="shared" si="14"/>
        <v>112015</v>
      </c>
      <c r="V30" s="719">
        <f t="shared" si="15"/>
        <v>4274755</v>
      </c>
      <c r="W30" s="722">
        <f t="shared" si="16"/>
        <v>341980</v>
      </c>
      <c r="X30" s="719">
        <f t="shared" si="22"/>
        <v>427476</v>
      </c>
      <c r="Y30" s="719"/>
      <c r="Z30" s="719">
        <f t="shared" si="23"/>
        <v>4189259</v>
      </c>
      <c r="AA30" s="723">
        <f t="shared" si="19"/>
        <v>4616735</v>
      </c>
      <c r="AB30" s="725">
        <f t="shared" si="24"/>
        <v>81220</v>
      </c>
      <c r="AC30" s="719">
        <f t="shared" si="21"/>
        <v>4697955</v>
      </c>
      <c r="AD30" s="726" t="s">
        <v>13</v>
      </c>
    </row>
    <row r="31" spans="1:30" s="64" customFormat="1" ht="12.75" customHeight="1" outlineLevel="1">
      <c r="A31" s="64">
        <v>19</v>
      </c>
      <c r="B31" s="54" t="s">
        <v>177</v>
      </c>
      <c r="C31" s="81" t="s">
        <v>176</v>
      </c>
      <c r="D31" s="110">
        <v>1</v>
      </c>
      <c r="E31" s="712">
        <v>3062112</v>
      </c>
      <c r="F31" s="719">
        <f t="shared" si="0"/>
        <v>3062112</v>
      </c>
      <c r="G31" s="712">
        <f t="shared" si="1"/>
        <v>413385</v>
      </c>
      <c r="H31" s="712">
        <f t="shared" si="2"/>
        <v>387868</v>
      </c>
      <c r="I31" s="712">
        <f t="shared" si="3"/>
        <v>249095</v>
      </c>
      <c r="J31" s="719">
        <f t="shared" si="4"/>
        <v>4112460</v>
      </c>
      <c r="K31" s="712">
        <f t="shared" si="5"/>
        <v>160986</v>
      </c>
      <c r="L31" s="712">
        <f t="shared" si="6"/>
        <v>342691</v>
      </c>
      <c r="M31" s="712">
        <f t="shared" si="7"/>
        <v>342691</v>
      </c>
      <c r="N31" s="712">
        <f t="shared" si="8"/>
        <v>41125</v>
      </c>
      <c r="O31" s="712">
        <f t="shared" si="9"/>
        <v>0</v>
      </c>
      <c r="P31" s="712">
        <f t="shared" si="10"/>
        <v>463604</v>
      </c>
      <c r="Q31" s="724">
        <v>1.044E-2</v>
      </c>
      <c r="R31" s="712">
        <f t="shared" si="11"/>
        <v>40334</v>
      </c>
      <c r="S31" s="712">
        <f t="shared" si="12"/>
        <v>0</v>
      </c>
      <c r="T31" s="712">
        <f t="shared" si="13"/>
        <v>0</v>
      </c>
      <c r="U31" s="712">
        <f t="shared" si="14"/>
        <v>154535</v>
      </c>
      <c r="V31" s="719">
        <f t="shared" si="15"/>
        <v>5658426</v>
      </c>
      <c r="W31" s="722">
        <f t="shared" si="16"/>
        <v>452674</v>
      </c>
      <c r="X31" s="719">
        <f t="shared" si="22"/>
        <v>565843</v>
      </c>
      <c r="Y31" s="719"/>
      <c r="Z31" s="719">
        <f t="shared" si="23"/>
        <v>5545257</v>
      </c>
      <c r="AA31" s="723">
        <f t="shared" si="19"/>
        <v>6111100</v>
      </c>
      <c r="AB31" s="725">
        <f t="shared" si="24"/>
        <v>107510</v>
      </c>
      <c r="AC31" s="719">
        <f t="shared" si="21"/>
        <v>6218610</v>
      </c>
      <c r="AD31" s="726" t="s">
        <v>13</v>
      </c>
    </row>
    <row r="32" spans="1:30" s="64" customFormat="1" ht="12.75" customHeight="1" outlineLevel="1">
      <c r="A32" s="64">
        <v>20</v>
      </c>
      <c r="B32" s="54" t="s">
        <v>179</v>
      </c>
      <c r="C32" s="81" t="s">
        <v>178</v>
      </c>
      <c r="D32" s="110">
        <v>25</v>
      </c>
      <c r="E32" s="712">
        <v>1917242</v>
      </c>
      <c r="F32" s="719">
        <f t="shared" si="0"/>
        <v>47931050</v>
      </c>
      <c r="G32" s="712">
        <f t="shared" si="1"/>
        <v>6470692</v>
      </c>
      <c r="H32" s="712">
        <f t="shared" si="2"/>
        <v>6071266</v>
      </c>
      <c r="I32" s="712">
        <f t="shared" si="3"/>
        <v>6227375</v>
      </c>
      <c r="J32" s="719">
        <f t="shared" si="4"/>
        <v>66700383</v>
      </c>
      <c r="K32" s="712">
        <f t="shared" si="5"/>
        <v>2519910</v>
      </c>
      <c r="L32" s="712">
        <f t="shared" si="6"/>
        <v>5558143</v>
      </c>
      <c r="M32" s="712">
        <f t="shared" si="7"/>
        <v>5558143</v>
      </c>
      <c r="N32" s="712">
        <f t="shared" si="8"/>
        <v>667004</v>
      </c>
      <c r="O32" s="712">
        <f t="shared" si="9"/>
        <v>0</v>
      </c>
      <c r="P32" s="712">
        <f t="shared" si="10"/>
        <v>7256761</v>
      </c>
      <c r="Q32" s="724">
        <v>1.044E-2</v>
      </c>
      <c r="R32" s="712">
        <f t="shared" si="11"/>
        <v>631338</v>
      </c>
      <c r="S32" s="712">
        <f t="shared" si="12"/>
        <v>0</v>
      </c>
      <c r="T32" s="712">
        <f t="shared" si="13"/>
        <v>0</v>
      </c>
      <c r="U32" s="712">
        <f t="shared" si="14"/>
        <v>2418920</v>
      </c>
      <c r="V32" s="719">
        <f t="shared" si="15"/>
        <v>91310602</v>
      </c>
      <c r="W32" s="722">
        <f t="shared" si="16"/>
        <v>7304848</v>
      </c>
      <c r="X32" s="719">
        <f t="shared" si="22"/>
        <v>9131060</v>
      </c>
      <c r="Y32" s="719"/>
      <c r="Z32" s="719">
        <f t="shared" si="23"/>
        <v>89484390</v>
      </c>
      <c r="AA32" s="723">
        <f t="shared" si="19"/>
        <v>98615450</v>
      </c>
      <c r="AB32" s="725">
        <f t="shared" si="24"/>
        <v>1734901</v>
      </c>
      <c r="AC32" s="719">
        <f t="shared" si="21"/>
        <v>100350351</v>
      </c>
      <c r="AD32" s="726" t="s">
        <v>13</v>
      </c>
    </row>
    <row r="33" spans="1:30" s="64" customFormat="1" ht="12.75" customHeight="1" outlineLevel="1">
      <c r="A33" s="10">
        <v>21</v>
      </c>
      <c r="B33" s="54" t="s">
        <v>181</v>
      </c>
      <c r="C33" s="81" t="s">
        <v>180</v>
      </c>
      <c r="D33" s="110">
        <v>6</v>
      </c>
      <c r="E33" s="712">
        <v>2219582</v>
      </c>
      <c r="F33" s="719">
        <f t="shared" si="0"/>
        <v>13317492</v>
      </c>
      <c r="G33" s="712">
        <f t="shared" si="1"/>
        <v>1797861</v>
      </c>
      <c r="H33" s="712">
        <f t="shared" si="2"/>
        <v>1686882</v>
      </c>
      <c r="I33" s="712">
        <f t="shared" si="3"/>
        <v>1494570</v>
      </c>
      <c r="J33" s="719">
        <f t="shared" si="4"/>
        <v>18296805</v>
      </c>
      <c r="K33" s="712">
        <f t="shared" si="5"/>
        <v>700149</v>
      </c>
      <c r="L33" s="712">
        <f t="shared" si="6"/>
        <v>1524673</v>
      </c>
      <c r="M33" s="712">
        <f t="shared" si="7"/>
        <v>1524673</v>
      </c>
      <c r="N33" s="712">
        <f t="shared" si="8"/>
        <v>182968</v>
      </c>
      <c r="O33" s="712">
        <f t="shared" si="9"/>
        <v>0</v>
      </c>
      <c r="P33" s="712">
        <f t="shared" si="10"/>
        <v>2016268</v>
      </c>
      <c r="Q33" s="724">
        <v>2.436E-2</v>
      </c>
      <c r="R33" s="712">
        <f t="shared" si="11"/>
        <v>409302</v>
      </c>
      <c r="S33" s="712">
        <f t="shared" si="12"/>
        <v>0</v>
      </c>
      <c r="T33" s="712">
        <f t="shared" si="13"/>
        <v>0</v>
      </c>
      <c r="U33" s="712">
        <f t="shared" si="14"/>
        <v>672089</v>
      </c>
      <c r="V33" s="719">
        <f t="shared" si="15"/>
        <v>25326927</v>
      </c>
      <c r="W33" s="722">
        <f t="shared" si="16"/>
        <v>2026154</v>
      </c>
      <c r="X33" s="719">
        <f t="shared" si="22"/>
        <v>2532693</v>
      </c>
      <c r="Y33" s="719"/>
      <c r="Z33" s="719">
        <f t="shared" si="23"/>
        <v>24820388</v>
      </c>
      <c r="AA33" s="723">
        <f t="shared" si="19"/>
        <v>27353081</v>
      </c>
      <c r="AB33" s="725">
        <f t="shared" si="24"/>
        <v>481212</v>
      </c>
      <c r="AC33" s="719">
        <f t="shared" si="21"/>
        <v>27834293</v>
      </c>
      <c r="AD33" s="726" t="s">
        <v>13</v>
      </c>
    </row>
    <row r="34" spans="1:30" s="10" customFormat="1" ht="24.95" customHeight="1" outlineLevel="1">
      <c r="A34" s="10">
        <v>22</v>
      </c>
      <c r="B34" s="54" t="s">
        <v>183</v>
      </c>
      <c r="C34" s="82" t="s">
        <v>182</v>
      </c>
      <c r="D34" s="110">
        <v>1</v>
      </c>
      <c r="E34" s="712">
        <v>3062112</v>
      </c>
      <c r="F34" s="719">
        <f t="shared" si="0"/>
        <v>3062112</v>
      </c>
      <c r="G34" s="721">
        <f t="shared" si="1"/>
        <v>413385</v>
      </c>
      <c r="H34" s="721">
        <f t="shared" si="2"/>
        <v>387868</v>
      </c>
      <c r="I34" s="712">
        <f t="shared" si="3"/>
        <v>249095</v>
      </c>
      <c r="J34" s="727">
        <f t="shared" si="4"/>
        <v>4112460</v>
      </c>
      <c r="K34" s="721">
        <f t="shared" si="5"/>
        <v>160986</v>
      </c>
      <c r="L34" s="712">
        <f t="shared" si="6"/>
        <v>342691</v>
      </c>
      <c r="M34" s="721">
        <f t="shared" si="7"/>
        <v>342691</v>
      </c>
      <c r="N34" s="721">
        <f t="shared" si="8"/>
        <v>41125</v>
      </c>
      <c r="O34" s="721">
        <f t="shared" si="9"/>
        <v>0</v>
      </c>
      <c r="P34" s="721">
        <f t="shared" si="10"/>
        <v>463604</v>
      </c>
      <c r="Q34" s="720">
        <v>6.9599999999999995E-2</v>
      </c>
      <c r="R34" s="721">
        <f t="shared" si="11"/>
        <v>268890</v>
      </c>
      <c r="S34" s="712">
        <f t="shared" si="12"/>
        <v>0</v>
      </c>
      <c r="T34" s="712">
        <f t="shared" si="13"/>
        <v>0</v>
      </c>
      <c r="U34" s="712">
        <f t="shared" si="14"/>
        <v>154535</v>
      </c>
      <c r="V34" s="719">
        <f t="shared" si="15"/>
        <v>5886982</v>
      </c>
      <c r="W34" s="722">
        <f t="shared" si="16"/>
        <v>470959</v>
      </c>
      <c r="X34" s="719"/>
      <c r="Y34" s="719">
        <f>IFERROR(V34+W34,"")</f>
        <v>6357941</v>
      </c>
      <c r="Z34" s="719">
        <f>IFERROR(Y34-(V34+W34),"")</f>
        <v>0</v>
      </c>
      <c r="AA34" s="723">
        <f t="shared" si="19"/>
        <v>6357941</v>
      </c>
      <c r="AB34" s="721">
        <f>IFERROR(ROUND(AA34*$AB$12,0),"")</f>
        <v>1208009</v>
      </c>
      <c r="AC34" s="719">
        <f t="shared" si="21"/>
        <v>7565950</v>
      </c>
      <c r="AD34" s="7" t="s">
        <v>13</v>
      </c>
    </row>
    <row r="35" spans="1:30" s="10" customFormat="1" ht="12.75" outlineLevel="1">
      <c r="A35" s="10">
        <v>23</v>
      </c>
      <c r="B35" s="54" t="s">
        <v>185</v>
      </c>
      <c r="C35" s="82" t="s">
        <v>184</v>
      </c>
      <c r="D35" s="110">
        <v>22</v>
      </c>
      <c r="E35" s="712">
        <v>2655639</v>
      </c>
      <c r="F35" s="719">
        <f t="shared" si="0"/>
        <v>58424058</v>
      </c>
      <c r="G35" s="721">
        <f t="shared" si="1"/>
        <v>7887248</v>
      </c>
      <c r="H35" s="721">
        <f t="shared" si="2"/>
        <v>7400381</v>
      </c>
      <c r="I35" s="712">
        <f t="shared" si="3"/>
        <v>5480090</v>
      </c>
      <c r="J35" s="727">
        <f t="shared" si="4"/>
        <v>79191777</v>
      </c>
      <c r="K35" s="721">
        <f t="shared" si="5"/>
        <v>3071566</v>
      </c>
      <c r="L35" s="712">
        <f t="shared" si="6"/>
        <v>6599051</v>
      </c>
      <c r="M35" s="721">
        <f t="shared" si="7"/>
        <v>6599051</v>
      </c>
      <c r="N35" s="721">
        <f t="shared" si="8"/>
        <v>791918</v>
      </c>
      <c r="O35" s="721">
        <f t="shared" si="9"/>
        <v>0</v>
      </c>
      <c r="P35" s="721">
        <f t="shared" si="10"/>
        <v>8845402</v>
      </c>
      <c r="Q35" s="720">
        <v>6.9599999999999995E-2</v>
      </c>
      <c r="R35" s="721">
        <f t="shared" si="11"/>
        <v>5130333</v>
      </c>
      <c r="S35" s="712">
        <f t="shared" si="12"/>
        <v>0</v>
      </c>
      <c r="T35" s="712">
        <f t="shared" si="13"/>
        <v>0</v>
      </c>
      <c r="U35" s="712">
        <f t="shared" si="14"/>
        <v>2948467</v>
      </c>
      <c r="V35" s="719">
        <f t="shared" si="15"/>
        <v>113177565</v>
      </c>
      <c r="W35" s="722">
        <f t="shared" si="16"/>
        <v>9054205</v>
      </c>
      <c r="X35" s="719"/>
      <c r="Y35" s="719">
        <f>IFERROR(V35+W35,"")</f>
        <v>122231770</v>
      </c>
      <c r="Z35" s="719">
        <f>IFERROR(Y35-(V35+W35),"")</f>
        <v>0</v>
      </c>
      <c r="AA35" s="723">
        <f t="shared" si="19"/>
        <v>122231770</v>
      </c>
      <c r="AB35" s="721">
        <f>IFERROR(ROUND(AA35*$AB$12,0),"")</f>
        <v>23224036</v>
      </c>
      <c r="AC35" s="719">
        <f t="shared" si="21"/>
        <v>145455806</v>
      </c>
      <c r="AD35" s="7" t="s">
        <v>13</v>
      </c>
    </row>
    <row r="36" spans="1:30" s="10" customFormat="1" ht="24.95" customHeight="1" outlineLevel="1">
      <c r="A36" s="10">
        <v>24</v>
      </c>
      <c r="B36" s="54" t="s">
        <v>187</v>
      </c>
      <c r="C36" s="82" t="s">
        <v>186</v>
      </c>
      <c r="D36" s="110">
        <v>1</v>
      </c>
      <c r="E36" s="712">
        <v>2837478</v>
      </c>
      <c r="F36" s="719">
        <f t="shared" si="0"/>
        <v>2837478</v>
      </c>
      <c r="G36" s="721">
        <f t="shared" si="1"/>
        <v>383060</v>
      </c>
      <c r="H36" s="721">
        <f t="shared" si="2"/>
        <v>359414</v>
      </c>
      <c r="I36" s="712">
        <f t="shared" si="3"/>
        <v>249095</v>
      </c>
      <c r="J36" s="727">
        <f t="shared" si="4"/>
        <v>3829047</v>
      </c>
      <c r="K36" s="721">
        <f t="shared" si="5"/>
        <v>149177</v>
      </c>
      <c r="L36" s="712">
        <f t="shared" si="6"/>
        <v>319074</v>
      </c>
      <c r="M36" s="721">
        <f t="shared" si="7"/>
        <v>319074</v>
      </c>
      <c r="N36" s="721">
        <f t="shared" si="8"/>
        <v>38290</v>
      </c>
      <c r="O36" s="721">
        <f t="shared" si="9"/>
        <v>0</v>
      </c>
      <c r="P36" s="721">
        <f t="shared" si="10"/>
        <v>429594</v>
      </c>
      <c r="Q36" s="720">
        <v>6.9599999999999995E-2</v>
      </c>
      <c r="R36" s="721">
        <f t="shared" si="11"/>
        <v>249165</v>
      </c>
      <c r="S36" s="712">
        <f t="shared" si="12"/>
        <v>0</v>
      </c>
      <c r="T36" s="712">
        <f t="shared" si="13"/>
        <v>0</v>
      </c>
      <c r="U36" s="712">
        <f t="shared" si="14"/>
        <v>143198</v>
      </c>
      <c r="V36" s="719">
        <f t="shared" si="15"/>
        <v>5476619</v>
      </c>
      <c r="W36" s="722">
        <f t="shared" si="16"/>
        <v>438130</v>
      </c>
      <c r="X36" s="719"/>
      <c r="Y36" s="719">
        <f>IFERROR(V36+W36,"")</f>
        <v>5914749</v>
      </c>
      <c r="Z36" s="719">
        <f>IFERROR(Y36-(V36+W36),"")</f>
        <v>0</v>
      </c>
      <c r="AA36" s="723">
        <f t="shared" si="19"/>
        <v>5914749</v>
      </c>
      <c r="AB36" s="721">
        <f>IFERROR(ROUND(AA36*$AB$12,0),"")</f>
        <v>1123802</v>
      </c>
      <c r="AC36" s="719">
        <f t="shared" si="21"/>
        <v>7038551</v>
      </c>
      <c r="AD36" s="7" t="s">
        <v>13</v>
      </c>
    </row>
    <row r="37" spans="1:30" s="10" customFormat="1" ht="24.95" customHeight="1" outlineLevel="1">
      <c r="A37" s="10">
        <v>25</v>
      </c>
      <c r="B37" s="54" t="s">
        <v>189</v>
      </c>
      <c r="C37" s="82" t="s">
        <v>188</v>
      </c>
      <c r="D37" s="307">
        <v>1</v>
      </c>
      <c r="E37" s="712">
        <v>3062112</v>
      </c>
      <c r="F37" s="719">
        <f t="shared" si="0"/>
        <v>3062112</v>
      </c>
      <c r="G37" s="721">
        <f t="shared" si="1"/>
        <v>413385</v>
      </c>
      <c r="H37" s="721">
        <f t="shared" si="2"/>
        <v>387868</v>
      </c>
      <c r="I37" s="712">
        <f t="shared" si="3"/>
        <v>249095</v>
      </c>
      <c r="J37" s="727">
        <f t="shared" si="4"/>
        <v>4112460</v>
      </c>
      <c r="K37" s="721">
        <f t="shared" si="5"/>
        <v>160986</v>
      </c>
      <c r="L37" s="712">
        <f t="shared" si="6"/>
        <v>342691</v>
      </c>
      <c r="M37" s="721">
        <f t="shared" si="7"/>
        <v>342691</v>
      </c>
      <c r="N37" s="721">
        <f t="shared" si="8"/>
        <v>41125</v>
      </c>
      <c r="O37" s="721">
        <f t="shared" si="9"/>
        <v>0</v>
      </c>
      <c r="P37" s="721">
        <f t="shared" si="10"/>
        <v>463604</v>
      </c>
      <c r="Q37" s="720">
        <v>2.436E-2</v>
      </c>
      <c r="R37" s="721">
        <f t="shared" si="11"/>
        <v>94112</v>
      </c>
      <c r="S37" s="712">
        <f t="shared" si="12"/>
        <v>0</v>
      </c>
      <c r="T37" s="712">
        <f t="shared" si="13"/>
        <v>0</v>
      </c>
      <c r="U37" s="712">
        <f t="shared" si="14"/>
        <v>154535</v>
      </c>
      <c r="V37" s="719">
        <f t="shared" si="15"/>
        <v>5712204</v>
      </c>
      <c r="W37" s="722">
        <f t="shared" si="16"/>
        <v>456976</v>
      </c>
      <c r="X37" s="719"/>
      <c r="Y37" s="719">
        <f>IFERROR(V37+W37,"")</f>
        <v>6169180</v>
      </c>
      <c r="Z37" s="719">
        <f>IFERROR(Y37-(V37+W37),"")</f>
        <v>0</v>
      </c>
      <c r="AA37" s="723">
        <f t="shared" si="19"/>
        <v>6169180</v>
      </c>
      <c r="AB37" s="721">
        <f>IFERROR(ROUND(AA37*$AB$12,0),"")</f>
        <v>1172144</v>
      </c>
      <c r="AC37" s="719">
        <f t="shared" si="21"/>
        <v>7341324</v>
      </c>
      <c r="AD37" s="7" t="s">
        <v>13</v>
      </c>
    </row>
    <row r="38" spans="1:30" s="10" customFormat="1" ht="24.95" customHeight="1" outlineLevel="1">
      <c r="A38" s="10">
        <v>26</v>
      </c>
      <c r="B38" s="54" t="s">
        <v>192</v>
      </c>
      <c r="C38" s="82" t="s">
        <v>190</v>
      </c>
      <c r="D38" s="110">
        <v>1</v>
      </c>
      <c r="E38" s="712">
        <v>2219582</v>
      </c>
      <c r="F38" s="719">
        <f t="shared" si="0"/>
        <v>2219582</v>
      </c>
      <c r="G38" s="721">
        <f t="shared" si="1"/>
        <v>299644</v>
      </c>
      <c r="H38" s="721">
        <f t="shared" si="2"/>
        <v>281147</v>
      </c>
      <c r="I38" s="712">
        <f t="shared" si="3"/>
        <v>249095</v>
      </c>
      <c r="J38" s="727">
        <f t="shared" si="4"/>
        <v>3049468</v>
      </c>
      <c r="K38" s="721">
        <f t="shared" si="5"/>
        <v>116692</v>
      </c>
      <c r="L38" s="712">
        <f t="shared" si="6"/>
        <v>254112</v>
      </c>
      <c r="M38" s="721">
        <f t="shared" si="7"/>
        <v>254112</v>
      </c>
      <c r="N38" s="721">
        <f t="shared" si="8"/>
        <v>30495</v>
      </c>
      <c r="O38" s="721">
        <f t="shared" si="9"/>
        <v>0</v>
      </c>
      <c r="P38" s="721">
        <f t="shared" si="10"/>
        <v>336045</v>
      </c>
      <c r="Q38" s="720">
        <v>2.436E-2</v>
      </c>
      <c r="R38" s="721">
        <f t="shared" si="11"/>
        <v>68217</v>
      </c>
      <c r="S38" s="712">
        <f t="shared" si="12"/>
        <v>0</v>
      </c>
      <c r="T38" s="712">
        <f t="shared" si="13"/>
        <v>0</v>
      </c>
      <c r="U38" s="712">
        <f t="shared" si="14"/>
        <v>112015</v>
      </c>
      <c r="V38" s="719">
        <f t="shared" si="15"/>
        <v>4221156</v>
      </c>
      <c r="W38" s="722">
        <f t="shared" si="16"/>
        <v>337692</v>
      </c>
      <c r="X38" s="719"/>
      <c r="Y38" s="719">
        <f>IFERROR(V38+W38,"")</f>
        <v>4558848</v>
      </c>
      <c r="Z38" s="719">
        <f>IFERROR(Y38-(V38+W38),"")</f>
        <v>0</v>
      </c>
      <c r="AA38" s="723">
        <f t="shared" si="19"/>
        <v>4558848</v>
      </c>
      <c r="AB38" s="721">
        <f>IFERROR(ROUND(AA38*$AB$12,0),"")</f>
        <v>866181</v>
      </c>
      <c r="AC38" s="719">
        <f t="shared" si="21"/>
        <v>5425029</v>
      </c>
      <c r="AD38" s="7" t="s">
        <v>13</v>
      </c>
    </row>
    <row r="39" spans="1:30" s="10" customFormat="1" ht="24.95" customHeight="1" outlineLevel="1">
      <c r="B39" s="715" t="s">
        <v>191</v>
      </c>
      <c r="C39" s="716"/>
      <c r="D39" s="596"/>
      <c r="E39" s="595"/>
      <c r="F39" s="55"/>
      <c r="G39" s="55"/>
      <c r="H39" s="55"/>
      <c r="I39" s="55"/>
      <c r="J39" s="55"/>
      <c r="K39" s="55"/>
      <c r="L39" s="55"/>
      <c r="M39" s="55"/>
      <c r="N39" s="55"/>
      <c r="O39" s="55"/>
      <c r="P39" s="55"/>
      <c r="Q39" s="55"/>
      <c r="R39" s="55"/>
      <c r="S39" s="55"/>
      <c r="T39" s="55"/>
      <c r="U39" s="55"/>
      <c r="V39" s="55"/>
      <c r="W39" s="55"/>
      <c r="X39" s="55"/>
      <c r="Y39" s="55"/>
      <c r="Z39" s="55"/>
      <c r="AA39" s="728"/>
      <c r="AB39" s="55"/>
      <c r="AC39" s="55"/>
      <c r="AD39" s="56"/>
    </row>
    <row r="40" spans="1:30" s="10" customFormat="1" ht="24.95" customHeight="1" outlineLevel="1">
      <c r="A40" s="10">
        <v>27</v>
      </c>
      <c r="B40" s="729" t="s">
        <v>194</v>
      </c>
      <c r="C40" s="81" t="s">
        <v>193</v>
      </c>
      <c r="D40" s="110">
        <v>1</v>
      </c>
      <c r="E40" s="712">
        <v>2286853</v>
      </c>
      <c r="F40" s="719">
        <f>E40*D40</f>
        <v>2286853</v>
      </c>
      <c r="G40" s="712">
        <f>IFERROR(ROUND(($F40/(42*30/6)*7)*$G$12*$G$10/$D$44,0),"")</f>
        <v>308725</v>
      </c>
      <c r="H40" s="712">
        <f>IFERROR(ROUND(($F40/(42*30/6)*7)*$H$12*$H$10/$D$44,0),"")</f>
        <v>289668</v>
      </c>
      <c r="I40" s="712">
        <f>IF(E40&gt;(1750905*2),0,$I$12*D40)</f>
        <v>249095</v>
      </c>
      <c r="J40" s="719">
        <f>IFERROR(SUM(F40:I40),"")</f>
        <v>3134341</v>
      </c>
      <c r="K40" s="712">
        <f>IFERROR(ROUND((J40-I40)*$K$12,0),"")</f>
        <v>120228</v>
      </c>
      <c r="L40" s="712">
        <f>IFERROR(ROUND((J40)*$L$12,0),"")</f>
        <v>261185</v>
      </c>
      <c r="M40" s="712">
        <f>IFERROR(ROUND((J40)*$M$12,0),"")</f>
        <v>261185</v>
      </c>
      <c r="N40" s="712">
        <f>IFERROR(ROUND((J40)*$N$12,0),"")</f>
        <v>31343</v>
      </c>
      <c r="O40" s="712">
        <f>IFERROR(ROUND((J40-I40)*$O$12,0),"")</f>
        <v>0</v>
      </c>
      <c r="P40" s="712">
        <f>IFERROR(ROUND((J40-I40)*$P$12,0),"")</f>
        <v>346230</v>
      </c>
      <c r="Q40" s="720">
        <v>5.2199999999999998E-3</v>
      </c>
      <c r="R40" s="721">
        <f>ROUND((J40-I40)*Q40,0)</f>
        <v>15061</v>
      </c>
      <c r="S40" s="712">
        <f>IFERROR(ROUND((J40-I40)*$S$12,0),"")</f>
        <v>0</v>
      </c>
      <c r="T40" s="712">
        <f>IFERROR(ROUND((J40-I40)*$T$12,0),"")</f>
        <v>0</v>
      </c>
      <c r="U40" s="712">
        <f>ROUND((J40-I40)*$U$12,0)</f>
        <v>115410</v>
      </c>
      <c r="V40" s="719">
        <f>IFERROR(+J40+K40+L40+M40+N40+O40+P40+R40+S40+T40+U40,"")</f>
        <v>4284983</v>
      </c>
      <c r="W40" s="722">
        <f>IFERROR(ROUND(V40*$W$12,0),"")</f>
        <v>342799</v>
      </c>
      <c r="X40" s="719"/>
      <c r="Y40" s="719">
        <f>IFERROR(V40+W40,"")</f>
        <v>4627782</v>
      </c>
      <c r="Z40" s="719">
        <f>IFERROR(Y40-(V40+W40),"")</f>
        <v>0</v>
      </c>
      <c r="AA40" s="723">
        <f>IFERROR(V40+W40,"")</f>
        <v>4627782</v>
      </c>
      <c r="AB40" s="721">
        <f>IFERROR(ROUND(AA40*$AB$12,0),"")</f>
        <v>879279</v>
      </c>
      <c r="AC40" s="719">
        <f>IFERROR(+AA40+AB40,"")</f>
        <v>5507061</v>
      </c>
      <c r="AD40" s="7" t="s">
        <v>13</v>
      </c>
    </row>
    <row r="41" spans="1:30" s="730" customFormat="1" ht="25.5" customHeight="1" outlineLevel="1">
      <c r="A41" s="730">
        <v>28</v>
      </c>
      <c r="B41" s="594" t="s">
        <v>196</v>
      </c>
      <c r="C41" s="731" t="s">
        <v>195</v>
      </c>
      <c r="D41" s="110">
        <v>6</v>
      </c>
      <c r="E41" s="712">
        <v>1917242</v>
      </c>
      <c r="F41" s="732">
        <f>E41*D41</f>
        <v>11503452</v>
      </c>
      <c r="G41" s="733">
        <f>IFERROR(ROUND(($F41/(42*30/6)*7)*$G$12*$G$10/$D$44,0),"")</f>
        <v>1552966</v>
      </c>
      <c r="H41" s="733">
        <f>IFERROR(ROUND(($F41/(42*30/6)*7)*$H$12*$H$10/$D$44,0),"")</f>
        <v>1457104</v>
      </c>
      <c r="I41" s="733">
        <f>IF(E41&gt;(1750905*2),0,$I$12*D41)</f>
        <v>1494570</v>
      </c>
      <c r="J41" s="732">
        <f>IFERROR(SUM(F41:I41),"")</f>
        <v>16008092</v>
      </c>
      <c r="K41" s="733">
        <f>IFERROR(ROUND((J41-I41)*$K$12,0),"")</f>
        <v>604778</v>
      </c>
      <c r="L41" s="733">
        <f>IFERROR(ROUND((J41)*$L$12,0),"")</f>
        <v>1333954</v>
      </c>
      <c r="M41" s="733">
        <f>IFERROR(ROUND((J41)*$M$12,0),"")</f>
        <v>1333954</v>
      </c>
      <c r="N41" s="733">
        <f>IFERROR(ROUND((J41)*$N$12,0),"")</f>
        <v>160081</v>
      </c>
      <c r="O41" s="733">
        <f>IFERROR(ROUND((J41-I41)*$O$12,0),"")</f>
        <v>0</v>
      </c>
      <c r="P41" s="733">
        <f>IFERROR(ROUND((J41-I41)*$P$12,0),"")</f>
        <v>1741623</v>
      </c>
      <c r="Q41" s="734">
        <v>1.044E-2</v>
      </c>
      <c r="R41" s="733">
        <f>ROUND((J41-I41)*Q41,0)</f>
        <v>151521</v>
      </c>
      <c r="S41" s="733">
        <f>IFERROR(ROUND((J41-I41)*$S$12,0),"")</f>
        <v>0</v>
      </c>
      <c r="T41" s="733">
        <f>IFERROR(ROUND((J41-I41)*$T$12,0),"")</f>
        <v>0</v>
      </c>
      <c r="U41" s="733">
        <f>ROUND((J41-I41)*$U$12,0)</f>
        <v>580541</v>
      </c>
      <c r="V41" s="732">
        <f>IFERROR(+J41+K41+L41+M41+N41+O41+P41+R41+S41+T41+U41,"")</f>
        <v>21914544</v>
      </c>
      <c r="W41" s="735">
        <f>IFERROR(ROUND(V41*$W$12,0),"")</f>
        <v>1753164</v>
      </c>
      <c r="X41" s="732">
        <f>IFERROR(ROUND(V41*10%,0),"")</f>
        <v>2191454</v>
      </c>
      <c r="Y41" s="732"/>
      <c r="Z41" s="732">
        <f>IFERROR(V41-X41+W41,"")</f>
        <v>21476254</v>
      </c>
      <c r="AA41" s="723">
        <f>IFERROR(V41+W41,"")</f>
        <v>23667708</v>
      </c>
      <c r="AB41" s="736">
        <f>IFERROR(ROUND(X41*$AB$12,0),"")</f>
        <v>416376</v>
      </c>
      <c r="AC41" s="732">
        <f>IFERROR(+AA41+AB41,"")</f>
        <v>24084084</v>
      </c>
      <c r="AD41" s="706" t="s">
        <v>13</v>
      </c>
    </row>
    <row r="42" spans="1:30" s="10" customFormat="1" ht="53.25" customHeight="1">
      <c r="B42" s="83" t="s">
        <v>111</v>
      </c>
      <c r="C42" s="84" t="s">
        <v>198</v>
      </c>
      <c r="D42" s="739">
        <f t="shared" ref="D42:P42" si="25">SUM(D13:D41)</f>
        <v>101</v>
      </c>
      <c r="E42" s="740">
        <f t="shared" si="25"/>
        <v>81683695</v>
      </c>
      <c r="F42" s="741">
        <f t="shared" si="25"/>
        <v>251518251</v>
      </c>
      <c r="G42" s="741">
        <f t="shared" si="25"/>
        <v>33954963</v>
      </c>
      <c r="H42" s="741">
        <f t="shared" si="25"/>
        <v>31858978</v>
      </c>
      <c r="I42" s="741">
        <f t="shared" si="25"/>
        <v>23913120</v>
      </c>
      <c r="J42" s="741">
        <f t="shared" si="25"/>
        <v>341245312</v>
      </c>
      <c r="K42" s="741">
        <f t="shared" si="25"/>
        <v>13223231</v>
      </c>
      <c r="L42" s="741">
        <f t="shared" si="25"/>
        <v>28435971</v>
      </c>
      <c r="M42" s="741">
        <f t="shared" si="25"/>
        <v>28435971</v>
      </c>
      <c r="N42" s="741">
        <f t="shared" si="25"/>
        <v>3412457</v>
      </c>
      <c r="O42" s="741">
        <f t="shared" si="25"/>
        <v>0</v>
      </c>
      <c r="P42" s="741">
        <f t="shared" si="25"/>
        <v>38079864</v>
      </c>
      <c r="Q42" s="741"/>
      <c r="R42" s="741">
        <f t="shared" ref="R42:AC42" si="26">SUM(R13:R41)</f>
        <v>11635957</v>
      </c>
      <c r="S42" s="741">
        <f t="shared" si="26"/>
        <v>0</v>
      </c>
      <c r="T42" s="741">
        <f t="shared" si="26"/>
        <v>0</v>
      </c>
      <c r="U42" s="741">
        <f t="shared" si="26"/>
        <v>12693289</v>
      </c>
      <c r="V42" s="742">
        <f t="shared" si="26"/>
        <v>477162052</v>
      </c>
      <c r="W42" s="741">
        <f t="shared" si="26"/>
        <v>38172963</v>
      </c>
      <c r="X42" s="741">
        <f t="shared" si="26"/>
        <v>18951080</v>
      </c>
      <c r="Y42" s="741">
        <f t="shared" si="26"/>
        <v>310663367</v>
      </c>
      <c r="Z42" s="741">
        <f t="shared" si="26"/>
        <v>185720568</v>
      </c>
      <c r="AA42" s="743">
        <f t="shared" si="26"/>
        <v>515335015</v>
      </c>
      <c r="AB42" s="741">
        <f t="shared" si="26"/>
        <v>62626744</v>
      </c>
      <c r="AC42" s="741">
        <f t="shared" si="26"/>
        <v>577961759</v>
      </c>
      <c r="AD42" s="52" t="s">
        <v>13</v>
      </c>
    </row>
    <row r="43" spans="1:30" customFormat="1" ht="6" customHeight="1">
      <c r="D43" s="106"/>
      <c r="E43" s="744"/>
      <c r="F43" s="745"/>
      <c r="G43" s="745"/>
      <c r="H43" s="745"/>
      <c r="I43" s="745"/>
      <c r="J43" s="745"/>
      <c r="K43" s="745"/>
      <c r="L43" s="745"/>
      <c r="M43" s="745"/>
      <c r="N43" s="745"/>
      <c r="O43" s="745"/>
      <c r="P43" s="745"/>
      <c r="Q43" s="745"/>
      <c r="R43" s="745"/>
      <c r="S43" s="745"/>
      <c r="T43" s="745"/>
      <c r="U43" s="745"/>
      <c r="V43" s="745"/>
      <c r="W43" s="745"/>
      <c r="X43" s="745"/>
      <c r="Y43" s="745"/>
      <c r="Z43" s="745"/>
      <c r="AA43" s="746"/>
      <c r="AB43" s="745"/>
      <c r="AC43" s="747"/>
    </row>
    <row r="44" spans="1:30" s="10" customFormat="1" ht="53.25" customHeight="1">
      <c r="B44" s="85" t="s">
        <v>111</v>
      </c>
      <c r="C44" s="86" t="s">
        <v>199</v>
      </c>
      <c r="D44" s="748">
        <v>2</v>
      </c>
      <c r="E44" s="749">
        <f t="shared" ref="E44:P44" si="27">$D$44*E$42</f>
        <v>163367390</v>
      </c>
      <c r="F44" s="750">
        <f t="shared" si="27"/>
        <v>503036502</v>
      </c>
      <c r="G44" s="750">
        <f t="shared" si="27"/>
        <v>67909926</v>
      </c>
      <c r="H44" s="750">
        <f t="shared" si="27"/>
        <v>63717956</v>
      </c>
      <c r="I44" s="750">
        <f t="shared" si="27"/>
        <v>47826240</v>
      </c>
      <c r="J44" s="750">
        <f t="shared" si="27"/>
        <v>682490624</v>
      </c>
      <c r="K44" s="750">
        <f t="shared" si="27"/>
        <v>26446462</v>
      </c>
      <c r="L44" s="750">
        <f t="shared" si="27"/>
        <v>56871942</v>
      </c>
      <c r="M44" s="750">
        <f t="shared" si="27"/>
        <v>56871942</v>
      </c>
      <c r="N44" s="750">
        <f t="shared" si="27"/>
        <v>6824914</v>
      </c>
      <c r="O44" s="750">
        <f t="shared" si="27"/>
        <v>0</v>
      </c>
      <c r="P44" s="750">
        <f t="shared" si="27"/>
        <v>76159728</v>
      </c>
      <c r="Q44" s="750"/>
      <c r="R44" s="750">
        <f t="shared" ref="R44:AC44" si="28">$D$44*R$42</f>
        <v>23271914</v>
      </c>
      <c r="S44" s="750">
        <f t="shared" si="28"/>
        <v>0</v>
      </c>
      <c r="T44" s="750">
        <f t="shared" si="28"/>
        <v>0</v>
      </c>
      <c r="U44" s="750">
        <f t="shared" si="28"/>
        <v>25386578</v>
      </c>
      <c r="V44" s="751">
        <f t="shared" si="28"/>
        <v>954324104</v>
      </c>
      <c r="W44" s="750">
        <f t="shared" si="28"/>
        <v>76345926</v>
      </c>
      <c r="X44" s="750">
        <f t="shared" si="28"/>
        <v>37902160</v>
      </c>
      <c r="Y44" s="750">
        <f t="shared" si="28"/>
        <v>621326734</v>
      </c>
      <c r="Z44" s="750">
        <f t="shared" si="28"/>
        <v>371441136</v>
      </c>
      <c r="AA44" s="752">
        <f t="shared" si="28"/>
        <v>1030670030</v>
      </c>
      <c r="AB44" s="750">
        <f t="shared" si="28"/>
        <v>125253488</v>
      </c>
      <c r="AC44" s="753">
        <f t="shared" si="28"/>
        <v>1155923518</v>
      </c>
      <c r="AD44" s="60" t="s">
        <v>13</v>
      </c>
    </row>
    <row r="45" spans="1:30" s="10" customFormat="1" ht="10.5" customHeight="1">
      <c r="B45" s="64"/>
      <c r="C45" s="64"/>
      <c r="D45" s="64"/>
      <c r="E45" s="64"/>
      <c r="F45" s="65"/>
      <c r="G45" s="64"/>
      <c r="H45" s="64"/>
      <c r="I45" s="66"/>
      <c r="J45" s="64"/>
      <c r="K45" s="67"/>
      <c r="L45" s="67"/>
      <c r="M45" s="67"/>
      <c r="N45" s="68"/>
      <c r="O45" s="68"/>
      <c r="P45" s="68"/>
      <c r="Q45" s="69"/>
      <c r="R45" s="70"/>
      <c r="S45" s="68"/>
      <c r="T45" s="68"/>
      <c r="U45" s="68"/>
      <c r="V45" s="757" t="s">
        <v>649</v>
      </c>
      <c r="W45" s="71"/>
      <c r="X45" s="71"/>
      <c r="Y45" s="71"/>
      <c r="Z45" s="71"/>
      <c r="AA45" s="758" t="s">
        <v>649</v>
      </c>
      <c r="AB45" s="72"/>
      <c r="AC45" s="64"/>
      <c r="AD45" s="64"/>
    </row>
    <row r="46" spans="1:30" ht="24.95" customHeight="1">
      <c r="B46" s="597" t="s">
        <v>200</v>
      </c>
      <c r="C46" s="48" t="s">
        <v>201</v>
      </c>
      <c r="D46" s="49"/>
      <c r="E46" s="49"/>
      <c r="F46" s="49"/>
      <c r="G46" s="49"/>
      <c r="H46" s="49"/>
      <c r="I46" s="49"/>
      <c r="J46" s="49"/>
      <c r="K46" s="49"/>
      <c r="L46" s="49"/>
      <c r="M46" s="49"/>
      <c r="N46" s="49"/>
      <c r="O46" s="49"/>
      <c r="P46" s="49"/>
      <c r="Q46" s="49"/>
      <c r="R46" s="49"/>
      <c r="S46" s="49"/>
      <c r="T46" s="49"/>
      <c r="U46" s="49"/>
      <c r="V46" s="49"/>
      <c r="W46" s="49"/>
      <c r="X46" s="49"/>
      <c r="Y46" s="49"/>
      <c r="Z46" s="49"/>
      <c r="AA46" s="759"/>
      <c r="AC46" s="13" t="s">
        <v>649</v>
      </c>
      <c r="AD46" s="1"/>
    </row>
    <row r="47" spans="1:30" ht="36" customHeight="1">
      <c r="B47" s="980" t="s">
        <v>29</v>
      </c>
      <c r="C47" s="108" t="s">
        <v>113</v>
      </c>
      <c r="D47" s="108" t="s">
        <v>202</v>
      </c>
      <c r="E47" s="108" t="s">
        <v>203</v>
      </c>
      <c r="F47" s="108" t="s">
        <v>116</v>
      </c>
      <c r="G47" s="4" t="s">
        <v>117</v>
      </c>
      <c r="H47" s="4" t="s">
        <v>118</v>
      </c>
      <c r="I47" s="4" t="s">
        <v>119</v>
      </c>
      <c r="J47" s="108" t="s">
        <v>120</v>
      </c>
      <c r="K47" s="4" t="s">
        <v>121</v>
      </c>
      <c r="L47" s="4" t="s">
        <v>122</v>
      </c>
      <c r="M47" s="4" t="s">
        <v>123</v>
      </c>
      <c r="N47" s="4" t="s">
        <v>124</v>
      </c>
      <c r="O47" s="4" t="s">
        <v>125</v>
      </c>
      <c r="P47" s="4" t="s">
        <v>126</v>
      </c>
      <c r="Q47" s="108" t="s">
        <v>127</v>
      </c>
      <c r="R47" s="108" t="s">
        <v>128</v>
      </c>
      <c r="S47" s="4" t="s">
        <v>129</v>
      </c>
      <c r="T47" s="4" t="s">
        <v>130</v>
      </c>
      <c r="U47" s="4" t="s">
        <v>131</v>
      </c>
      <c r="V47" s="108" t="s">
        <v>132</v>
      </c>
      <c r="W47" s="5" t="s">
        <v>133</v>
      </c>
      <c r="X47" s="5" t="s">
        <v>134</v>
      </c>
      <c r="Y47" s="5" t="s">
        <v>135</v>
      </c>
      <c r="Z47" s="5" t="s">
        <v>136</v>
      </c>
      <c r="AA47" s="760" t="s">
        <v>137</v>
      </c>
      <c r="AB47" s="5" t="s">
        <v>138</v>
      </c>
      <c r="AC47" s="140" t="s">
        <v>139</v>
      </c>
      <c r="AD47" s="140" t="s">
        <v>9</v>
      </c>
    </row>
    <row r="48" spans="1:30" ht="24.95" customHeight="1">
      <c r="B48" s="981"/>
      <c r="C48" s="109"/>
      <c r="D48" s="109"/>
      <c r="E48" s="109"/>
      <c r="F48" s="109"/>
      <c r="G48" s="598">
        <v>0</v>
      </c>
      <c r="H48" s="599">
        <v>0</v>
      </c>
      <c r="I48" s="61">
        <v>249095</v>
      </c>
      <c r="J48" s="109"/>
      <c r="K48" s="62">
        <v>4.1669999999999999E-2</v>
      </c>
      <c r="L48" s="62">
        <v>8.3330000000000001E-2</v>
      </c>
      <c r="M48" s="62">
        <v>8.3330000000000001E-2</v>
      </c>
      <c r="N48" s="8">
        <v>0.01</v>
      </c>
      <c r="O48" s="8">
        <v>0</v>
      </c>
      <c r="P48" s="8">
        <v>0.12</v>
      </c>
      <c r="Q48" s="109"/>
      <c r="R48" s="109"/>
      <c r="S48" s="8">
        <v>0</v>
      </c>
      <c r="T48" s="8">
        <v>0</v>
      </c>
      <c r="U48" s="8">
        <v>0.04</v>
      </c>
      <c r="V48" s="109"/>
      <c r="W48" s="718">
        <v>0.08</v>
      </c>
      <c r="X48" s="5"/>
      <c r="Y48" s="5"/>
      <c r="Z48" s="5"/>
      <c r="AA48" s="761"/>
      <c r="AB48" s="9">
        <v>0.19</v>
      </c>
      <c r="AC48" s="591"/>
      <c r="AD48" s="591"/>
    </row>
    <row r="49" spans="1:30" s="10" customFormat="1" ht="24.95" customHeight="1" outlineLevel="1">
      <c r="B49" s="54" t="s">
        <v>204</v>
      </c>
      <c r="C49" s="81" t="s">
        <v>205</v>
      </c>
      <c r="D49" s="110">
        <f>1</f>
        <v>1</v>
      </c>
      <c r="E49" s="712">
        <f>E13</f>
        <v>5238163</v>
      </c>
      <c r="F49" s="719">
        <f t="shared" ref="F49:F56" si="29">ROUND(E49*D49,0)</f>
        <v>5238163</v>
      </c>
      <c r="G49" s="712">
        <f t="shared" ref="G49:G56" si="30">IFERROR(ROUND(($F49/(42*30/6)*7)*$G$12*$G$48/$D$61,0),"")</f>
        <v>0</v>
      </c>
      <c r="H49" s="712">
        <f t="shared" ref="H49:H56" si="31">IFERROR(ROUND(($F49/(42*30/6)*7)*$H$12*$H$48/$D$61,0),"")</f>
        <v>0</v>
      </c>
      <c r="I49" s="712">
        <f t="shared" ref="I49:I56" si="32">IF(E49&gt;(1750905*2),0,$I$48*D49)</f>
        <v>0</v>
      </c>
      <c r="J49" s="719">
        <f>F49+G49+H49+I49</f>
        <v>5238163</v>
      </c>
      <c r="K49" s="712">
        <f t="shared" ref="K49:K56" si="33">ROUND((J49-I49)*$K$48,0)</f>
        <v>218274</v>
      </c>
      <c r="L49" s="712">
        <f t="shared" ref="L49:L56" si="34">ROUND((J49)*$L$48,0)</f>
        <v>436496</v>
      </c>
      <c r="M49" s="712">
        <f t="shared" ref="M49:M56" si="35">ROUND((J49)*$M$48,0)</f>
        <v>436496</v>
      </c>
      <c r="N49" s="712">
        <f t="shared" ref="N49:N56" si="36">ROUND((J49)*$N$48,0)</f>
        <v>52382</v>
      </c>
      <c r="O49" s="712">
        <f t="shared" ref="O49:O56" si="37">ROUND((J49-I49)*$O$48,0)</f>
        <v>0</v>
      </c>
      <c r="P49" s="712">
        <f t="shared" ref="P49:P56" si="38">ROUND((J49-I49)*$P$48,0)</f>
        <v>628580</v>
      </c>
      <c r="Q49" s="720">
        <v>5.2199999999999998E-3</v>
      </c>
      <c r="R49" s="712">
        <f t="shared" ref="R49:R56" si="39">ROUND((J49-I49)*Q49,0)</f>
        <v>27343</v>
      </c>
      <c r="S49" s="712">
        <f t="shared" ref="S49:S56" si="40">ROUND((J49-I49)*$S$48,0)</f>
        <v>0</v>
      </c>
      <c r="T49" s="712">
        <f t="shared" ref="T49:T56" si="41">ROUND((J49-I49)*$T$48,0)</f>
        <v>0</v>
      </c>
      <c r="U49" s="712">
        <f t="shared" ref="U49:U56" si="42">ROUND((J49-I49)*$U$48,0)</f>
        <v>209527</v>
      </c>
      <c r="V49" s="719">
        <f t="shared" ref="V49:V56" si="43">+J49+K49+L49+M49+N49+O49+P49+R49+S49+T49+U49</f>
        <v>7247261</v>
      </c>
      <c r="W49" s="722">
        <f t="shared" ref="W49:W56" si="44">ROUND(V49*$W$48,0)</f>
        <v>579781</v>
      </c>
      <c r="X49" s="719"/>
      <c r="Y49" s="719">
        <f t="shared" ref="Y49:Y54" si="45">IFERROR(V49+W49,"")</f>
        <v>7827042</v>
      </c>
      <c r="Z49" s="719"/>
      <c r="AA49" s="723">
        <f t="shared" ref="AA49:AA56" si="46">+V49+W49</f>
        <v>7827042</v>
      </c>
      <c r="AB49" s="721">
        <f t="shared" ref="AB49:AB54" si="47">ROUND(AA49*$AB$48,0)</f>
        <v>1487138</v>
      </c>
      <c r="AC49" s="719">
        <f t="shared" ref="AC49:AC56" si="48">+AA49+AB49</f>
        <v>9314180</v>
      </c>
      <c r="AD49" s="762" t="s">
        <v>95</v>
      </c>
    </row>
    <row r="50" spans="1:30" s="10" customFormat="1" ht="24.95" customHeight="1" outlineLevel="1">
      <c r="B50" s="54" t="s">
        <v>206</v>
      </c>
      <c r="C50" s="81" t="s">
        <v>145</v>
      </c>
      <c r="D50" s="110">
        <v>1</v>
      </c>
      <c r="E50" s="712">
        <f>E16</f>
        <v>3453397</v>
      </c>
      <c r="F50" s="719">
        <f t="shared" si="29"/>
        <v>3453397</v>
      </c>
      <c r="G50" s="712">
        <f t="shared" si="30"/>
        <v>0</v>
      </c>
      <c r="H50" s="712">
        <f t="shared" si="31"/>
        <v>0</v>
      </c>
      <c r="I50" s="712">
        <f t="shared" si="32"/>
        <v>249095</v>
      </c>
      <c r="J50" s="719">
        <f>F50+G50+H50+I50</f>
        <v>3702492</v>
      </c>
      <c r="K50" s="712">
        <f t="shared" si="33"/>
        <v>143903</v>
      </c>
      <c r="L50" s="712">
        <f t="shared" si="34"/>
        <v>308529</v>
      </c>
      <c r="M50" s="712">
        <f t="shared" si="35"/>
        <v>308529</v>
      </c>
      <c r="N50" s="712">
        <f t="shared" si="36"/>
        <v>37025</v>
      </c>
      <c r="O50" s="712">
        <f t="shared" si="37"/>
        <v>0</v>
      </c>
      <c r="P50" s="712">
        <f t="shared" si="38"/>
        <v>414408</v>
      </c>
      <c r="Q50" s="720">
        <v>2.436E-2</v>
      </c>
      <c r="R50" s="712">
        <f t="shared" si="39"/>
        <v>84125</v>
      </c>
      <c r="S50" s="712">
        <f t="shared" si="40"/>
        <v>0</v>
      </c>
      <c r="T50" s="712">
        <f t="shared" si="41"/>
        <v>0</v>
      </c>
      <c r="U50" s="712">
        <f t="shared" si="42"/>
        <v>138136</v>
      </c>
      <c r="V50" s="719">
        <f t="shared" si="43"/>
        <v>5137147</v>
      </c>
      <c r="W50" s="722">
        <f t="shared" si="44"/>
        <v>410972</v>
      </c>
      <c r="X50" s="719"/>
      <c r="Y50" s="719">
        <f t="shared" si="45"/>
        <v>5548119</v>
      </c>
      <c r="Z50" s="719"/>
      <c r="AA50" s="723">
        <f t="shared" si="46"/>
        <v>5548119</v>
      </c>
      <c r="AB50" s="721">
        <f t="shared" si="47"/>
        <v>1054143</v>
      </c>
      <c r="AC50" s="719">
        <f t="shared" si="48"/>
        <v>6602262</v>
      </c>
      <c r="AD50" s="762" t="s">
        <v>95</v>
      </c>
    </row>
    <row r="51" spans="1:30" s="10" customFormat="1" ht="24.95" customHeight="1" outlineLevel="1">
      <c r="B51" s="54" t="s">
        <v>207</v>
      </c>
      <c r="C51" s="82" t="s">
        <v>797</v>
      </c>
      <c r="D51" s="496">
        <v>1</v>
      </c>
      <c r="E51" s="763">
        <f>E16</f>
        <v>3453397</v>
      </c>
      <c r="F51" s="719">
        <f t="shared" si="29"/>
        <v>3453397</v>
      </c>
      <c r="G51" s="712">
        <f t="shared" si="30"/>
        <v>0</v>
      </c>
      <c r="H51" s="712">
        <f t="shared" si="31"/>
        <v>0</v>
      </c>
      <c r="I51" s="712">
        <f t="shared" si="32"/>
        <v>249095</v>
      </c>
      <c r="J51" s="719">
        <f t="shared" ref="J51:J56" si="49">F51+G51+H51+I51</f>
        <v>3702492</v>
      </c>
      <c r="K51" s="712">
        <f t="shared" si="33"/>
        <v>143903</v>
      </c>
      <c r="L51" s="712">
        <f t="shared" si="34"/>
        <v>308529</v>
      </c>
      <c r="M51" s="712">
        <f t="shared" si="35"/>
        <v>308529</v>
      </c>
      <c r="N51" s="712">
        <f t="shared" si="36"/>
        <v>37025</v>
      </c>
      <c r="O51" s="712">
        <f t="shared" si="37"/>
        <v>0</v>
      </c>
      <c r="P51" s="712">
        <f t="shared" si="38"/>
        <v>414408</v>
      </c>
      <c r="Q51" s="720">
        <v>6.9599999999999995E-2</v>
      </c>
      <c r="R51" s="712">
        <f t="shared" si="39"/>
        <v>240356</v>
      </c>
      <c r="S51" s="712">
        <f t="shared" si="40"/>
        <v>0</v>
      </c>
      <c r="T51" s="712">
        <f t="shared" si="41"/>
        <v>0</v>
      </c>
      <c r="U51" s="712">
        <f t="shared" si="42"/>
        <v>138136</v>
      </c>
      <c r="V51" s="719">
        <f t="shared" si="43"/>
        <v>5293378</v>
      </c>
      <c r="W51" s="722">
        <f t="shared" si="44"/>
        <v>423470</v>
      </c>
      <c r="X51" s="719"/>
      <c r="Y51" s="719">
        <f t="shared" si="45"/>
        <v>5716848</v>
      </c>
      <c r="Z51" s="719"/>
      <c r="AA51" s="723">
        <f t="shared" si="46"/>
        <v>5716848</v>
      </c>
      <c r="AB51" s="721">
        <f t="shared" si="47"/>
        <v>1086201</v>
      </c>
      <c r="AC51" s="719">
        <f t="shared" si="48"/>
        <v>6803049</v>
      </c>
      <c r="AD51" s="762" t="s">
        <v>95</v>
      </c>
    </row>
    <row r="52" spans="1:30" s="10" customFormat="1" ht="24.95" customHeight="1" outlineLevel="1">
      <c r="B52" s="54" t="s">
        <v>209</v>
      </c>
      <c r="C52" s="82" t="s">
        <v>798</v>
      </c>
      <c r="D52" s="496">
        <v>1</v>
      </c>
      <c r="E52" s="763">
        <f>E51</f>
        <v>3453397</v>
      </c>
      <c r="F52" s="719">
        <f t="shared" si="29"/>
        <v>3453397</v>
      </c>
      <c r="G52" s="712">
        <f t="shared" si="30"/>
        <v>0</v>
      </c>
      <c r="H52" s="712">
        <f t="shared" si="31"/>
        <v>0</v>
      </c>
      <c r="I52" s="712">
        <f t="shared" si="32"/>
        <v>249095</v>
      </c>
      <c r="J52" s="719">
        <f t="shared" si="49"/>
        <v>3702492</v>
      </c>
      <c r="K52" s="712">
        <f t="shared" si="33"/>
        <v>143903</v>
      </c>
      <c r="L52" s="712">
        <f t="shared" si="34"/>
        <v>308529</v>
      </c>
      <c r="M52" s="712">
        <f t="shared" si="35"/>
        <v>308529</v>
      </c>
      <c r="N52" s="712">
        <f t="shared" si="36"/>
        <v>37025</v>
      </c>
      <c r="O52" s="712">
        <f t="shared" si="37"/>
        <v>0</v>
      </c>
      <c r="P52" s="712">
        <f t="shared" si="38"/>
        <v>414408</v>
      </c>
      <c r="Q52" s="720">
        <v>6.9599999999999995E-2</v>
      </c>
      <c r="R52" s="712">
        <f t="shared" si="39"/>
        <v>240356</v>
      </c>
      <c r="S52" s="712">
        <f t="shared" si="40"/>
        <v>0</v>
      </c>
      <c r="T52" s="712">
        <f t="shared" si="41"/>
        <v>0</v>
      </c>
      <c r="U52" s="712">
        <f t="shared" si="42"/>
        <v>138136</v>
      </c>
      <c r="V52" s="719">
        <f t="shared" si="43"/>
        <v>5293378</v>
      </c>
      <c r="W52" s="722">
        <f t="shared" si="44"/>
        <v>423470</v>
      </c>
      <c r="X52" s="719"/>
      <c r="Y52" s="719">
        <f t="shared" si="45"/>
        <v>5716848</v>
      </c>
      <c r="Z52" s="719"/>
      <c r="AA52" s="723">
        <f t="shared" si="46"/>
        <v>5716848</v>
      </c>
      <c r="AB52" s="721">
        <f t="shared" si="47"/>
        <v>1086201</v>
      </c>
      <c r="AC52" s="719">
        <f t="shared" si="48"/>
        <v>6803049</v>
      </c>
      <c r="AD52" s="762" t="s">
        <v>95</v>
      </c>
    </row>
    <row r="53" spans="1:30" s="10" customFormat="1" ht="24.95" customHeight="1" outlineLevel="1">
      <c r="B53" s="54" t="s">
        <v>210</v>
      </c>
      <c r="C53" s="81" t="s">
        <v>165</v>
      </c>
      <c r="D53" s="110">
        <v>2</v>
      </c>
      <c r="E53" s="712">
        <f>E26</f>
        <v>2219582</v>
      </c>
      <c r="F53" s="719">
        <f t="shared" si="29"/>
        <v>4439164</v>
      </c>
      <c r="G53" s="712">
        <f t="shared" si="30"/>
        <v>0</v>
      </c>
      <c r="H53" s="712">
        <f t="shared" si="31"/>
        <v>0</v>
      </c>
      <c r="I53" s="712">
        <f t="shared" si="32"/>
        <v>498190</v>
      </c>
      <c r="J53" s="719">
        <f t="shared" si="49"/>
        <v>4937354</v>
      </c>
      <c r="K53" s="712">
        <f t="shared" si="33"/>
        <v>184980</v>
      </c>
      <c r="L53" s="712">
        <f t="shared" si="34"/>
        <v>411430</v>
      </c>
      <c r="M53" s="712">
        <f t="shared" si="35"/>
        <v>411430</v>
      </c>
      <c r="N53" s="712">
        <f t="shared" si="36"/>
        <v>49374</v>
      </c>
      <c r="O53" s="712">
        <f t="shared" si="37"/>
        <v>0</v>
      </c>
      <c r="P53" s="712">
        <f t="shared" si="38"/>
        <v>532700</v>
      </c>
      <c r="Q53" s="720">
        <v>6.9599999999999995E-2</v>
      </c>
      <c r="R53" s="712">
        <f t="shared" si="39"/>
        <v>308966</v>
      </c>
      <c r="S53" s="712">
        <f t="shared" si="40"/>
        <v>0</v>
      </c>
      <c r="T53" s="712">
        <f t="shared" si="41"/>
        <v>0</v>
      </c>
      <c r="U53" s="712">
        <f t="shared" si="42"/>
        <v>177567</v>
      </c>
      <c r="V53" s="719">
        <f t="shared" si="43"/>
        <v>7013801</v>
      </c>
      <c r="W53" s="722">
        <f t="shared" si="44"/>
        <v>561104</v>
      </c>
      <c r="X53" s="719"/>
      <c r="Y53" s="719">
        <f t="shared" si="45"/>
        <v>7574905</v>
      </c>
      <c r="Z53" s="719"/>
      <c r="AA53" s="723">
        <f t="shared" si="46"/>
        <v>7574905</v>
      </c>
      <c r="AB53" s="721">
        <f t="shared" si="47"/>
        <v>1439232</v>
      </c>
      <c r="AC53" s="719">
        <f t="shared" si="48"/>
        <v>9014137</v>
      </c>
      <c r="AD53" s="762" t="s">
        <v>95</v>
      </c>
    </row>
    <row r="54" spans="1:30" s="10" customFormat="1" ht="24.95" customHeight="1" outlineLevel="1">
      <c r="B54" s="54" t="s">
        <v>211</v>
      </c>
      <c r="C54" s="81" t="s">
        <v>163</v>
      </c>
      <c r="D54" s="110">
        <v>1</v>
      </c>
      <c r="E54" s="712">
        <f>E25</f>
        <v>2219582</v>
      </c>
      <c r="F54" s="719">
        <f t="shared" si="29"/>
        <v>2219582</v>
      </c>
      <c r="G54" s="712">
        <f t="shared" si="30"/>
        <v>0</v>
      </c>
      <c r="H54" s="712">
        <f t="shared" si="31"/>
        <v>0</v>
      </c>
      <c r="I54" s="712">
        <f t="shared" si="32"/>
        <v>249095</v>
      </c>
      <c r="J54" s="719">
        <f t="shared" si="49"/>
        <v>2468677</v>
      </c>
      <c r="K54" s="712">
        <f t="shared" si="33"/>
        <v>92490</v>
      </c>
      <c r="L54" s="712">
        <f t="shared" si="34"/>
        <v>205715</v>
      </c>
      <c r="M54" s="712">
        <f t="shared" si="35"/>
        <v>205715</v>
      </c>
      <c r="N54" s="712">
        <f t="shared" si="36"/>
        <v>24687</v>
      </c>
      <c r="O54" s="712">
        <f t="shared" si="37"/>
        <v>0</v>
      </c>
      <c r="P54" s="712">
        <f t="shared" si="38"/>
        <v>266350</v>
      </c>
      <c r="Q54" s="720">
        <v>6.9599999999999995E-2</v>
      </c>
      <c r="R54" s="712">
        <f t="shared" si="39"/>
        <v>154483</v>
      </c>
      <c r="S54" s="712">
        <f t="shared" si="40"/>
        <v>0</v>
      </c>
      <c r="T54" s="712">
        <f t="shared" si="41"/>
        <v>0</v>
      </c>
      <c r="U54" s="712">
        <f t="shared" si="42"/>
        <v>88783</v>
      </c>
      <c r="V54" s="719">
        <f t="shared" si="43"/>
        <v>3506900</v>
      </c>
      <c r="W54" s="722">
        <f t="shared" si="44"/>
        <v>280552</v>
      </c>
      <c r="X54" s="719"/>
      <c r="Y54" s="719">
        <f t="shared" si="45"/>
        <v>3787452</v>
      </c>
      <c r="Z54" s="719"/>
      <c r="AA54" s="723">
        <f t="shared" si="46"/>
        <v>3787452</v>
      </c>
      <c r="AB54" s="721">
        <f t="shared" si="47"/>
        <v>719616</v>
      </c>
      <c r="AC54" s="719">
        <f t="shared" si="48"/>
        <v>4507068</v>
      </c>
      <c r="AD54" s="762" t="s">
        <v>95</v>
      </c>
    </row>
    <row r="55" spans="1:30" s="730" customFormat="1" ht="24.95" customHeight="1" outlineLevel="1">
      <c r="B55" s="54" t="s">
        <v>212</v>
      </c>
      <c r="C55" s="731" t="s">
        <v>178</v>
      </c>
      <c r="D55" s="764">
        <v>19</v>
      </c>
      <c r="E55" s="712">
        <f>E32</f>
        <v>1917242</v>
      </c>
      <c r="F55" s="732">
        <f t="shared" si="29"/>
        <v>36427598</v>
      </c>
      <c r="G55" s="733">
        <f t="shared" si="30"/>
        <v>0</v>
      </c>
      <c r="H55" s="733">
        <f t="shared" si="31"/>
        <v>0</v>
      </c>
      <c r="I55" s="733">
        <f t="shared" si="32"/>
        <v>4732805</v>
      </c>
      <c r="J55" s="732">
        <f t="shared" si="49"/>
        <v>41160403</v>
      </c>
      <c r="K55" s="733">
        <f t="shared" si="33"/>
        <v>1517938</v>
      </c>
      <c r="L55" s="733">
        <f t="shared" si="34"/>
        <v>3429896</v>
      </c>
      <c r="M55" s="733">
        <f t="shared" si="35"/>
        <v>3429896</v>
      </c>
      <c r="N55" s="733">
        <f t="shared" si="36"/>
        <v>411604</v>
      </c>
      <c r="O55" s="733">
        <f t="shared" si="37"/>
        <v>0</v>
      </c>
      <c r="P55" s="733">
        <f t="shared" si="38"/>
        <v>4371312</v>
      </c>
      <c r="Q55" s="734">
        <v>1.044E-2</v>
      </c>
      <c r="R55" s="733">
        <f t="shared" si="39"/>
        <v>380304</v>
      </c>
      <c r="S55" s="733">
        <f t="shared" si="40"/>
        <v>0</v>
      </c>
      <c r="T55" s="733">
        <f t="shared" si="41"/>
        <v>0</v>
      </c>
      <c r="U55" s="733">
        <f t="shared" si="42"/>
        <v>1457104</v>
      </c>
      <c r="V55" s="732">
        <f t="shared" si="43"/>
        <v>56158457</v>
      </c>
      <c r="W55" s="735">
        <f t="shared" si="44"/>
        <v>4492677</v>
      </c>
      <c r="X55" s="732">
        <f>IFERROR(ROUND(V55*10%,0),"")</f>
        <v>5615846</v>
      </c>
      <c r="Y55" s="732"/>
      <c r="Z55" s="732">
        <f>IFERROR(V55-X55+W55,"")</f>
        <v>55035288</v>
      </c>
      <c r="AA55" s="723">
        <f t="shared" si="46"/>
        <v>60651134</v>
      </c>
      <c r="AB55" s="736">
        <f>ROUND(X55*$AB$48,0)</f>
        <v>1067011</v>
      </c>
      <c r="AC55" s="732">
        <f t="shared" si="48"/>
        <v>61718145</v>
      </c>
      <c r="AD55" s="765" t="s">
        <v>95</v>
      </c>
    </row>
    <row r="56" spans="1:30" s="730" customFormat="1" ht="24.95" customHeight="1" outlineLevel="1">
      <c r="B56" s="54" t="s">
        <v>213</v>
      </c>
      <c r="C56" s="731" t="s">
        <v>180</v>
      </c>
      <c r="D56" s="110">
        <v>1</v>
      </c>
      <c r="E56" s="712">
        <f>E33</f>
        <v>2219582</v>
      </c>
      <c r="F56" s="732">
        <f t="shared" si="29"/>
        <v>2219582</v>
      </c>
      <c r="G56" s="733">
        <f t="shared" si="30"/>
        <v>0</v>
      </c>
      <c r="H56" s="733">
        <f t="shared" si="31"/>
        <v>0</v>
      </c>
      <c r="I56" s="733">
        <f t="shared" si="32"/>
        <v>249095</v>
      </c>
      <c r="J56" s="732">
        <f t="shared" si="49"/>
        <v>2468677</v>
      </c>
      <c r="K56" s="733">
        <f t="shared" si="33"/>
        <v>92490</v>
      </c>
      <c r="L56" s="733">
        <f t="shared" si="34"/>
        <v>205715</v>
      </c>
      <c r="M56" s="733">
        <f t="shared" si="35"/>
        <v>205715</v>
      </c>
      <c r="N56" s="733">
        <f t="shared" si="36"/>
        <v>24687</v>
      </c>
      <c r="O56" s="733">
        <f t="shared" si="37"/>
        <v>0</v>
      </c>
      <c r="P56" s="733">
        <f t="shared" si="38"/>
        <v>266350</v>
      </c>
      <c r="Q56" s="734">
        <v>2.436E-2</v>
      </c>
      <c r="R56" s="733">
        <f t="shared" si="39"/>
        <v>54069</v>
      </c>
      <c r="S56" s="733">
        <f t="shared" si="40"/>
        <v>0</v>
      </c>
      <c r="T56" s="733">
        <f t="shared" si="41"/>
        <v>0</v>
      </c>
      <c r="U56" s="733">
        <f t="shared" si="42"/>
        <v>88783</v>
      </c>
      <c r="V56" s="732">
        <f t="shared" si="43"/>
        <v>3406486</v>
      </c>
      <c r="W56" s="735">
        <f t="shared" si="44"/>
        <v>272519</v>
      </c>
      <c r="X56" s="732">
        <f>IFERROR(ROUND(V56*10%,0),"")</f>
        <v>340649</v>
      </c>
      <c r="Y56" s="732"/>
      <c r="Z56" s="732">
        <f>IFERROR(V56-X56+W56,"")</f>
        <v>3338356</v>
      </c>
      <c r="AA56" s="723">
        <f t="shared" si="46"/>
        <v>3679005</v>
      </c>
      <c r="AB56" s="736">
        <f>ROUND(X56*$AB$48,0)</f>
        <v>64723</v>
      </c>
      <c r="AC56" s="732">
        <f t="shared" si="48"/>
        <v>3743728</v>
      </c>
      <c r="AD56" s="765" t="s">
        <v>95</v>
      </c>
    </row>
    <row r="57" spans="1:30" s="10" customFormat="1" ht="24.95" customHeight="1" outlineLevel="1">
      <c r="B57" s="592" t="s">
        <v>191</v>
      </c>
      <c r="C57" s="593"/>
      <c r="D57" s="596"/>
      <c r="E57" s="766"/>
      <c r="F57" s="767"/>
      <c r="G57" s="767"/>
      <c r="H57" s="767"/>
      <c r="I57" s="767"/>
      <c r="J57" s="767"/>
      <c r="K57" s="767"/>
      <c r="L57" s="767"/>
      <c r="M57" s="767"/>
      <c r="N57" s="767"/>
      <c r="O57" s="767"/>
      <c r="P57" s="767"/>
      <c r="Q57" s="767"/>
      <c r="R57" s="767"/>
      <c r="S57" s="767"/>
      <c r="T57" s="767"/>
      <c r="U57" s="767"/>
      <c r="V57" s="767"/>
      <c r="W57" s="767"/>
      <c r="X57" s="767"/>
      <c r="Y57" s="767"/>
      <c r="Z57" s="767"/>
      <c r="AA57" s="768"/>
      <c r="AB57" s="767"/>
      <c r="AC57" s="767"/>
      <c r="AD57" s="769"/>
    </row>
    <row r="58" spans="1:30" s="64" customFormat="1" ht="24.95" customHeight="1" outlineLevel="1">
      <c r="B58" s="54" t="s">
        <v>214</v>
      </c>
      <c r="C58" s="81" t="s">
        <v>195</v>
      </c>
      <c r="D58" s="110">
        <v>1</v>
      </c>
      <c r="E58" s="712">
        <v>1917242</v>
      </c>
      <c r="F58" s="719">
        <f>E58*D58</f>
        <v>1917242</v>
      </c>
      <c r="G58" s="712">
        <f>IFERROR(ROUND(($F58/(42*30/6)*7)*$G$12*$G$48/$D$61,0),"")</f>
        <v>0</v>
      </c>
      <c r="H58" s="712">
        <f>IFERROR(ROUND(($F58/(42*30/6)*7)*$H$12*$H$48/$D$61,0),"")</f>
        <v>0</v>
      </c>
      <c r="I58" s="712">
        <f>IF(E58&gt;(1750905*2),0,$I$48*D58)</f>
        <v>249095</v>
      </c>
      <c r="J58" s="719">
        <f>IFERROR(SUM(F58:I58),"")</f>
        <v>2166337</v>
      </c>
      <c r="K58" s="712">
        <f>IFERROR(ROUND((J58-I58)*$K$48,0),"")</f>
        <v>79891</v>
      </c>
      <c r="L58" s="712">
        <f>IFERROR(ROUND((J58)*$L$48,0),"")</f>
        <v>180521</v>
      </c>
      <c r="M58" s="712">
        <f>IFERROR(ROUND((J58)*$M$48,0),"")</f>
        <v>180521</v>
      </c>
      <c r="N58" s="712">
        <f>IFERROR(ROUND((J58)*$N$48,0),"")</f>
        <v>21663</v>
      </c>
      <c r="O58" s="712">
        <f>IFERROR(ROUND((J58-I58)*$O$48,0),"")</f>
        <v>0</v>
      </c>
      <c r="P58" s="712">
        <f>IFERROR(ROUND((J58-I58)*$P$48,0),"")</f>
        <v>230069</v>
      </c>
      <c r="Q58" s="724">
        <v>1.044E-2</v>
      </c>
      <c r="R58" s="712">
        <f>ROUND((J58-I58)*Q58,0)</f>
        <v>20016</v>
      </c>
      <c r="S58" s="712">
        <f>IFERROR(ROUND((J58-I58)*$S$48,0),"")</f>
        <v>0</v>
      </c>
      <c r="T58" s="712">
        <f>IFERROR(ROUND((J58-I58)*$T$48,0),"")</f>
        <v>0</v>
      </c>
      <c r="U58" s="712">
        <f>ROUND((J58-I58)*$U$48,0)</f>
        <v>76690</v>
      </c>
      <c r="V58" s="719">
        <f>IFERROR(+J58+K58+L58+M58+N58+O58+P58+R58+S58+T58+U58,"")</f>
        <v>2955708</v>
      </c>
      <c r="W58" s="722">
        <f>IFERROR(ROUND(V58*$W$48,0),"")</f>
        <v>236457</v>
      </c>
      <c r="X58" s="719">
        <f>IFERROR(ROUND(V58*10%,0),"")</f>
        <v>295571</v>
      </c>
      <c r="Y58" s="719"/>
      <c r="Z58" s="719">
        <f>IFERROR(V58-X58+W58,"")</f>
        <v>2896594</v>
      </c>
      <c r="AA58" s="723">
        <f>IFERROR(V58+W58,"")</f>
        <v>3192165</v>
      </c>
      <c r="AB58" s="725">
        <f>IFERROR(ROUND(X58*$AB$48,0),"")</f>
        <v>56158</v>
      </c>
      <c r="AC58" s="719">
        <f>IFERROR(+AA58+AB58,"")</f>
        <v>3248323</v>
      </c>
      <c r="AD58" s="770" t="s">
        <v>13</v>
      </c>
    </row>
    <row r="59" spans="1:30" s="10" customFormat="1" ht="24.95" customHeight="1" outlineLevel="1">
      <c r="B59" s="594" t="s">
        <v>815</v>
      </c>
      <c r="C59" s="82" t="s">
        <v>197</v>
      </c>
      <c r="D59" s="496">
        <v>2</v>
      </c>
      <c r="E59" s="721">
        <v>2219582</v>
      </c>
      <c r="F59" s="727">
        <f>E59*D59</f>
        <v>4439164</v>
      </c>
      <c r="G59" s="721">
        <f>IFERROR(ROUND(($F59/(42*30/6)*7)*$G$12*$G$48/$D$61,0),"")</f>
        <v>0</v>
      </c>
      <c r="H59" s="721">
        <f>IFERROR(ROUND(($F59/(42*30/6)*7)*$H$12*$H$48/$D$61,0),"")</f>
        <v>0</v>
      </c>
      <c r="I59" s="721">
        <f>IF(E59&gt;(1750905*2),0,$I$48*D59)</f>
        <v>498190</v>
      </c>
      <c r="J59" s="727">
        <f>IFERROR(SUM(F59:I59),"")</f>
        <v>4937354</v>
      </c>
      <c r="K59" s="721">
        <f>IFERROR(ROUND((J59-I59)*$K$48,0),"")</f>
        <v>184980</v>
      </c>
      <c r="L59" s="721">
        <f>IFERROR(ROUND((J59)*$L$48,0),"")</f>
        <v>411430</v>
      </c>
      <c r="M59" s="721">
        <f>IFERROR(ROUND((J59)*$M$48,0),"")</f>
        <v>411430</v>
      </c>
      <c r="N59" s="721">
        <f>IFERROR(ROUND((J59)*$N$48,0),"")</f>
        <v>49374</v>
      </c>
      <c r="O59" s="721">
        <f>IFERROR(ROUND((J59-I59)*$O$48,0),"")</f>
        <v>0</v>
      </c>
      <c r="P59" s="721">
        <f>IFERROR(ROUND((J59-I59)*$P$48,0),"")</f>
        <v>532700</v>
      </c>
      <c r="Q59" s="720">
        <v>1.044E-2</v>
      </c>
      <c r="R59" s="721">
        <f>ROUND((J59-I59)*Q59,0)</f>
        <v>46345</v>
      </c>
      <c r="S59" s="721">
        <f>IFERROR(ROUND((J59-I59)*$S$48,0),"")</f>
        <v>0</v>
      </c>
      <c r="T59" s="721">
        <f>IFERROR(ROUND((J59-I59)*$T$48,0),"")</f>
        <v>0</v>
      </c>
      <c r="U59" s="721">
        <f>ROUND((J59-I59)*$U$48,0)</f>
        <v>177567</v>
      </c>
      <c r="V59" s="727">
        <f>IFERROR(+J59+K59+L59+M59+N59+O59+P59+R59+S59+T59+U59,"")</f>
        <v>6751180</v>
      </c>
      <c r="W59" s="722">
        <f>IFERROR(ROUND(V59*$W$48,0),"")</f>
        <v>540094</v>
      </c>
      <c r="X59" s="727"/>
      <c r="Y59" s="719">
        <f>IFERROR(V59+W59,"")</f>
        <v>7291274</v>
      </c>
      <c r="Z59" s="727"/>
      <c r="AA59" s="737">
        <f>IFERROR(V59+W59,"")</f>
        <v>7291274</v>
      </c>
      <c r="AB59" s="738">
        <f>IFERROR(ROUND((V59*10%)*$AB$48,0),"")</f>
        <v>128272</v>
      </c>
      <c r="AC59" s="727">
        <f>IFERROR(+AA59+AB59,"")</f>
        <v>7419546</v>
      </c>
      <c r="AD59" s="762" t="s">
        <v>13</v>
      </c>
    </row>
    <row r="60" spans="1:30" s="10" customFormat="1" ht="43.5" customHeight="1">
      <c r="B60" s="83" t="s">
        <v>200</v>
      </c>
      <c r="C60" s="771" t="s">
        <v>215</v>
      </c>
      <c r="D60" s="739">
        <f t="shared" ref="D60:P60" si="50">SUM(D49:D59)</f>
        <v>30</v>
      </c>
      <c r="E60" s="740">
        <f t="shared" si="50"/>
        <v>28311166</v>
      </c>
      <c r="F60" s="741">
        <f t="shared" si="50"/>
        <v>67260686</v>
      </c>
      <c r="G60" s="741">
        <f t="shared" si="50"/>
        <v>0</v>
      </c>
      <c r="H60" s="741">
        <f t="shared" si="50"/>
        <v>0</v>
      </c>
      <c r="I60" s="741">
        <f t="shared" si="50"/>
        <v>7223755</v>
      </c>
      <c r="J60" s="741">
        <f t="shared" si="50"/>
        <v>74484441</v>
      </c>
      <c r="K60" s="741">
        <f t="shared" si="50"/>
        <v>2802752</v>
      </c>
      <c r="L60" s="741">
        <f t="shared" si="50"/>
        <v>6206790</v>
      </c>
      <c r="M60" s="741">
        <f t="shared" si="50"/>
        <v>6206790</v>
      </c>
      <c r="N60" s="741">
        <f t="shared" si="50"/>
        <v>744846</v>
      </c>
      <c r="O60" s="741">
        <f t="shared" si="50"/>
        <v>0</v>
      </c>
      <c r="P60" s="741">
        <f t="shared" si="50"/>
        <v>8071285</v>
      </c>
      <c r="Q60" s="741"/>
      <c r="R60" s="741">
        <f t="shared" ref="R60:AC60" si="51">SUM(R49:R59)</f>
        <v>1556363</v>
      </c>
      <c r="S60" s="741">
        <f t="shared" si="51"/>
        <v>0</v>
      </c>
      <c r="T60" s="741">
        <f t="shared" si="51"/>
        <v>0</v>
      </c>
      <c r="U60" s="741">
        <f t="shared" si="51"/>
        <v>2690429</v>
      </c>
      <c r="V60" s="741">
        <f t="shared" si="51"/>
        <v>102763696</v>
      </c>
      <c r="W60" s="741">
        <f t="shared" si="51"/>
        <v>8221096</v>
      </c>
      <c r="X60" s="741">
        <f t="shared" si="51"/>
        <v>6252066</v>
      </c>
      <c r="Y60" s="741">
        <f t="shared" si="51"/>
        <v>43462488</v>
      </c>
      <c r="Z60" s="741">
        <f t="shared" si="51"/>
        <v>61270238</v>
      </c>
      <c r="AA60" s="743">
        <f t="shared" si="51"/>
        <v>110984792</v>
      </c>
      <c r="AB60" s="741">
        <f t="shared" si="51"/>
        <v>8188695</v>
      </c>
      <c r="AC60" s="741">
        <f t="shared" si="51"/>
        <v>119173487</v>
      </c>
      <c r="AD60" s="772" t="s">
        <v>95</v>
      </c>
    </row>
    <row r="61" spans="1:30" s="10" customFormat="1" ht="48.75" customHeight="1">
      <c r="B61" s="85" t="s">
        <v>200</v>
      </c>
      <c r="C61" s="773" t="s">
        <v>216</v>
      </c>
      <c r="D61" s="748">
        <f>D44</f>
        <v>2</v>
      </c>
      <c r="E61" s="749">
        <f>+E60*$D$61</f>
        <v>56622332</v>
      </c>
      <c r="F61" s="750">
        <f t="shared" ref="F61:P61" si="52">ROUND(+F60*$D$61,0)</f>
        <v>134521372</v>
      </c>
      <c r="G61" s="750">
        <f t="shared" si="52"/>
        <v>0</v>
      </c>
      <c r="H61" s="750">
        <f t="shared" si="52"/>
        <v>0</v>
      </c>
      <c r="I61" s="750">
        <f t="shared" si="52"/>
        <v>14447510</v>
      </c>
      <c r="J61" s="750">
        <f t="shared" si="52"/>
        <v>148968882</v>
      </c>
      <c r="K61" s="750">
        <f t="shared" si="52"/>
        <v>5605504</v>
      </c>
      <c r="L61" s="750">
        <f t="shared" si="52"/>
        <v>12413580</v>
      </c>
      <c r="M61" s="750">
        <f t="shared" si="52"/>
        <v>12413580</v>
      </c>
      <c r="N61" s="750">
        <f t="shared" si="52"/>
        <v>1489692</v>
      </c>
      <c r="O61" s="750">
        <f t="shared" si="52"/>
        <v>0</v>
      </c>
      <c r="P61" s="750">
        <f t="shared" si="52"/>
        <v>16142570</v>
      </c>
      <c r="Q61" s="750"/>
      <c r="R61" s="750">
        <f t="shared" ref="R61:AC61" si="53">ROUND(+R60*$D$61,0)</f>
        <v>3112726</v>
      </c>
      <c r="S61" s="750">
        <f t="shared" si="53"/>
        <v>0</v>
      </c>
      <c r="T61" s="750">
        <f t="shared" si="53"/>
        <v>0</v>
      </c>
      <c r="U61" s="750">
        <f t="shared" si="53"/>
        <v>5380858</v>
      </c>
      <c r="V61" s="774">
        <f t="shared" si="53"/>
        <v>205527392</v>
      </c>
      <c r="W61" s="750">
        <f t="shared" si="53"/>
        <v>16442192</v>
      </c>
      <c r="X61" s="750">
        <f t="shared" si="53"/>
        <v>12504132</v>
      </c>
      <c r="Y61" s="750">
        <f t="shared" si="53"/>
        <v>86924976</v>
      </c>
      <c r="Z61" s="750">
        <f t="shared" si="53"/>
        <v>122540476</v>
      </c>
      <c r="AA61" s="752">
        <f t="shared" si="53"/>
        <v>221969584</v>
      </c>
      <c r="AB61" s="750">
        <f t="shared" si="53"/>
        <v>16377390</v>
      </c>
      <c r="AC61" s="750">
        <f t="shared" si="53"/>
        <v>238346974</v>
      </c>
      <c r="AD61" s="775" t="s">
        <v>95</v>
      </c>
    </row>
    <row r="62" spans="1:30" s="10" customFormat="1" ht="21" customHeight="1">
      <c r="A62" s="64"/>
      <c r="B62" s="64"/>
      <c r="C62" s="64"/>
      <c r="D62" s="64"/>
      <c r="E62" s="776"/>
      <c r="F62" s="777"/>
      <c r="G62" s="777"/>
      <c r="H62" s="778"/>
      <c r="I62" s="777"/>
      <c r="J62" s="779"/>
      <c r="K62" s="779"/>
      <c r="L62" s="779"/>
      <c r="M62" s="776"/>
      <c r="N62" s="776"/>
      <c r="O62" s="776"/>
      <c r="P62" s="780"/>
      <c r="Q62" s="780"/>
      <c r="R62" s="776"/>
      <c r="S62" s="776"/>
      <c r="T62" s="776"/>
      <c r="U62" s="776"/>
      <c r="V62" s="776"/>
      <c r="W62" s="777"/>
      <c r="X62" s="776"/>
      <c r="Y62" s="777"/>
      <c r="Z62" s="777"/>
      <c r="AA62" s="781" t="s">
        <v>649</v>
      </c>
      <c r="AB62" s="782"/>
      <c r="AC62" s="782" t="s">
        <v>649</v>
      </c>
    </row>
    <row r="63" spans="1:30" s="10" customFormat="1" ht="96" customHeight="1">
      <c r="A63" s="64"/>
      <c r="B63" s="622">
        <v>1</v>
      </c>
      <c r="C63" s="248" t="s">
        <v>217</v>
      </c>
      <c r="D63" s="23">
        <f>+D60+D42</f>
        <v>131</v>
      </c>
      <c r="E63" s="783">
        <f t="shared" ref="E63:P63" si="54">+E61+E44</f>
        <v>219989722</v>
      </c>
      <c r="F63" s="784">
        <f t="shared" si="54"/>
        <v>637557874</v>
      </c>
      <c r="G63" s="784">
        <f t="shared" si="54"/>
        <v>67909926</v>
      </c>
      <c r="H63" s="784">
        <f t="shared" si="54"/>
        <v>63717956</v>
      </c>
      <c r="I63" s="784">
        <f t="shared" si="54"/>
        <v>62273750</v>
      </c>
      <c r="J63" s="784">
        <f t="shared" si="54"/>
        <v>831459506</v>
      </c>
      <c r="K63" s="784">
        <f t="shared" si="54"/>
        <v>32051966</v>
      </c>
      <c r="L63" s="784">
        <f t="shared" si="54"/>
        <v>69285522</v>
      </c>
      <c r="M63" s="784">
        <f t="shared" si="54"/>
        <v>69285522</v>
      </c>
      <c r="N63" s="784">
        <f t="shared" si="54"/>
        <v>8314606</v>
      </c>
      <c r="O63" s="784">
        <f t="shared" si="54"/>
        <v>0</v>
      </c>
      <c r="P63" s="784">
        <f t="shared" si="54"/>
        <v>92302298</v>
      </c>
      <c r="Q63" s="784"/>
      <c r="R63" s="784">
        <f t="shared" ref="R63:AC63" si="55">+R61+R44</f>
        <v>26384640</v>
      </c>
      <c r="S63" s="784">
        <f t="shared" si="55"/>
        <v>0</v>
      </c>
      <c r="T63" s="784">
        <f t="shared" si="55"/>
        <v>0</v>
      </c>
      <c r="U63" s="784">
        <f t="shared" si="55"/>
        <v>30767436</v>
      </c>
      <c r="V63" s="785">
        <f t="shared" si="55"/>
        <v>1159851496</v>
      </c>
      <c r="W63" s="784">
        <f t="shared" si="55"/>
        <v>92788118</v>
      </c>
      <c r="X63" s="784">
        <f t="shared" si="55"/>
        <v>50406292</v>
      </c>
      <c r="Y63" s="784">
        <f t="shared" si="55"/>
        <v>708251710</v>
      </c>
      <c r="Z63" s="784">
        <f t="shared" si="55"/>
        <v>493981612</v>
      </c>
      <c r="AA63" s="786">
        <f t="shared" si="55"/>
        <v>1252639614</v>
      </c>
      <c r="AB63" s="787">
        <f t="shared" si="55"/>
        <v>141630878</v>
      </c>
      <c r="AC63" s="787">
        <f t="shared" si="55"/>
        <v>1394270492</v>
      </c>
      <c r="AD63" s="60" t="s">
        <v>95</v>
      </c>
    </row>
    <row r="64" spans="1:30" s="10" customFormat="1" ht="10.5" customHeight="1">
      <c r="A64" s="64"/>
      <c r="B64" s="64"/>
      <c r="C64" s="64"/>
      <c r="D64" s="64"/>
      <c r="E64" s="776"/>
      <c r="F64" s="777"/>
      <c r="G64" s="777"/>
      <c r="H64" s="778"/>
      <c r="I64" s="777"/>
      <c r="J64" s="779"/>
      <c r="K64" s="779"/>
      <c r="L64" s="779"/>
      <c r="M64" s="776"/>
      <c r="N64" s="776"/>
      <c r="O64" s="776"/>
      <c r="P64" s="780"/>
      <c r="Q64" s="780"/>
      <c r="R64" s="776"/>
      <c r="S64" s="776"/>
      <c r="T64" s="776"/>
      <c r="U64" s="776"/>
      <c r="V64" s="776"/>
      <c r="W64" s="777"/>
      <c r="X64" s="776"/>
      <c r="Y64" s="777"/>
      <c r="Z64" s="777"/>
      <c r="AA64" s="781"/>
      <c r="AB64" s="782"/>
      <c r="AC64" s="782"/>
    </row>
    <row r="65" spans="1:30" ht="26.25" customHeight="1">
      <c r="E65" s="788"/>
      <c r="F65" s="788"/>
      <c r="G65" s="788"/>
      <c r="H65" s="788"/>
      <c r="I65" s="788"/>
      <c r="J65" s="788"/>
      <c r="K65" s="788"/>
      <c r="L65" s="789"/>
      <c r="M65" s="789"/>
      <c r="N65" s="788" t="s">
        <v>316</v>
      </c>
      <c r="O65" s="789"/>
      <c r="P65" s="788"/>
      <c r="Q65" s="788"/>
      <c r="R65" s="788"/>
      <c r="S65" s="788"/>
      <c r="T65" s="790"/>
      <c r="U65" s="790"/>
      <c r="V65" s="790"/>
      <c r="W65" s="788"/>
      <c r="X65" s="788"/>
      <c r="Y65" s="788"/>
      <c r="Z65" s="788"/>
      <c r="AA65" s="791"/>
      <c r="AB65" s="790"/>
      <c r="AC65" s="790"/>
    </row>
    <row r="66" spans="1:30" ht="36" customHeight="1">
      <c r="B66" s="73">
        <v>2</v>
      </c>
      <c r="C66" s="121" t="s">
        <v>218</v>
      </c>
      <c r="D66" s="122"/>
      <c r="E66" s="122"/>
      <c r="F66" s="122"/>
      <c r="G66" s="122"/>
      <c r="H66" s="122"/>
      <c r="I66" s="122"/>
      <c r="J66" s="122"/>
      <c r="K66" s="122"/>
      <c r="L66" s="122"/>
      <c r="M66" s="122"/>
      <c r="N66" s="122"/>
      <c r="O66" s="122"/>
      <c r="P66" s="122"/>
      <c r="Q66" s="122"/>
      <c r="R66" s="122"/>
      <c r="S66" s="122"/>
      <c r="T66" s="122"/>
      <c r="U66" s="122"/>
      <c r="V66" s="123"/>
      <c r="AC66" s="1"/>
      <c r="AD66" s="1"/>
    </row>
    <row r="67" spans="1:30" ht="17.25" customHeight="1">
      <c r="B67" s="51" t="s">
        <v>219</v>
      </c>
      <c r="C67" s="48" t="s">
        <v>220</v>
      </c>
      <c r="D67" s="49"/>
      <c r="E67" s="49"/>
      <c r="F67" s="49"/>
      <c r="G67" s="49"/>
      <c r="H67" s="49"/>
      <c r="I67" s="49"/>
      <c r="J67" s="49"/>
      <c r="K67" s="49"/>
      <c r="L67" s="49"/>
      <c r="M67" s="49"/>
      <c r="N67" s="49"/>
      <c r="O67" s="49"/>
      <c r="P67" s="49"/>
      <c r="Q67" s="49"/>
      <c r="R67" s="49"/>
      <c r="S67" s="49"/>
      <c r="T67" s="49"/>
      <c r="U67" s="49"/>
      <c r="V67" s="50"/>
      <c r="AC67" s="1"/>
      <c r="AD67" s="1"/>
    </row>
    <row r="68" spans="1:30" ht="40.5" customHeight="1">
      <c r="B68" s="961" t="s">
        <v>29</v>
      </c>
      <c r="C68" s="124" t="s">
        <v>221</v>
      </c>
      <c r="D68" s="125"/>
      <c r="E68" s="125"/>
      <c r="F68" s="125"/>
      <c r="G68" s="125"/>
      <c r="H68" s="126"/>
      <c r="I68" s="22" t="s">
        <v>222</v>
      </c>
      <c r="J68" s="22" t="s">
        <v>223</v>
      </c>
      <c r="K68" s="22" t="s">
        <v>224</v>
      </c>
      <c r="L68" s="22" t="s">
        <v>224</v>
      </c>
      <c r="M68" s="5" t="s">
        <v>225</v>
      </c>
      <c r="N68" s="89" t="s">
        <v>226</v>
      </c>
      <c r="O68" s="89" t="s">
        <v>227</v>
      </c>
      <c r="P68" s="89" t="s">
        <v>134</v>
      </c>
      <c r="Q68" s="89" t="s">
        <v>135</v>
      </c>
      <c r="R68" s="89" t="s">
        <v>136</v>
      </c>
      <c r="S68" s="89" t="s">
        <v>228</v>
      </c>
      <c r="T68" s="5" t="s">
        <v>229</v>
      </c>
      <c r="U68" s="5" t="s">
        <v>230</v>
      </c>
      <c r="V68" s="962" t="s">
        <v>9</v>
      </c>
      <c r="AC68" s="1"/>
      <c r="AD68" s="1"/>
    </row>
    <row r="69" spans="1:30" ht="17.25" customHeight="1">
      <c r="B69" s="961"/>
      <c r="C69" s="127"/>
      <c r="D69" s="128"/>
      <c r="E69" s="128"/>
      <c r="F69" s="128"/>
      <c r="G69" s="128"/>
      <c r="H69" s="129"/>
      <c r="I69" s="22" t="s">
        <v>231</v>
      </c>
      <c r="J69" s="22" t="s">
        <v>232</v>
      </c>
      <c r="K69" s="22" t="s">
        <v>233</v>
      </c>
      <c r="L69" s="23" t="s">
        <v>234</v>
      </c>
      <c r="M69" s="801">
        <f>8%</f>
        <v>0.08</v>
      </c>
      <c r="N69" s="23" t="s">
        <v>235</v>
      </c>
      <c r="O69" s="14">
        <v>0.19</v>
      </c>
      <c r="P69" s="14"/>
      <c r="Q69" s="14"/>
      <c r="R69" s="14"/>
      <c r="S69" s="14">
        <v>0.19</v>
      </c>
      <c r="T69" s="23" t="s">
        <v>236</v>
      </c>
      <c r="U69" s="23" t="s">
        <v>237</v>
      </c>
      <c r="V69" s="962"/>
      <c r="AC69" s="1"/>
      <c r="AD69" s="1"/>
    </row>
    <row r="70" spans="1:30" ht="17.25" customHeight="1">
      <c r="B70" s="75" t="s">
        <v>238</v>
      </c>
      <c r="C70" s="802" t="s">
        <v>239</v>
      </c>
      <c r="D70" s="803"/>
      <c r="E70" s="58"/>
      <c r="F70" s="58"/>
      <c r="G70" s="58"/>
      <c r="H70" s="58"/>
      <c r="I70" s="58"/>
      <c r="J70" s="58"/>
      <c r="K70" s="58"/>
      <c r="L70" s="58"/>
      <c r="M70" s="58"/>
      <c r="N70" s="58"/>
      <c r="O70" s="58"/>
      <c r="P70" s="58"/>
      <c r="Q70" s="58"/>
      <c r="R70" s="58"/>
      <c r="S70" s="58"/>
      <c r="T70" s="58"/>
      <c r="U70" s="58"/>
      <c r="V70" s="76"/>
      <c r="AC70" s="1"/>
      <c r="AD70" s="1"/>
    </row>
    <row r="71" spans="1:30" ht="12.75" outlineLevel="1">
      <c r="A71" s="1">
        <v>3</v>
      </c>
      <c r="B71" s="57" t="s">
        <v>240</v>
      </c>
      <c r="C71" s="130" t="s">
        <v>241</v>
      </c>
      <c r="D71" s="131"/>
      <c r="E71" s="131"/>
      <c r="F71" s="131"/>
      <c r="G71" s="131"/>
      <c r="H71" s="132"/>
      <c r="I71" s="706">
        <v>1</v>
      </c>
      <c r="J71" s="852"/>
      <c r="K71" s="804">
        <f t="shared" ref="K71:K75" si="56">ROUND(I71*J71,0)</f>
        <v>0</v>
      </c>
      <c r="L71" s="805">
        <f t="shared" ref="L71:L79" si="57">+K71</f>
        <v>0</v>
      </c>
      <c r="M71" s="805">
        <f>ROUND(L71*$M$69,0)</f>
        <v>0</v>
      </c>
      <c r="N71" s="737">
        <f t="shared" ref="N71:N79" si="58">+L71+M71</f>
        <v>0</v>
      </c>
      <c r="O71" s="721">
        <f>ROUND(L71*$O$69,0)</f>
        <v>0</v>
      </c>
      <c r="P71" s="721"/>
      <c r="Q71" s="719">
        <f>IFERROR(L71+M71,"")</f>
        <v>0</v>
      </c>
      <c r="R71" s="806"/>
      <c r="S71" s="721">
        <f>ROUND(M71*$S$69,0)</f>
        <v>0</v>
      </c>
      <c r="T71" s="807">
        <f>+O71+S71</f>
        <v>0</v>
      </c>
      <c r="U71" s="807">
        <f t="shared" ref="U71:U79" si="59">+N71+T71</f>
        <v>0</v>
      </c>
      <c r="V71" s="7" t="s">
        <v>16</v>
      </c>
      <c r="X71" s="808"/>
      <c r="AC71" s="1"/>
      <c r="AD71" s="1"/>
    </row>
    <row r="72" spans="1:30" s="3" customFormat="1" ht="12.75" outlineLevel="1">
      <c r="A72" s="3">
        <v>5</v>
      </c>
      <c r="B72" s="809" t="s">
        <v>242</v>
      </c>
      <c r="C72" s="810" t="s">
        <v>243</v>
      </c>
      <c r="D72" s="811"/>
      <c r="E72" s="811"/>
      <c r="F72" s="811"/>
      <c r="G72" s="811"/>
      <c r="H72" s="812"/>
      <c r="I72" s="706">
        <v>2</v>
      </c>
      <c r="J72" s="852"/>
      <c r="K72" s="813">
        <f t="shared" si="56"/>
        <v>0</v>
      </c>
      <c r="L72" s="814">
        <f t="shared" si="57"/>
        <v>0</v>
      </c>
      <c r="M72" s="805">
        <f t="shared" ref="M72:M79" si="60">ROUND(L72*$M$69,0)</f>
        <v>0</v>
      </c>
      <c r="N72" s="723">
        <f t="shared" si="58"/>
        <v>0</v>
      </c>
      <c r="O72" s="721">
        <f>ROUND(L72*10%*$O$69,0)</f>
        <v>0</v>
      </c>
      <c r="P72" s="719">
        <f>ROUND(N72*10%,0)</f>
        <v>0</v>
      </c>
      <c r="Q72" s="719"/>
      <c r="R72" s="815">
        <f>IFERROR(N72-P72,"")</f>
        <v>0</v>
      </c>
      <c r="S72" s="721">
        <f>ROUND(M72*10%*$S$69,0)</f>
        <v>0</v>
      </c>
      <c r="T72" s="816">
        <f>+O72+S72</f>
        <v>0</v>
      </c>
      <c r="U72" s="816">
        <f t="shared" si="59"/>
        <v>0</v>
      </c>
      <c r="V72" s="726" t="s">
        <v>16</v>
      </c>
      <c r="X72" s="808"/>
    </row>
    <row r="73" spans="1:30" s="3" customFormat="1" ht="12.75" outlineLevel="1">
      <c r="A73" s="3">
        <v>7</v>
      </c>
      <c r="B73" s="809" t="s">
        <v>245</v>
      </c>
      <c r="C73" s="810" t="s">
        <v>244</v>
      </c>
      <c r="D73" s="811"/>
      <c r="E73" s="811"/>
      <c r="F73" s="811"/>
      <c r="G73" s="811"/>
      <c r="H73" s="812"/>
      <c r="I73" s="706">
        <v>2</v>
      </c>
      <c r="J73" s="852"/>
      <c r="K73" s="813">
        <f t="shared" si="56"/>
        <v>0</v>
      </c>
      <c r="L73" s="814">
        <f t="shared" si="57"/>
        <v>0</v>
      </c>
      <c r="M73" s="805">
        <f t="shared" si="60"/>
        <v>0</v>
      </c>
      <c r="N73" s="723">
        <f t="shared" si="58"/>
        <v>0</v>
      </c>
      <c r="O73" s="721">
        <f t="shared" ref="O73:O75" si="61">ROUND(L73*10%*$O$69,0)</f>
        <v>0</v>
      </c>
      <c r="P73" s="719">
        <f>ROUND(N73*10%,0)</f>
        <v>0</v>
      </c>
      <c r="Q73" s="719"/>
      <c r="R73" s="815">
        <f>IFERROR(N73-P73,"")</f>
        <v>0</v>
      </c>
      <c r="S73" s="721">
        <f t="shared" ref="S73:S75" si="62">ROUND(M73*10%*$S$69,0)</f>
        <v>0</v>
      </c>
      <c r="T73" s="816">
        <f t="shared" ref="T73:T75" si="63">+O73+S73</f>
        <v>0</v>
      </c>
      <c r="U73" s="816">
        <f t="shared" si="59"/>
        <v>0</v>
      </c>
      <c r="V73" s="726" t="s">
        <v>21</v>
      </c>
      <c r="X73" s="808"/>
    </row>
    <row r="74" spans="1:30" s="3" customFormat="1" ht="12.75" outlineLevel="1">
      <c r="A74" s="3">
        <v>7</v>
      </c>
      <c r="B74" s="809" t="s">
        <v>247</v>
      </c>
      <c r="C74" s="810" t="s">
        <v>246</v>
      </c>
      <c r="D74" s="811"/>
      <c r="E74" s="811"/>
      <c r="F74" s="811"/>
      <c r="G74" s="811"/>
      <c r="H74" s="812"/>
      <c r="I74" s="706">
        <v>1</v>
      </c>
      <c r="J74" s="852"/>
      <c r="K74" s="813">
        <f t="shared" si="56"/>
        <v>0</v>
      </c>
      <c r="L74" s="814">
        <f t="shared" si="57"/>
        <v>0</v>
      </c>
      <c r="M74" s="805">
        <f t="shared" si="60"/>
        <v>0</v>
      </c>
      <c r="N74" s="723">
        <f t="shared" si="58"/>
        <v>0</v>
      </c>
      <c r="O74" s="721">
        <f t="shared" si="61"/>
        <v>0</v>
      </c>
      <c r="P74" s="719">
        <f>ROUND(N74*10%,0)</f>
        <v>0</v>
      </c>
      <c r="Q74" s="719"/>
      <c r="R74" s="815">
        <f>IFERROR(N74-P74,"")</f>
        <v>0</v>
      </c>
      <c r="S74" s="721">
        <f t="shared" si="62"/>
        <v>0</v>
      </c>
      <c r="T74" s="816">
        <f t="shared" si="63"/>
        <v>0</v>
      </c>
      <c r="U74" s="816">
        <f>+N74+T74</f>
        <v>0</v>
      </c>
      <c r="V74" s="726" t="s">
        <v>21</v>
      </c>
      <c r="X74" s="808"/>
    </row>
    <row r="75" spans="1:30" s="3" customFormat="1" ht="12.75" outlineLevel="1">
      <c r="A75" s="3">
        <v>7</v>
      </c>
      <c r="B75" s="809" t="s">
        <v>252</v>
      </c>
      <c r="C75" s="810" t="s">
        <v>248</v>
      </c>
      <c r="D75" s="811"/>
      <c r="E75" s="811"/>
      <c r="F75" s="811"/>
      <c r="G75" s="811"/>
      <c r="H75" s="812"/>
      <c r="I75" s="706">
        <v>1</v>
      </c>
      <c r="J75" s="852"/>
      <c r="K75" s="813">
        <f t="shared" si="56"/>
        <v>0</v>
      </c>
      <c r="L75" s="814">
        <f t="shared" si="57"/>
        <v>0</v>
      </c>
      <c r="M75" s="805">
        <f t="shared" si="60"/>
        <v>0</v>
      </c>
      <c r="N75" s="723">
        <f t="shared" si="58"/>
        <v>0</v>
      </c>
      <c r="O75" s="721">
        <f t="shared" si="61"/>
        <v>0</v>
      </c>
      <c r="P75" s="719">
        <f>ROUND(N75*10%,0)</f>
        <v>0</v>
      </c>
      <c r="Q75" s="719"/>
      <c r="R75" s="815">
        <f>IFERROR(N75-P75,"")</f>
        <v>0</v>
      </c>
      <c r="S75" s="721">
        <f t="shared" si="62"/>
        <v>0</v>
      </c>
      <c r="T75" s="816">
        <f t="shared" si="63"/>
        <v>0</v>
      </c>
      <c r="U75" s="816">
        <f t="shared" si="59"/>
        <v>0</v>
      </c>
      <c r="V75" s="726" t="s">
        <v>21</v>
      </c>
      <c r="X75" s="808"/>
    </row>
    <row r="76" spans="1:30" ht="12.75" outlineLevel="1">
      <c r="A76" s="1">
        <v>7</v>
      </c>
      <c r="B76" s="57" t="s">
        <v>651</v>
      </c>
      <c r="C76" s="130" t="s">
        <v>250</v>
      </c>
      <c r="D76" s="131"/>
      <c r="E76" s="131"/>
      <c r="F76" s="131"/>
      <c r="G76" s="131"/>
      <c r="H76" s="132"/>
      <c r="I76" s="706">
        <v>2</v>
      </c>
      <c r="J76" s="852"/>
      <c r="K76" s="804">
        <f>ROUND(I76*J76,0)</f>
        <v>0</v>
      </c>
      <c r="L76" s="805">
        <f t="shared" si="57"/>
        <v>0</v>
      </c>
      <c r="M76" s="805">
        <f t="shared" si="60"/>
        <v>0</v>
      </c>
      <c r="N76" s="737">
        <f t="shared" si="58"/>
        <v>0</v>
      </c>
      <c r="O76" s="721">
        <f>ROUND(L76*$O$69,0)</f>
        <v>0</v>
      </c>
      <c r="P76" s="721"/>
      <c r="Q76" s="719">
        <f>IFERROR(L76+M76,"")</f>
        <v>0</v>
      </c>
      <c r="R76" s="806"/>
      <c r="S76" s="721">
        <f t="shared" ref="S76:S79" si="64">ROUND(M76*$S$69,0)</f>
        <v>0</v>
      </c>
      <c r="T76" s="807">
        <f>+O76+S76</f>
        <v>0</v>
      </c>
      <c r="U76" s="807">
        <f t="shared" si="59"/>
        <v>0</v>
      </c>
      <c r="V76" s="7" t="s">
        <v>21</v>
      </c>
      <c r="X76" s="808"/>
      <c r="AC76" s="1"/>
      <c r="AD76" s="1"/>
    </row>
    <row r="77" spans="1:30" ht="12.75" outlineLevel="1">
      <c r="A77" s="1">
        <v>7</v>
      </c>
      <c r="B77" s="57" t="s">
        <v>653</v>
      </c>
      <c r="C77" s="130" t="s">
        <v>251</v>
      </c>
      <c r="D77" s="131"/>
      <c r="E77" s="131"/>
      <c r="F77" s="131"/>
      <c r="G77" s="131"/>
      <c r="H77" s="132"/>
      <c r="I77" s="706">
        <v>1</v>
      </c>
      <c r="J77" s="852"/>
      <c r="K77" s="804">
        <f>ROUND(I77*J77,0)</f>
        <v>0</v>
      </c>
      <c r="L77" s="805">
        <f t="shared" si="57"/>
        <v>0</v>
      </c>
      <c r="M77" s="805">
        <f t="shared" si="60"/>
        <v>0</v>
      </c>
      <c r="N77" s="737">
        <f t="shared" si="58"/>
        <v>0</v>
      </c>
      <c r="O77" s="721">
        <f t="shared" ref="O77:O79" si="65">ROUND(L77*$O$69,0)</f>
        <v>0</v>
      </c>
      <c r="P77" s="721"/>
      <c r="Q77" s="719">
        <f>IFERROR(L77+M77,"")</f>
        <v>0</v>
      </c>
      <c r="R77" s="806"/>
      <c r="S77" s="721">
        <f t="shared" si="64"/>
        <v>0</v>
      </c>
      <c r="T77" s="807">
        <f>+O77+S77</f>
        <v>0</v>
      </c>
      <c r="U77" s="807">
        <f>+N77+T77</f>
        <v>0</v>
      </c>
      <c r="V77" s="7" t="s">
        <v>21</v>
      </c>
      <c r="X77" s="808"/>
      <c r="AC77" s="1"/>
      <c r="AD77" s="1"/>
    </row>
    <row r="78" spans="1:30" ht="12.75" outlineLevel="1">
      <c r="A78" s="1">
        <v>7</v>
      </c>
      <c r="B78" s="57" t="s">
        <v>655</v>
      </c>
      <c r="C78" s="130" t="s">
        <v>253</v>
      </c>
      <c r="D78" s="131"/>
      <c r="E78" s="131"/>
      <c r="F78" s="131"/>
      <c r="G78" s="131"/>
      <c r="H78" s="132"/>
      <c r="I78" s="706">
        <v>2</v>
      </c>
      <c r="J78" s="852"/>
      <c r="K78" s="804">
        <f>ROUND(I78*J78,0)</f>
        <v>0</v>
      </c>
      <c r="L78" s="805">
        <f t="shared" si="57"/>
        <v>0</v>
      </c>
      <c r="M78" s="805">
        <f t="shared" si="60"/>
        <v>0</v>
      </c>
      <c r="N78" s="737">
        <f t="shared" si="58"/>
        <v>0</v>
      </c>
      <c r="O78" s="721">
        <f t="shared" si="65"/>
        <v>0</v>
      </c>
      <c r="P78" s="721"/>
      <c r="Q78" s="719">
        <f>IFERROR(L78+M78,"")</f>
        <v>0</v>
      </c>
      <c r="R78" s="806"/>
      <c r="S78" s="721">
        <f t="shared" si="64"/>
        <v>0</v>
      </c>
      <c r="T78" s="807">
        <f>+O78+S78</f>
        <v>0</v>
      </c>
      <c r="U78" s="807">
        <f t="shared" si="59"/>
        <v>0</v>
      </c>
      <c r="V78" s="7" t="s">
        <v>21</v>
      </c>
      <c r="X78" s="808"/>
      <c r="AC78" s="1"/>
      <c r="AD78" s="1"/>
    </row>
    <row r="79" spans="1:30" ht="12.75" outlineLevel="1">
      <c r="A79" s="1">
        <v>7</v>
      </c>
      <c r="B79" s="57" t="s">
        <v>799</v>
      </c>
      <c r="C79" s="130" t="s">
        <v>254</v>
      </c>
      <c r="D79" s="131"/>
      <c r="E79" s="131"/>
      <c r="F79" s="131"/>
      <c r="G79" s="131"/>
      <c r="H79" s="132"/>
      <c r="I79" s="706">
        <v>1</v>
      </c>
      <c r="J79" s="852"/>
      <c r="K79" s="804">
        <f>ROUND(I79*J79,0)</f>
        <v>0</v>
      </c>
      <c r="L79" s="805">
        <f t="shared" si="57"/>
        <v>0</v>
      </c>
      <c r="M79" s="805">
        <f t="shared" si="60"/>
        <v>0</v>
      </c>
      <c r="N79" s="737">
        <f t="shared" si="58"/>
        <v>0</v>
      </c>
      <c r="O79" s="721">
        <f t="shared" si="65"/>
        <v>0</v>
      </c>
      <c r="P79" s="721"/>
      <c r="Q79" s="719">
        <f>IFERROR(L79+M79,"")</f>
        <v>0</v>
      </c>
      <c r="R79" s="806"/>
      <c r="S79" s="721">
        <f t="shared" si="64"/>
        <v>0</v>
      </c>
      <c r="T79" s="807">
        <f>+O79+S79</f>
        <v>0</v>
      </c>
      <c r="U79" s="807">
        <f t="shared" si="59"/>
        <v>0</v>
      </c>
      <c r="V79" s="7" t="s">
        <v>21</v>
      </c>
      <c r="X79" s="808"/>
      <c r="AC79" s="1"/>
      <c r="AD79" s="1"/>
    </row>
    <row r="80" spans="1:30" ht="12.75" outlineLevel="1">
      <c r="B80" s="74" t="s">
        <v>238</v>
      </c>
      <c r="C80" s="963" t="s">
        <v>255</v>
      </c>
      <c r="D80" s="964"/>
      <c r="E80" s="964"/>
      <c r="F80" s="964"/>
      <c r="G80" s="964"/>
      <c r="H80" s="964"/>
      <c r="I80" s="964"/>
      <c r="J80" s="965"/>
      <c r="K80" s="817">
        <f>SUM(K71:K79)</f>
        <v>0</v>
      </c>
      <c r="L80" s="818">
        <f>SUM(L71:L79)</f>
        <v>0</v>
      </c>
      <c r="M80" s="818">
        <f>SUM(M71:M78)</f>
        <v>0</v>
      </c>
      <c r="N80" s="819">
        <f>SUM(N71:N79)</f>
        <v>0</v>
      </c>
      <c r="O80" s="817">
        <f>SUM(O71:O78)</f>
        <v>0</v>
      </c>
      <c r="P80" s="817">
        <f>SUM(P71:P78)</f>
        <v>0</v>
      </c>
      <c r="Q80" s="817">
        <f>SUM(Q71:Q78)</f>
        <v>0</v>
      </c>
      <c r="R80" s="709">
        <f>SUM(R71:R78)</f>
        <v>0</v>
      </c>
      <c r="S80" s="817">
        <f>SUM(S71:S78)</f>
        <v>0</v>
      </c>
      <c r="T80" s="817">
        <f>SUM(T71:T79)</f>
        <v>0</v>
      </c>
      <c r="U80" s="817">
        <f>SUM(U71:U79)</f>
        <v>0</v>
      </c>
      <c r="V80" s="60" t="s">
        <v>256</v>
      </c>
      <c r="AC80" s="1"/>
      <c r="AD80" s="1"/>
    </row>
    <row r="81" spans="1:30" ht="24.95" customHeight="1" outlineLevel="1">
      <c r="B81" s="75" t="s">
        <v>257</v>
      </c>
      <c r="C81" s="802" t="s">
        <v>258</v>
      </c>
      <c r="D81" s="803"/>
      <c r="E81" s="77"/>
      <c r="F81" s="77"/>
      <c r="G81" s="77"/>
      <c r="H81" s="77"/>
      <c r="I81" s="78"/>
      <c r="J81" s="78"/>
      <c r="K81" s="78"/>
      <c r="L81" s="78"/>
      <c r="M81" s="78"/>
      <c r="N81" s="820"/>
      <c r="O81" s="79"/>
      <c r="P81" s="79"/>
      <c r="Q81" s="79"/>
      <c r="R81" s="79"/>
      <c r="S81" s="79"/>
      <c r="T81" s="78"/>
      <c r="U81" s="78"/>
      <c r="V81" s="80"/>
      <c r="AC81" s="1"/>
      <c r="AD81" s="1"/>
    </row>
    <row r="82" spans="1:30" s="821" customFormat="1" ht="31.5" customHeight="1" outlineLevel="1">
      <c r="A82" s="821">
        <v>9</v>
      </c>
      <c r="B82" s="822" t="s">
        <v>259</v>
      </c>
      <c r="C82" s="823" t="str">
        <f>CONCATENATE("Conservación de Zonas Verdes (",IF(I82=1,"1 Vez ",I82&amp; " veces " ),"durante el plazo del Contrato en la vigencia 2026, previa coordinación con la Supervisión)")</f>
        <v>Conservación de Zonas Verdes (1 Vez durante el plazo del Contrato en la vigencia 2026, previa coordinación con la Supervisión)</v>
      </c>
      <c r="D82" s="824"/>
      <c r="E82" s="824"/>
      <c r="F82" s="824"/>
      <c r="G82" s="824"/>
      <c r="H82" s="825"/>
      <c r="I82" s="706">
        <v>1</v>
      </c>
      <c r="J82" s="852"/>
      <c r="K82" s="826">
        <f t="shared" ref="K82:K88" si="66">ROUND(I82*J82,0)</f>
        <v>0</v>
      </c>
      <c r="L82" s="732">
        <f t="shared" ref="L82:L88" si="67">+K82</f>
        <v>0</v>
      </c>
      <c r="M82" s="732">
        <f>ROUND(L82*$M$69,0)</f>
        <v>0</v>
      </c>
      <c r="N82" s="723">
        <f t="shared" ref="N82:N88" si="68">+L82+M82</f>
        <v>0</v>
      </c>
      <c r="O82" s="733">
        <f>ROUND(L82*10%*$O$69,0)</f>
        <v>0</v>
      </c>
      <c r="P82" s="732">
        <f>ROUND(N82*10%,0)</f>
        <v>0</v>
      </c>
      <c r="Q82" s="732"/>
      <c r="R82" s="732">
        <f>IFERROR(N82-P82,"")</f>
        <v>0</v>
      </c>
      <c r="S82" s="736">
        <f>ROUND(M82*10%*$S$69,0)</f>
        <v>0</v>
      </c>
      <c r="T82" s="734">
        <f t="shared" ref="T82:T83" si="69">+O82+S82</f>
        <v>0</v>
      </c>
      <c r="U82" s="734">
        <f t="shared" ref="U82:U88" si="70">+N82+T82</f>
        <v>0</v>
      </c>
      <c r="V82" s="706" t="s">
        <v>13</v>
      </c>
      <c r="X82" s="808"/>
    </row>
    <row r="83" spans="1:30" s="821" customFormat="1" ht="39" customHeight="1" outlineLevel="1">
      <c r="A83" s="821">
        <v>9</v>
      </c>
      <c r="B83" s="822" t="s">
        <v>261</v>
      </c>
      <c r="C83" s="823" t="str">
        <f>CONCATENATE("Servicios de Recolección de Residuos Peligrosos (",IF(I83=1,"1 Vez ",I83&amp; " veces " ),"durante el plazo del Contrato en la vigencia 2026, previa coordinación con la Supervisión)")</f>
        <v>Servicios de Recolección de Residuos Peligrosos (2 veces durante el plazo del Contrato en la vigencia 2026, previa coordinación con la Supervisión)</v>
      </c>
      <c r="D83" s="824"/>
      <c r="E83" s="824"/>
      <c r="F83" s="824"/>
      <c r="G83" s="824"/>
      <c r="H83" s="825"/>
      <c r="I83" s="706">
        <v>2</v>
      </c>
      <c r="J83" s="852"/>
      <c r="K83" s="826">
        <f t="shared" si="66"/>
        <v>0</v>
      </c>
      <c r="L83" s="732">
        <f t="shared" si="67"/>
        <v>0</v>
      </c>
      <c r="M83" s="732">
        <f t="shared" ref="M83:M88" si="71">ROUND(L83*$M$69,0)</f>
        <v>0</v>
      </c>
      <c r="N83" s="723">
        <f t="shared" si="68"/>
        <v>0</v>
      </c>
      <c r="O83" s="733">
        <f t="shared" ref="O83" si="72">ROUND(L83*10%*$O$69,0)</f>
        <v>0</v>
      </c>
      <c r="P83" s="732">
        <f>ROUND(N83*10%,0)</f>
        <v>0</v>
      </c>
      <c r="Q83" s="732"/>
      <c r="R83" s="732">
        <f>IFERROR(N83-P83,"")</f>
        <v>0</v>
      </c>
      <c r="S83" s="736">
        <f t="shared" ref="S83" si="73">ROUND(M83*10%*$S$69,0)</f>
        <v>0</v>
      </c>
      <c r="T83" s="734">
        <f t="shared" si="69"/>
        <v>0</v>
      </c>
      <c r="U83" s="734">
        <f t="shared" si="70"/>
        <v>0</v>
      </c>
      <c r="V83" s="706" t="s">
        <v>13</v>
      </c>
      <c r="X83" s="808"/>
    </row>
    <row r="84" spans="1:30" s="821" customFormat="1" ht="12.75" outlineLevel="1">
      <c r="A84" s="821">
        <v>9</v>
      </c>
      <c r="B84" s="822" t="s">
        <v>263</v>
      </c>
      <c r="C84" s="823" t="s">
        <v>264</v>
      </c>
      <c r="D84" s="824"/>
      <c r="E84" s="824"/>
      <c r="F84" s="824"/>
      <c r="G84" s="824"/>
      <c r="H84" s="825"/>
      <c r="I84" s="706">
        <v>2</v>
      </c>
      <c r="J84" s="852"/>
      <c r="K84" s="826">
        <f t="shared" si="66"/>
        <v>0</v>
      </c>
      <c r="L84" s="732">
        <f t="shared" si="67"/>
        <v>0</v>
      </c>
      <c r="M84" s="732">
        <f t="shared" si="71"/>
        <v>0</v>
      </c>
      <c r="N84" s="723">
        <f t="shared" si="68"/>
        <v>0</v>
      </c>
      <c r="O84" s="733">
        <f>ROUND(L84*$O$69,0)</f>
        <v>0</v>
      </c>
      <c r="P84" s="733"/>
      <c r="Q84" s="732">
        <f>IFERROR(L84+M84,"")</f>
        <v>0</v>
      </c>
      <c r="R84" s="733"/>
      <c r="S84" s="736">
        <f>ROUND(M84*$S$69,0)</f>
        <v>0</v>
      </c>
      <c r="T84" s="734">
        <f>+O84+S84</f>
        <v>0</v>
      </c>
      <c r="U84" s="734">
        <f t="shared" si="70"/>
        <v>0</v>
      </c>
      <c r="V84" s="706" t="s">
        <v>13</v>
      </c>
      <c r="X84" s="808"/>
    </row>
    <row r="85" spans="1:30" s="821" customFormat="1" ht="12.75" outlineLevel="1">
      <c r="A85" s="821">
        <v>9</v>
      </c>
      <c r="B85" s="822" t="s">
        <v>265</v>
      </c>
      <c r="C85" s="823" t="s">
        <v>266</v>
      </c>
      <c r="D85" s="824"/>
      <c r="E85" s="824"/>
      <c r="F85" s="824"/>
      <c r="G85" s="824"/>
      <c r="H85" s="825"/>
      <c r="I85" s="706" t="s">
        <v>297</v>
      </c>
      <c r="J85" s="852"/>
      <c r="K85" s="826">
        <f>J85</f>
        <v>0</v>
      </c>
      <c r="L85" s="732">
        <f t="shared" si="67"/>
        <v>0</v>
      </c>
      <c r="M85" s="732">
        <f t="shared" si="71"/>
        <v>0</v>
      </c>
      <c r="N85" s="723">
        <f t="shared" si="68"/>
        <v>0</v>
      </c>
      <c r="O85" s="733">
        <f>ROUND(L85*$O$69,0)</f>
        <v>0</v>
      </c>
      <c r="P85" s="733"/>
      <c r="Q85" s="732">
        <f>IFERROR(L85+M85,"")</f>
        <v>0</v>
      </c>
      <c r="R85" s="733"/>
      <c r="S85" s="736">
        <f>ROUND(M85*$S$69,0)</f>
        <v>0</v>
      </c>
      <c r="T85" s="734">
        <f>+O85+S85</f>
        <v>0</v>
      </c>
      <c r="U85" s="734">
        <v>0</v>
      </c>
      <c r="V85" s="706" t="s">
        <v>13</v>
      </c>
      <c r="X85" s="808"/>
    </row>
    <row r="86" spans="1:30" s="821" customFormat="1" ht="19.5" customHeight="1" outlineLevel="1">
      <c r="A86" s="821">
        <v>9</v>
      </c>
      <c r="B86" s="822" t="s">
        <v>267</v>
      </c>
      <c r="C86" s="823" t="s">
        <v>268</v>
      </c>
      <c r="D86" s="824"/>
      <c r="E86" s="824"/>
      <c r="F86" s="824"/>
      <c r="G86" s="824"/>
      <c r="H86" s="825"/>
      <c r="I86" s="706" t="s">
        <v>297</v>
      </c>
      <c r="J86" s="852"/>
      <c r="K86" s="826">
        <f t="shared" ref="K86:K87" si="74">J86</f>
        <v>0</v>
      </c>
      <c r="L86" s="732">
        <f t="shared" si="67"/>
        <v>0</v>
      </c>
      <c r="M86" s="732">
        <f t="shared" si="71"/>
        <v>0</v>
      </c>
      <c r="N86" s="723">
        <f t="shared" si="68"/>
        <v>0</v>
      </c>
      <c r="O86" s="733">
        <f t="shared" ref="O86:O88" si="75">ROUND(L86*$O$69,0)</f>
        <v>0</v>
      </c>
      <c r="P86" s="733"/>
      <c r="Q86" s="732">
        <f>IFERROR(L86+M86,"")</f>
        <v>0</v>
      </c>
      <c r="R86" s="733"/>
      <c r="S86" s="736">
        <f t="shared" ref="S86:S88" si="76">ROUND(M86*$S$69,0)</f>
        <v>0</v>
      </c>
      <c r="T86" s="734">
        <f>+O86+S86</f>
        <v>0</v>
      </c>
      <c r="U86" s="734">
        <f t="shared" si="70"/>
        <v>0</v>
      </c>
      <c r="V86" s="706" t="s">
        <v>13</v>
      </c>
      <c r="X86" s="808"/>
    </row>
    <row r="87" spans="1:30" s="821" customFormat="1" ht="12.75" outlineLevel="1">
      <c r="A87" s="821">
        <v>9</v>
      </c>
      <c r="B87" s="823" t="s">
        <v>269</v>
      </c>
      <c r="C87" s="823" t="s">
        <v>270</v>
      </c>
      <c r="D87" s="824"/>
      <c r="E87" s="824"/>
      <c r="F87" s="824"/>
      <c r="G87" s="824"/>
      <c r="H87" s="825"/>
      <c r="I87" s="706" t="s">
        <v>297</v>
      </c>
      <c r="J87" s="853">
        <v>8435254</v>
      </c>
      <c r="K87" s="826">
        <f t="shared" si="74"/>
        <v>8435254</v>
      </c>
      <c r="L87" s="732">
        <f t="shared" si="67"/>
        <v>8435254</v>
      </c>
      <c r="M87" s="732">
        <f t="shared" si="71"/>
        <v>674820</v>
      </c>
      <c r="N87" s="723">
        <f t="shared" si="68"/>
        <v>9110074</v>
      </c>
      <c r="O87" s="733">
        <f t="shared" si="75"/>
        <v>1602698</v>
      </c>
      <c r="P87" s="733"/>
      <c r="Q87" s="732">
        <f>IFERROR(L87+M87,"")</f>
        <v>9110074</v>
      </c>
      <c r="R87" s="733"/>
      <c r="S87" s="736">
        <f t="shared" si="76"/>
        <v>128216</v>
      </c>
      <c r="T87" s="734">
        <f>+O87+S87</f>
        <v>1730914</v>
      </c>
      <c r="U87" s="734">
        <f t="shared" si="70"/>
        <v>10840988</v>
      </c>
      <c r="V87" s="706" t="s">
        <v>13</v>
      </c>
      <c r="X87" s="808"/>
    </row>
    <row r="88" spans="1:30" s="821" customFormat="1" ht="12.75" outlineLevel="1">
      <c r="A88" s="821">
        <v>9</v>
      </c>
      <c r="B88" s="822" t="s">
        <v>800</v>
      </c>
      <c r="C88" s="823" t="s">
        <v>271</v>
      </c>
      <c r="D88" s="824"/>
      <c r="E88" s="824"/>
      <c r="F88" s="824"/>
      <c r="G88" s="824"/>
      <c r="H88" s="825"/>
      <c r="I88" s="706">
        <v>2</v>
      </c>
      <c r="J88" s="853">
        <v>8505151</v>
      </c>
      <c r="K88" s="826">
        <f t="shared" si="66"/>
        <v>17010302</v>
      </c>
      <c r="L88" s="732">
        <f t="shared" si="67"/>
        <v>17010302</v>
      </c>
      <c r="M88" s="732">
        <f t="shared" si="71"/>
        <v>1360824</v>
      </c>
      <c r="N88" s="723">
        <f t="shared" si="68"/>
        <v>18371126</v>
      </c>
      <c r="O88" s="733">
        <f t="shared" si="75"/>
        <v>3231957</v>
      </c>
      <c r="P88" s="733"/>
      <c r="Q88" s="732">
        <f>IFERROR(L88+M88,"")</f>
        <v>18371126</v>
      </c>
      <c r="R88" s="733"/>
      <c r="S88" s="736">
        <f t="shared" si="76"/>
        <v>258557</v>
      </c>
      <c r="T88" s="734">
        <f>+O88+S88</f>
        <v>3490514</v>
      </c>
      <c r="U88" s="734">
        <f t="shared" si="70"/>
        <v>21861640</v>
      </c>
      <c r="V88" s="706" t="s">
        <v>13</v>
      </c>
      <c r="X88" s="808"/>
    </row>
    <row r="89" spans="1:30">
      <c r="B89" s="85" t="s">
        <v>257</v>
      </c>
      <c r="C89" s="963" t="s">
        <v>272</v>
      </c>
      <c r="D89" s="964"/>
      <c r="E89" s="964"/>
      <c r="F89" s="964"/>
      <c r="G89" s="964"/>
      <c r="H89" s="964"/>
      <c r="I89" s="964"/>
      <c r="J89" s="965"/>
      <c r="K89" s="817">
        <f>SUM(K82:K88)</f>
        <v>25445556</v>
      </c>
      <c r="L89" s="827">
        <f>SUM(L82:L88)</f>
        <v>25445556</v>
      </c>
      <c r="M89" s="817">
        <f t="shared" ref="M89:S89" si="77">SUM(M82:M88)</f>
        <v>2035644</v>
      </c>
      <c r="N89" s="819">
        <f>SUM(N82:N88)</f>
        <v>27481200</v>
      </c>
      <c r="O89" s="817">
        <f t="shared" si="77"/>
        <v>4834655</v>
      </c>
      <c r="P89" s="817">
        <f t="shared" si="77"/>
        <v>0</v>
      </c>
      <c r="Q89" s="817">
        <f t="shared" si="77"/>
        <v>27481200</v>
      </c>
      <c r="R89" s="817">
        <f t="shared" si="77"/>
        <v>0</v>
      </c>
      <c r="S89" s="817">
        <f t="shared" si="77"/>
        <v>386773</v>
      </c>
      <c r="T89" s="817">
        <f>SUM(T82:T88)</f>
        <v>5221428</v>
      </c>
      <c r="U89" s="817">
        <f>SUM(U82:U88)</f>
        <v>32702628</v>
      </c>
      <c r="V89" s="60" t="s">
        <v>13</v>
      </c>
      <c r="AC89" s="1"/>
      <c r="AD89" s="1"/>
    </row>
    <row r="90" spans="1:30" ht="24.75" customHeight="1">
      <c r="B90" s="87" t="s">
        <v>219</v>
      </c>
      <c r="C90" s="947" t="s">
        <v>273</v>
      </c>
      <c r="D90" s="948"/>
      <c r="E90" s="948"/>
      <c r="F90" s="948"/>
      <c r="G90" s="948"/>
      <c r="H90" s="948"/>
      <c r="I90" s="948"/>
      <c r="J90" s="949"/>
      <c r="K90" s="828">
        <f>+K80+K89</f>
        <v>25445556</v>
      </c>
      <c r="L90" s="828">
        <f>+L80+L89</f>
        <v>25445556</v>
      </c>
      <c r="M90" s="829">
        <f>+M80+M89</f>
        <v>2035644</v>
      </c>
      <c r="N90" s="830">
        <f>+N80+N89</f>
        <v>27481200</v>
      </c>
      <c r="O90" s="829"/>
      <c r="P90" s="829"/>
      <c r="Q90" s="829">
        <f>IFERROR(N90+O90,"")</f>
        <v>27481200</v>
      </c>
      <c r="R90" s="829"/>
      <c r="S90" s="829"/>
      <c r="T90" s="829">
        <f>+T80+T89</f>
        <v>5221428</v>
      </c>
      <c r="U90" s="831">
        <f>+U80+U89</f>
        <v>32702628</v>
      </c>
      <c r="V90" s="53"/>
      <c r="X90" s="808"/>
      <c r="AC90" s="1"/>
      <c r="AD90" s="1"/>
    </row>
    <row r="91" spans="1:30" ht="9" customHeight="1">
      <c r="B91" s="64"/>
      <c r="C91" s="64"/>
      <c r="D91" s="64"/>
      <c r="E91" s="64"/>
      <c r="F91" s="65"/>
      <c r="G91" s="64"/>
      <c r="H91" s="64"/>
      <c r="I91" s="66"/>
      <c r="J91" s="64"/>
      <c r="K91" s="67"/>
      <c r="L91" s="11"/>
      <c r="M91" s="11"/>
      <c r="N91" s="832"/>
      <c r="O91" s="11"/>
      <c r="P91" s="11"/>
      <c r="Q91" s="11"/>
      <c r="R91" s="11"/>
      <c r="S91" s="11"/>
      <c r="T91" s="11"/>
      <c r="U91" s="11" t="s">
        <v>649</v>
      </c>
      <c r="V91" s="11"/>
      <c r="X91" s="808"/>
      <c r="AC91" s="1"/>
      <c r="AD91" s="1"/>
    </row>
    <row r="92" spans="1:30" ht="26.25" customHeight="1">
      <c r="B92" s="51" t="s">
        <v>274</v>
      </c>
      <c r="C92" s="48" t="s">
        <v>275</v>
      </c>
      <c r="D92" s="49"/>
      <c r="E92" s="49"/>
      <c r="F92" s="49"/>
      <c r="G92" s="49"/>
      <c r="H92" s="49"/>
      <c r="I92" s="49"/>
      <c r="J92" s="49"/>
      <c r="K92" s="49"/>
      <c r="L92" s="49"/>
      <c r="M92" s="49"/>
      <c r="N92" s="833"/>
      <c r="O92" s="49"/>
      <c r="P92" s="49"/>
      <c r="Q92" s="49"/>
      <c r="R92" s="49"/>
      <c r="S92" s="49"/>
      <c r="T92" s="49"/>
      <c r="U92" s="49"/>
      <c r="V92" s="50"/>
      <c r="X92" s="808"/>
      <c r="AC92" s="1"/>
      <c r="AD92" s="1"/>
    </row>
    <row r="93" spans="1:30" ht="62.25" customHeight="1">
      <c r="B93" s="961" t="s">
        <v>29</v>
      </c>
      <c r="C93" s="966" t="s">
        <v>221</v>
      </c>
      <c r="D93" s="967"/>
      <c r="E93" s="967"/>
      <c r="F93" s="967"/>
      <c r="G93" s="967"/>
      <c r="H93" s="968"/>
      <c r="I93" s="22" t="s">
        <v>276</v>
      </c>
      <c r="J93" s="22" t="s">
        <v>223</v>
      </c>
      <c r="K93" s="22" t="s">
        <v>224</v>
      </c>
      <c r="L93" s="22" t="s">
        <v>224</v>
      </c>
      <c r="M93" s="5" t="s">
        <v>225</v>
      </c>
      <c r="N93" s="834" t="s">
        <v>226</v>
      </c>
      <c r="O93" s="185" t="s">
        <v>277</v>
      </c>
      <c r="P93" s="89" t="s">
        <v>134</v>
      </c>
      <c r="Q93" s="89" t="s">
        <v>135</v>
      </c>
      <c r="R93" s="89" t="s">
        <v>136</v>
      </c>
      <c r="S93" s="185" t="s">
        <v>278</v>
      </c>
      <c r="T93" s="5" t="s">
        <v>279</v>
      </c>
      <c r="U93" s="5" t="s">
        <v>230</v>
      </c>
      <c r="V93" s="962" t="s">
        <v>9</v>
      </c>
      <c r="X93" s="808"/>
      <c r="AC93" s="1"/>
      <c r="AD93" s="1"/>
    </row>
    <row r="94" spans="1:30" ht="24.95" customHeight="1">
      <c r="B94" s="961"/>
      <c r="C94" s="969"/>
      <c r="D94" s="970"/>
      <c r="E94" s="970"/>
      <c r="F94" s="970"/>
      <c r="G94" s="970"/>
      <c r="H94" s="971"/>
      <c r="I94" s="22" t="s">
        <v>231</v>
      </c>
      <c r="J94" s="22" t="s">
        <v>232</v>
      </c>
      <c r="K94" s="22" t="s">
        <v>233</v>
      </c>
      <c r="L94" s="23" t="s">
        <v>234</v>
      </c>
      <c r="M94" s="801">
        <f>M69</f>
        <v>0.08</v>
      </c>
      <c r="N94" s="835" t="s">
        <v>235</v>
      </c>
      <c r="O94" s="14">
        <v>0.19</v>
      </c>
      <c r="P94" s="14"/>
      <c r="Q94" s="14"/>
      <c r="R94" s="14"/>
      <c r="S94" s="14">
        <v>0.19</v>
      </c>
      <c r="T94" s="23" t="s">
        <v>236</v>
      </c>
      <c r="U94" s="23" t="s">
        <v>237</v>
      </c>
      <c r="V94" s="962"/>
      <c r="AC94" s="1"/>
      <c r="AD94" s="1"/>
    </row>
    <row r="95" spans="1:30" ht="24.95" customHeight="1">
      <c r="B95" s="75" t="s">
        <v>280</v>
      </c>
      <c r="C95" s="802" t="s">
        <v>281</v>
      </c>
      <c r="D95" s="803"/>
      <c r="E95" s="58"/>
      <c r="F95" s="58"/>
      <c r="G95" s="58"/>
      <c r="H95" s="58"/>
      <c r="I95" s="58"/>
      <c r="J95" s="58"/>
      <c r="K95" s="58"/>
      <c r="L95" s="58"/>
      <c r="M95" s="58"/>
      <c r="N95" s="836"/>
      <c r="O95" s="58"/>
      <c r="P95" s="58"/>
      <c r="Q95" s="58"/>
      <c r="R95" s="58"/>
      <c r="S95" s="58"/>
      <c r="T95" s="58"/>
      <c r="U95" s="58"/>
      <c r="V95" s="58"/>
      <c r="AC95" s="1"/>
      <c r="AD95" s="1"/>
    </row>
    <row r="96" spans="1:30" ht="24.95" customHeight="1" outlineLevel="1">
      <c r="A96" s="1">
        <v>4</v>
      </c>
      <c r="B96" s="57" t="s">
        <v>282</v>
      </c>
      <c r="C96" s="955" t="s">
        <v>241</v>
      </c>
      <c r="D96" s="956"/>
      <c r="E96" s="956"/>
      <c r="F96" s="956"/>
      <c r="G96" s="956"/>
      <c r="H96" s="957"/>
      <c r="I96" s="706">
        <v>1</v>
      </c>
      <c r="J96" s="852"/>
      <c r="K96" s="804">
        <f>ROUND(I96*J96,0)</f>
        <v>0</v>
      </c>
      <c r="L96" s="727">
        <f>+K96</f>
        <v>0</v>
      </c>
      <c r="M96" s="727">
        <f>ROUND(L96*$M$94,0)</f>
        <v>0</v>
      </c>
      <c r="N96" s="737">
        <f>+L96+M96</f>
        <v>0</v>
      </c>
      <c r="O96" s="721">
        <f>ROUND(L96*$O$94,0)</f>
        <v>0</v>
      </c>
      <c r="P96" s="721"/>
      <c r="Q96" s="719">
        <f>IFERROR(L96+M96,"")</f>
        <v>0</v>
      </c>
      <c r="R96" s="721"/>
      <c r="S96" s="721">
        <f>ROUND(M96*$S$94,0)</f>
        <v>0</v>
      </c>
      <c r="T96" s="807">
        <f>+O96+S96</f>
        <v>0</v>
      </c>
      <c r="U96" s="807">
        <f>+N96+T96</f>
        <v>0</v>
      </c>
      <c r="V96" s="7" t="s">
        <v>97</v>
      </c>
      <c r="AC96" s="1"/>
      <c r="AD96" s="1"/>
    </row>
    <row r="97" spans="1:30" s="3" customFormat="1" ht="24.95" customHeight="1" outlineLevel="1">
      <c r="A97" s="3">
        <v>6</v>
      </c>
      <c r="B97" s="57" t="s">
        <v>283</v>
      </c>
      <c r="C97" s="958" t="s">
        <v>243</v>
      </c>
      <c r="D97" s="959"/>
      <c r="E97" s="959"/>
      <c r="F97" s="959"/>
      <c r="G97" s="959"/>
      <c r="H97" s="960"/>
      <c r="I97" s="706">
        <v>2</v>
      </c>
      <c r="J97" s="852"/>
      <c r="K97" s="813">
        <f>ROUND(I97*J97,0)</f>
        <v>0</v>
      </c>
      <c r="L97" s="719">
        <f>+K97</f>
        <v>0</v>
      </c>
      <c r="M97" s="727">
        <f t="shared" ref="M97:M98" si="78">ROUND(L97*$M$94,0)</f>
        <v>0</v>
      </c>
      <c r="N97" s="723">
        <f>+L97+M97</f>
        <v>0</v>
      </c>
      <c r="O97" s="721">
        <f>ROUND(L97*10%*$O$94,0)</f>
        <v>0</v>
      </c>
      <c r="P97" s="719">
        <f>ROUND(N97*10%,0)</f>
        <v>0</v>
      </c>
      <c r="Q97" s="719"/>
      <c r="R97" s="719">
        <f>IFERROR(N97-P97,"")</f>
        <v>0</v>
      </c>
      <c r="S97" s="721">
        <f>ROUND(M97*10%*$S$94,0)</f>
        <v>0</v>
      </c>
      <c r="T97" s="816">
        <f t="shared" ref="T97:T98" si="79">+O97+S97</f>
        <v>0</v>
      </c>
      <c r="U97" s="816">
        <f>+N97+T97</f>
        <v>0</v>
      </c>
      <c r="V97" s="726" t="s">
        <v>97</v>
      </c>
    </row>
    <row r="98" spans="1:30" s="3" customFormat="1" ht="24.95" customHeight="1" outlineLevel="1">
      <c r="A98" s="3">
        <v>8</v>
      </c>
      <c r="B98" s="57" t="s">
        <v>284</v>
      </c>
      <c r="C98" s="837" t="s">
        <v>801</v>
      </c>
      <c r="D98" s="838"/>
      <c r="E98" s="838"/>
      <c r="F98" s="838"/>
      <c r="G98" s="838"/>
      <c r="H98" s="839"/>
      <c r="I98" s="706">
        <v>2</v>
      </c>
      <c r="J98" s="852"/>
      <c r="K98" s="813">
        <f>ROUND(I98*J98,0)</f>
        <v>0</v>
      </c>
      <c r="L98" s="719">
        <f>+K98</f>
        <v>0</v>
      </c>
      <c r="M98" s="727">
        <f t="shared" si="78"/>
        <v>0</v>
      </c>
      <c r="N98" s="723">
        <f>+L98+M98</f>
        <v>0</v>
      </c>
      <c r="O98" s="721">
        <f>ROUND(L98*10%*$O$94,0)</f>
        <v>0</v>
      </c>
      <c r="P98" s="719">
        <f>ROUND(N98*10%,0)</f>
        <v>0</v>
      </c>
      <c r="Q98" s="719">
        <f t="shared" ref="Q98" si="80">IFERROR(L98+M98,"")</f>
        <v>0</v>
      </c>
      <c r="R98" s="719">
        <f>IFERROR(N98-P98,"")</f>
        <v>0</v>
      </c>
      <c r="S98" s="721">
        <f>ROUND(M98*10%*$S$94,0)</f>
        <v>0</v>
      </c>
      <c r="T98" s="816">
        <f t="shared" si="79"/>
        <v>0</v>
      </c>
      <c r="U98" s="816">
        <f>+N98+T98</f>
        <v>0</v>
      </c>
      <c r="V98" s="726" t="s">
        <v>100</v>
      </c>
    </row>
    <row r="99" spans="1:30" ht="24.95" customHeight="1" outlineLevel="1">
      <c r="B99" s="74" t="s">
        <v>280</v>
      </c>
      <c r="C99" s="954" t="s">
        <v>285</v>
      </c>
      <c r="D99" s="954"/>
      <c r="E99" s="954"/>
      <c r="F99" s="954"/>
      <c r="G99" s="954"/>
      <c r="H99" s="954"/>
      <c r="I99" s="954"/>
      <c r="J99" s="954"/>
      <c r="K99" s="59">
        <f>SUM(K96:K98)</f>
        <v>0</v>
      </c>
      <c r="L99" s="827">
        <f>SUM(L96:L98)</f>
        <v>0</v>
      </c>
      <c r="M99" s="817">
        <f t="shared" ref="M99:S99" si="81">SUM(M96:M97)</f>
        <v>0</v>
      </c>
      <c r="N99" s="819">
        <f>SUM(N96:N98)</f>
        <v>0</v>
      </c>
      <c r="O99" s="817">
        <f t="shared" si="81"/>
        <v>0</v>
      </c>
      <c r="P99" s="817">
        <f t="shared" si="81"/>
        <v>0</v>
      </c>
      <c r="Q99" s="817">
        <f t="shared" si="81"/>
        <v>0</v>
      </c>
      <c r="R99" s="817">
        <f t="shared" si="81"/>
        <v>0</v>
      </c>
      <c r="S99" s="817">
        <f t="shared" si="81"/>
        <v>0</v>
      </c>
      <c r="T99" s="817">
        <f>SUM(T96:T98)</f>
        <v>0</v>
      </c>
      <c r="U99" s="817">
        <f>SUM(U96:U98)</f>
        <v>0</v>
      </c>
      <c r="V99" s="60" t="s">
        <v>286</v>
      </c>
      <c r="AC99" s="1"/>
      <c r="AD99" s="1"/>
    </row>
    <row r="100" spans="1:30" ht="24.95" customHeight="1" outlineLevel="1">
      <c r="B100" s="75" t="s">
        <v>287</v>
      </c>
      <c r="C100" s="802" t="s">
        <v>288</v>
      </c>
      <c r="D100" s="803"/>
      <c r="E100" s="77"/>
      <c r="F100" s="77"/>
      <c r="G100" s="77"/>
      <c r="H100" s="77"/>
      <c r="I100" s="78"/>
      <c r="J100" s="78"/>
      <c r="K100" s="78"/>
      <c r="L100" s="78"/>
      <c r="M100" s="78"/>
      <c r="N100" s="820"/>
      <c r="O100" s="79"/>
      <c r="P100" s="79"/>
      <c r="Q100" s="79"/>
      <c r="R100" s="79"/>
      <c r="S100" s="79"/>
      <c r="T100" s="78"/>
      <c r="U100" s="78"/>
      <c r="V100" s="80"/>
      <c r="AC100" s="1"/>
      <c r="AD100" s="1"/>
    </row>
    <row r="101" spans="1:30" s="821" customFormat="1" ht="24.95" customHeight="1" outlineLevel="1">
      <c r="A101" s="821">
        <v>10</v>
      </c>
      <c r="B101" s="822" t="s">
        <v>289</v>
      </c>
      <c r="C101" s="944" t="s">
        <v>290</v>
      </c>
      <c r="D101" s="945"/>
      <c r="E101" s="945"/>
      <c r="F101" s="945"/>
      <c r="G101" s="945"/>
      <c r="H101" s="946"/>
      <c r="I101" s="706">
        <v>2</v>
      </c>
      <c r="J101" s="852"/>
      <c r="K101" s="826">
        <f>ROUND(I101*J101,0)</f>
        <v>0</v>
      </c>
      <c r="L101" s="732">
        <f t="shared" ref="L101:L114" si="82">+K101</f>
        <v>0</v>
      </c>
      <c r="M101" s="732">
        <f>ROUND(L101*$M$94,0)</f>
        <v>0</v>
      </c>
      <c r="N101" s="723">
        <f>+L101+M101</f>
        <v>0</v>
      </c>
      <c r="O101" s="733">
        <f>ROUND(L101*$O$94,0)</f>
        <v>0</v>
      </c>
      <c r="P101" s="733"/>
      <c r="Q101" s="732">
        <f>IFERROR(L101+M101,"")</f>
        <v>0</v>
      </c>
      <c r="R101" s="733"/>
      <c r="S101" s="733">
        <f>ROUND(M101*$S$94,0)</f>
        <v>0</v>
      </c>
      <c r="T101" s="734">
        <f>+O101+S101</f>
        <v>0</v>
      </c>
      <c r="U101" s="734">
        <f t="shared" ref="U101:U114" si="83">+N101+T101</f>
        <v>0</v>
      </c>
      <c r="V101" s="706" t="s">
        <v>95</v>
      </c>
    </row>
    <row r="102" spans="1:30" s="821" customFormat="1" ht="24.95" customHeight="1" outlineLevel="1">
      <c r="A102" s="821">
        <v>10</v>
      </c>
      <c r="B102" s="822" t="s">
        <v>291</v>
      </c>
      <c r="C102" s="944" t="s">
        <v>292</v>
      </c>
      <c r="D102" s="945"/>
      <c r="E102" s="945"/>
      <c r="F102" s="945"/>
      <c r="G102" s="945"/>
      <c r="H102" s="946"/>
      <c r="I102" s="706">
        <v>2</v>
      </c>
      <c r="J102" s="852"/>
      <c r="K102" s="826">
        <f>ROUND(I102*J102,0)</f>
        <v>0</v>
      </c>
      <c r="L102" s="732">
        <f t="shared" si="82"/>
        <v>0</v>
      </c>
      <c r="M102" s="732">
        <f t="shared" ref="M102:M114" si="84">ROUND(L102*$M$94,0)</f>
        <v>0</v>
      </c>
      <c r="N102" s="723">
        <f t="shared" ref="N102:N112" si="85">+L102+M102</f>
        <v>0</v>
      </c>
      <c r="O102" s="733">
        <f>ROUND(L102*10%*$O$94,0)</f>
        <v>0</v>
      </c>
      <c r="P102" s="732">
        <f>ROUND(N102*10%,0)</f>
        <v>0</v>
      </c>
      <c r="Q102" s="732"/>
      <c r="R102" s="732">
        <f>IFERROR(N102-P102,"")</f>
        <v>0</v>
      </c>
      <c r="S102" s="733">
        <f>ROUND(M102*10%*$S$94,0)</f>
        <v>0</v>
      </c>
      <c r="T102" s="734">
        <f>+O102+S102</f>
        <v>0</v>
      </c>
      <c r="U102" s="734">
        <f t="shared" si="83"/>
        <v>0</v>
      </c>
      <c r="V102" s="706" t="s">
        <v>95</v>
      </c>
    </row>
    <row r="103" spans="1:30" s="821" customFormat="1" ht="24.95" customHeight="1" outlineLevel="1">
      <c r="A103" s="821">
        <v>10</v>
      </c>
      <c r="B103" s="822" t="s">
        <v>293</v>
      </c>
      <c r="C103" s="944" t="s">
        <v>294</v>
      </c>
      <c r="D103" s="945"/>
      <c r="E103" s="945"/>
      <c r="F103" s="945"/>
      <c r="G103" s="945"/>
      <c r="H103" s="946"/>
      <c r="I103" s="706">
        <v>2</v>
      </c>
      <c r="J103" s="852"/>
      <c r="K103" s="826">
        <f>ROUND(I103*J103,0)</f>
        <v>0</v>
      </c>
      <c r="L103" s="732">
        <f t="shared" si="82"/>
        <v>0</v>
      </c>
      <c r="M103" s="732">
        <f t="shared" si="84"/>
        <v>0</v>
      </c>
      <c r="N103" s="723">
        <f t="shared" si="85"/>
        <v>0</v>
      </c>
      <c r="O103" s="733">
        <f t="shared" ref="O103:O106" si="86">ROUND(L103*10%*$O$94,0)</f>
        <v>0</v>
      </c>
      <c r="P103" s="732">
        <f>ROUND(N103*10%,0)</f>
        <v>0</v>
      </c>
      <c r="Q103" s="732"/>
      <c r="R103" s="732">
        <f>IFERROR(N103-P103,"")</f>
        <v>0</v>
      </c>
      <c r="S103" s="733">
        <f>ROUND(M103*10%*$S$94,0)</f>
        <v>0</v>
      </c>
      <c r="T103" s="734">
        <f t="shared" ref="T103:T105" si="87">+O103+S103</f>
        <v>0</v>
      </c>
      <c r="U103" s="734">
        <f t="shared" si="83"/>
        <v>0</v>
      </c>
      <c r="V103" s="706" t="s">
        <v>95</v>
      </c>
    </row>
    <row r="104" spans="1:30" s="821" customFormat="1" ht="24.95" customHeight="1" outlineLevel="1">
      <c r="A104" s="821">
        <v>10</v>
      </c>
      <c r="B104" s="822" t="s">
        <v>295</v>
      </c>
      <c r="C104" s="944" t="s">
        <v>296</v>
      </c>
      <c r="D104" s="945"/>
      <c r="E104" s="945"/>
      <c r="F104" s="945"/>
      <c r="G104" s="945"/>
      <c r="H104" s="946"/>
      <c r="I104" s="706" t="s">
        <v>297</v>
      </c>
      <c r="J104" s="852"/>
      <c r="K104" s="826">
        <f>+J104</f>
        <v>0</v>
      </c>
      <c r="L104" s="732">
        <f t="shared" si="82"/>
        <v>0</v>
      </c>
      <c r="M104" s="732">
        <f t="shared" si="84"/>
        <v>0</v>
      </c>
      <c r="N104" s="723">
        <f t="shared" si="85"/>
        <v>0</v>
      </c>
      <c r="O104" s="733">
        <f t="shared" si="86"/>
        <v>0</v>
      </c>
      <c r="P104" s="732">
        <f>ROUND(N104*10%,0)</f>
        <v>0</v>
      </c>
      <c r="Q104" s="732"/>
      <c r="R104" s="732">
        <f>IFERROR(N104-P104,"")</f>
        <v>0</v>
      </c>
      <c r="S104" s="733">
        <f t="shared" ref="S104:S106" si="88">ROUND(M104*10%*$S$94,0)</f>
        <v>0</v>
      </c>
      <c r="T104" s="734">
        <f>+O104+S104</f>
        <v>0</v>
      </c>
      <c r="U104" s="734">
        <f t="shared" si="83"/>
        <v>0</v>
      </c>
      <c r="V104" s="706" t="s">
        <v>95</v>
      </c>
    </row>
    <row r="105" spans="1:30" s="821" customFormat="1" ht="24.95" customHeight="1" outlineLevel="1">
      <c r="A105" s="821">
        <v>10</v>
      </c>
      <c r="B105" s="822" t="s">
        <v>298</v>
      </c>
      <c r="C105" s="944" t="s">
        <v>299</v>
      </c>
      <c r="D105" s="945"/>
      <c r="E105" s="945"/>
      <c r="F105" s="945"/>
      <c r="G105" s="945"/>
      <c r="H105" s="946"/>
      <c r="I105" s="706" t="s">
        <v>297</v>
      </c>
      <c r="J105" s="852"/>
      <c r="K105" s="826">
        <f>+J105</f>
        <v>0</v>
      </c>
      <c r="L105" s="732">
        <f t="shared" si="82"/>
        <v>0</v>
      </c>
      <c r="M105" s="732">
        <f t="shared" si="84"/>
        <v>0</v>
      </c>
      <c r="N105" s="723">
        <f t="shared" si="85"/>
        <v>0</v>
      </c>
      <c r="O105" s="733">
        <f t="shared" si="86"/>
        <v>0</v>
      </c>
      <c r="P105" s="732">
        <f>ROUND(N105*10%,0)</f>
        <v>0</v>
      </c>
      <c r="Q105" s="732"/>
      <c r="R105" s="732">
        <f>IFERROR(N105-P105,"")</f>
        <v>0</v>
      </c>
      <c r="S105" s="733">
        <f t="shared" si="88"/>
        <v>0</v>
      </c>
      <c r="T105" s="734">
        <f t="shared" si="87"/>
        <v>0</v>
      </c>
      <c r="U105" s="734">
        <f t="shared" si="83"/>
        <v>0</v>
      </c>
      <c r="V105" s="706" t="s">
        <v>95</v>
      </c>
    </row>
    <row r="106" spans="1:30" s="821" customFormat="1" ht="24.95" customHeight="1" outlineLevel="1">
      <c r="A106" s="821">
        <v>10</v>
      </c>
      <c r="B106" s="822" t="s">
        <v>301</v>
      </c>
      <c r="C106" s="944" t="s">
        <v>300</v>
      </c>
      <c r="D106" s="945"/>
      <c r="E106" s="945"/>
      <c r="F106" s="945"/>
      <c r="G106" s="945"/>
      <c r="H106" s="946"/>
      <c r="I106" s="706">
        <v>2</v>
      </c>
      <c r="J106" s="852"/>
      <c r="K106" s="826">
        <f>ROUND(I106*J106,0)</f>
        <v>0</v>
      </c>
      <c r="L106" s="732">
        <f t="shared" si="82"/>
        <v>0</v>
      </c>
      <c r="M106" s="732">
        <f t="shared" si="84"/>
        <v>0</v>
      </c>
      <c r="N106" s="723">
        <f t="shared" si="85"/>
        <v>0</v>
      </c>
      <c r="O106" s="733">
        <f t="shared" si="86"/>
        <v>0</v>
      </c>
      <c r="P106" s="732">
        <f>ROUND(N106*10%,0)</f>
        <v>0</v>
      </c>
      <c r="Q106" s="732"/>
      <c r="R106" s="732">
        <f>IFERROR(N106-P106,"")</f>
        <v>0</v>
      </c>
      <c r="S106" s="733">
        <f t="shared" si="88"/>
        <v>0</v>
      </c>
      <c r="T106" s="734">
        <f>+O106+S106</f>
        <v>0</v>
      </c>
      <c r="U106" s="734">
        <f t="shared" si="83"/>
        <v>0</v>
      </c>
      <c r="V106" s="706" t="s">
        <v>95</v>
      </c>
    </row>
    <row r="107" spans="1:30" s="821" customFormat="1" ht="24.95" customHeight="1" outlineLevel="1">
      <c r="A107" s="821">
        <v>10</v>
      </c>
      <c r="B107" s="822" t="s">
        <v>303</v>
      </c>
      <c r="C107" s="944" t="s">
        <v>302</v>
      </c>
      <c r="D107" s="945"/>
      <c r="E107" s="945"/>
      <c r="F107" s="945"/>
      <c r="G107" s="945"/>
      <c r="H107" s="946"/>
      <c r="I107" s="706">
        <v>2</v>
      </c>
      <c r="J107" s="852"/>
      <c r="K107" s="826">
        <f>ROUND(I107*J107,0)</f>
        <v>0</v>
      </c>
      <c r="L107" s="732">
        <f t="shared" si="82"/>
        <v>0</v>
      </c>
      <c r="M107" s="732">
        <f t="shared" si="84"/>
        <v>0</v>
      </c>
      <c r="N107" s="723">
        <f t="shared" si="85"/>
        <v>0</v>
      </c>
      <c r="O107" s="733">
        <f t="shared" ref="O107:O114" si="89">ROUND(L107*$O$94,0)</f>
        <v>0</v>
      </c>
      <c r="P107" s="733"/>
      <c r="Q107" s="732">
        <f t="shared" ref="Q107:Q113" si="90">IFERROR(L107+M107,"")</f>
        <v>0</v>
      </c>
      <c r="R107" s="733"/>
      <c r="S107" s="733">
        <f t="shared" ref="S107:S114" si="91">ROUND(M107*$S$94,0)</f>
        <v>0</v>
      </c>
      <c r="T107" s="734">
        <f t="shared" ref="T107:T112" si="92">+O107+S107</f>
        <v>0</v>
      </c>
      <c r="U107" s="734">
        <f t="shared" si="83"/>
        <v>0</v>
      </c>
      <c r="V107" s="706" t="s">
        <v>95</v>
      </c>
    </row>
    <row r="108" spans="1:30" s="821" customFormat="1" ht="24.95" customHeight="1" outlineLevel="1">
      <c r="A108" s="821">
        <v>10</v>
      </c>
      <c r="B108" s="822" t="s">
        <v>305</v>
      </c>
      <c r="C108" s="944" t="s">
        <v>304</v>
      </c>
      <c r="D108" s="945"/>
      <c r="E108" s="945"/>
      <c r="F108" s="945"/>
      <c r="G108" s="945"/>
      <c r="H108" s="946"/>
      <c r="I108" s="706">
        <v>2</v>
      </c>
      <c r="J108" s="852"/>
      <c r="K108" s="826">
        <f>ROUND(I108*J108,0)</f>
        <v>0</v>
      </c>
      <c r="L108" s="732">
        <f t="shared" si="82"/>
        <v>0</v>
      </c>
      <c r="M108" s="732">
        <f t="shared" si="84"/>
        <v>0</v>
      </c>
      <c r="N108" s="723">
        <f t="shared" si="85"/>
        <v>0</v>
      </c>
      <c r="O108" s="733">
        <f t="shared" si="89"/>
        <v>0</v>
      </c>
      <c r="P108" s="733"/>
      <c r="Q108" s="732">
        <f t="shared" si="90"/>
        <v>0</v>
      </c>
      <c r="R108" s="733"/>
      <c r="S108" s="733">
        <f t="shared" si="91"/>
        <v>0</v>
      </c>
      <c r="T108" s="734">
        <f t="shared" si="92"/>
        <v>0</v>
      </c>
      <c r="U108" s="734">
        <f t="shared" si="83"/>
        <v>0</v>
      </c>
      <c r="V108" s="706" t="s">
        <v>95</v>
      </c>
    </row>
    <row r="109" spans="1:30" s="821" customFormat="1" ht="12.75" outlineLevel="1">
      <c r="B109" s="822" t="s">
        <v>307</v>
      </c>
      <c r="C109" s="977" t="s">
        <v>802</v>
      </c>
      <c r="D109" s="978"/>
      <c r="E109" s="978"/>
      <c r="F109" s="978"/>
      <c r="G109" s="978"/>
      <c r="H109" s="979"/>
      <c r="I109" s="706">
        <v>2</v>
      </c>
      <c r="J109" s="852"/>
      <c r="K109" s="826">
        <f>ROUND(I109*J109,0)</f>
        <v>0</v>
      </c>
      <c r="L109" s="732">
        <f t="shared" si="82"/>
        <v>0</v>
      </c>
      <c r="M109" s="732">
        <f t="shared" si="84"/>
        <v>0</v>
      </c>
      <c r="N109" s="723">
        <f t="shared" si="85"/>
        <v>0</v>
      </c>
      <c r="O109" s="733">
        <f t="shared" si="89"/>
        <v>0</v>
      </c>
      <c r="P109" s="733"/>
      <c r="Q109" s="732">
        <f t="shared" si="90"/>
        <v>0</v>
      </c>
      <c r="R109" s="733"/>
      <c r="S109" s="733">
        <f t="shared" si="91"/>
        <v>0</v>
      </c>
      <c r="T109" s="734">
        <f t="shared" si="92"/>
        <v>0</v>
      </c>
      <c r="U109" s="734">
        <f t="shared" si="83"/>
        <v>0</v>
      </c>
      <c r="V109" s="706" t="s">
        <v>95</v>
      </c>
    </row>
    <row r="110" spans="1:30" s="821" customFormat="1" ht="24.95" customHeight="1" outlineLevel="1">
      <c r="A110" s="821">
        <v>10</v>
      </c>
      <c r="B110" s="822" t="s">
        <v>309</v>
      </c>
      <c r="C110" s="944" t="s">
        <v>306</v>
      </c>
      <c r="D110" s="945"/>
      <c r="E110" s="945"/>
      <c r="F110" s="945"/>
      <c r="G110" s="945"/>
      <c r="H110" s="946"/>
      <c r="I110" s="706" t="s">
        <v>297</v>
      </c>
      <c r="J110" s="852"/>
      <c r="K110" s="826">
        <f>+J110</f>
        <v>0</v>
      </c>
      <c r="L110" s="732">
        <f t="shared" si="82"/>
        <v>0</v>
      </c>
      <c r="M110" s="732">
        <f t="shared" si="84"/>
        <v>0</v>
      </c>
      <c r="N110" s="723">
        <f t="shared" si="85"/>
        <v>0</v>
      </c>
      <c r="O110" s="733">
        <f t="shared" si="89"/>
        <v>0</v>
      </c>
      <c r="P110" s="733"/>
      <c r="Q110" s="732">
        <f t="shared" si="90"/>
        <v>0</v>
      </c>
      <c r="R110" s="733"/>
      <c r="S110" s="733">
        <f t="shared" si="91"/>
        <v>0</v>
      </c>
      <c r="T110" s="734">
        <f t="shared" si="92"/>
        <v>0</v>
      </c>
      <c r="U110" s="734">
        <f t="shared" si="83"/>
        <v>0</v>
      </c>
      <c r="V110" s="706" t="s">
        <v>95</v>
      </c>
    </row>
    <row r="111" spans="1:30" s="821" customFormat="1" ht="24.95" customHeight="1" outlineLevel="1">
      <c r="A111" s="821">
        <v>10</v>
      </c>
      <c r="B111" s="822" t="s">
        <v>803</v>
      </c>
      <c r="C111" s="944" t="s">
        <v>308</v>
      </c>
      <c r="D111" s="945"/>
      <c r="E111" s="945"/>
      <c r="F111" s="945"/>
      <c r="G111" s="945"/>
      <c r="H111" s="946"/>
      <c r="I111" s="706" t="s">
        <v>297</v>
      </c>
      <c r="J111" s="852"/>
      <c r="K111" s="826">
        <f>+J111</f>
        <v>0</v>
      </c>
      <c r="L111" s="732">
        <f t="shared" si="82"/>
        <v>0</v>
      </c>
      <c r="M111" s="732">
        <f t="shared" si="84"/>
        <v>0</v>
      </c>
      <c r="N111" s="723">
        <f t="shared" si="85"/>
        <v>0</v>
      </c>
      <c r="O111" s="733">
        <f t="shared" si="89"/>
        <v>0</v>
      </c>
      <c r="P111" s="733"/>
      <c r="Q111" s="732">
        <f t="shared" si="90"/>
        <v>0</v>
      </c>
      <c r="R111" s="733"/>
      <c r="S111" s="733">
        <f t="shared" si="91"/>
        <v>0</v>
      </c>
      <c r="T111" s="734">
        <f t="shared" si="92"/>
        <v>0</v>
      </c>
      <c r="U111" s="734">
        <f t="shared" si="83"/>
        <v>0</v>
      </c>
      <c r="V111" s="706" t="s">
        <v>95</v>
      </c>
    </row>
    <row r="112" spans="1:30" s="821" customFormat="1" ht="24.95" customHeight="1" outlineLevel="1">
      <c r="A112" s="821">
        <v>10</v>
      </c>
      <c r="B112" s="822" t="s">
        <v>311</v>
      </c>
      <c r="C112" s="944" t="s">
        <v>310</v>
      </c>
      <c r="D112" s="945"/>
      <c r="E112" s="945"/>
      <c r="F112" s="945"/>
      <c r="G112" s="945"/>
      <c r="H112" s="946"/>
      <c r="I112" s="706" t="s">
        <v>297</v>
      </c>
      <c r="J112" s="852"/>
      <c r="K112" s="826">
        <f>+J112</f>
        <v>0</v>
      </c>
      <c r="L112" s="732">
        <f t="shared" si="82"/>
        <v>0</v>
      </c>
      <c r="M112" s="732">
        <f t="shared" si="84"/>
        <v>0</v>
      </c>
      <c r="N112" s="723">
        <f t="shared" si="85"/>
        <v>0</v>
      </c>
      <c r="O112" s="733">
        <f t="shared" si="89"/>
        <v>0</v>
      </c>
      <c r="P112" s="733"/>
      <c r="Q112" s="732">
        <f t="shared" si="90"/>
        <v>0</v>
      </c>
      <c r="R112" s="733"/>
      <c r="S112" s="733">
        <f t="shared" si="91"/>
        <v>0</v>
      </c>
      <c r="T112" s="734">
        <f t="shared" si="92"/>
        <v>0</v>
      </c>
      <c r="U112" s="734">
        <f t="shared" si="83"/>
        <v>0</v>
      </c>
      <c r="V112" s="706" t="s">
        <v>95</v>
      </c>
    </row>
    <row r="113" spans="1:30" s="821" customFormat="1" ht="24.95" customHeight="1" outlineLevel="1">
      <c r="A113" s="821">
        <v>10</v>
      </c>
      <c r="B113" s="822" t="s">
        <v>809</v>
      </c>
      <c r="C113" s="944" t="s">
        <v>804</v>
      </c>
      <c r="D113" s="945"/>
      <c r="E113" s="945"/>
      <c r="F113" s="945"/>
      <c r="G113" s="945"/>
      <c r="H113" s="946"/>
      <c r="I113" s="706" t="s">
        <v>297</v>
      </c>
      <c r="J113" s="853">
        <v>55500000</v>
      </c>
      <c r="K113" s="826">
        <f>+J113</f>
        <v>55500000</v>
      </c>
      <c r="L113" s="719">
        <f t="shared" si="82"/>
        <v>55500000</v>
      </c>
      <c r="M113" s="732">
        <f t="shared" si="84"/>
        <v>4440000</v>
      </c>
      <c r="N113" s="723">
        <f>+L113+M113</f>
        <v>59940000</v>
      </c>
      <c r="O113" s="733">
        <f>ROUND(L113*10%*$O$94,0)</f>
        <v>1054500</v>
      </c>
      <c r="P113" s="732">
        <f>ROUND(N113*10%,0)</f>
        <v>5994000</v>
      </c>
      <c r="Q113" s="719">
        <f t="shared" si="90"/>
        <v>59940000</v>
      </c>
      <c r="R113" s="732">
        <f>IFERROR(N113-P113,"")</f>
        <v>53946000</v>
      </c>
      <c r="S113" s="733">
        <f>ROUND(M113*10%*$S$94,0)</f>
        <v>84360</v>
      </c>
      <c r="T113" s="734">
        <f>+O113+S113</f>
        <v>1138860</v>
      </c>
      <c r="U113" s="734">
        <f t="shared" si="83"/>
        <v>61078860</v>
      </c>
      <c r="V113" s="706" t="s">
        <v>100</v>
      </c>
    </row>
    <row r="114" spans="1:30" s="821" customFormat="1" ht="24.95" customHeight="1" outlineLevel="1">
      <c r="B114" s="822" t="s">
        <v>810</v>
      </c>
      <c r="C114" s="944" t="s">
        <v>805</v>
      </c>
      <c r="D114" s="945"/>
      <c r="E114" s="945"/>
      <c r="F114" s="945"/>
      <c r="G114" s="945"/>
      <c r="H114" s="946"/>
      <c r="I114" s="706" t="s">
        <v>297</v>
      </c>
      <c r="J114" s="853">
        <v>50000000</v>
      </c>
      <c r="K114" s="826">
        <f>J114</f>
        <v>50000000</v>
      </c>
      <c r="L114" s="732">
        <f t="shared" si="82"/>
        <v>50000000</v>
      </c>
      <c r="M114" s="732">
        <f t="shared" si="84"/>
        <v>4000000</v>
      </c>
      <c r="N114" s="723">
        <f t="shared" ref="N114" si="93">+L114+M114</f>
        <v>54000000</v>
      </c>
      <c r="O114" s="733">
        <f t="shared" si="89"/>
        <v>9500000</v>
      </c>
      <c r="P114" s="733"/>
      <c r="Q114" s="732">
        <f>IFERROR(L114+M114,"")</f>
        <v>54000000</v>
      </c>
      <c r="R114" s="733"/>
      <c r="S114" s="733">
        <f t="shared" si="91"/>
        <v>760000</v>
      </c>
      <c r="T114" s="734">
        <f>+O114+S114</f>
        <v>10260000</v>
      </c>
      <c r="U114" s="734">
        <f t="shared" si="83"/>
        <v>64260000</v>
      </c>
      <c r="V114" s="706" t="s">
        <v>95</v>
      </c>
    </row>
    <row r="115" spans="1:30" ht="24.95" customHeight="1">
      <c r="B115" s="85" t="s">
        <v>287</v>
      </c>
      <c r="C115" s="954" t="s">
        <v>312</v>
      </c>
      <c r="D115" s="954"/>
      <c r="E115" s="954"/>
      <c r="F115" s="954"/>
      <c r="G115" s="954"/>
      <c r="H115" s="954"/>
      <c r="I115" s="954"/>
      <c r="J115" s="954"/>
      <c r="K115" s="817">
        <f>SUM(K101:K113)</f>
        <v>55500000</v>
      </c>
      <c r="L115" s="827">
        <f t="shared" ref="L115:R115" si="94">SUM(L101:L113)</f>
        <v>55500000</v>
      </c>
      <c r="M115" s="817">
        <f t="shared" si="94"/>
        <v>4440000</v>
      </c>
      <c r="N115" s="840">
        <f t="shared" si="94"/>
        <v>59940000</v>
      </c>
      <c r="O115" s="817">
        <f>SUM(O101:O114)</f>
        <v>10554500</v>
      </c>
      <c r="P115" s="817">
        <f t="shared" si="94"/>
        <v>5994000</v>
      </c>
      <c r="Q115" s="817">
        <f t="shared" si="94"/>
        <v>59940000</v>
      </c>
      <c r="R115" s="817">
        <f t="shared" si="94"/>
        <v>53946000</v>
      </c>
      <c r="S115" s="817">
        <f>SUM(S101:S114)</f>
        <v>844360</v>
      </c>
      <c r="T115" s="817">
        <f>SUM(T101:T114)</f>
        <v>11398860</v>
      </c>
      <c r="U115" s="817">
        <f>SUM(U101:U114)</f>
        <v>125338860</v>
      </c>
      <c r="V115" s="60" t="s">
        <v>313</v>
      </c>
      <c r="AC115" s="1"/>
      <c r="AD115" s="1"/>
    </row>
    <row r="116" spans="1:30" ht="24.95" customHeight="1">
      <c r="B116" s="87" t="s">
        <v>274</v>
      </c>
      <c r="C116" s="947" t="s">
        <v>314</v>
      </c>
      <c r="D116" s="948"/>
      <c r="E116" s="948"/>
      <c r="F116" s="948"/>
      <c r="G116" s="948"/>
      <c r="H116" s="948"/>
      <c r="I116" s="948"/>
      <c r="J116" s="949"/>
      <c r="K116" s="829">
        <f>K99+K115</f>
        <v>55500000</v>
      </c>
      <c r="L116" s="828">
        <f>L99+L115</f>
        <v>55500000</v>
      </c>
      <c r="M116" s="829">
        <f t="shared" ref="M116:U116" si="95">+M99+M115</f>
        <v>4440000</v>
      </c>
      <c r="N116" s="830">
        <f t="shared" si="95"/>
        <v>59940000</v>
      </c>
      <c r="O116" s="829">
        <f t="shared" si="95"/>
        <v>10554500</v>
      </c>
      <c r="P116" s="829">
        <f t="shared" si="95"/>
        <v>5994000</v>
      </c>
      <c r="Q116" s="829">
        <f t="shared" si="95"/>
        <v>59940000</v>
      </c>
      <c r="R116" s="829">
        <f t="shared" si="95"/>
        <v>53946000</v>
      </c>
      <c r="S116" s="829">
        <f t="shared" si="95"/>
        <v>844360</v>
      </c>
      <c r="T116" s="829">
        <f>+T99+T115</f>
        <v>11398860</v>
      </c>
      <c r="U116" s="831">
        <f t="shared" si="95"/>
        <v>125338860</v>
      </c>
      <c r="V116" s="53"/>
      <c r="X116" s="808"/>
      <c r="AC116" s="1"/>
      <c r="AD116" s="1"/>
    </row>
    <row r="117" spans="1:30" ht="14.25" customHeight="1">
      <c r="J117" s="2"/>
      <c r="L117" s="788"/>
      <c r="M117" s="788"/>
      <c r="N117" s="791"/>
      <c r="O117" s="788"/>
      <c r="P117" s="788"/>
      <c r="Q117" s="788"/>
      <c r="R117" s="788"/>
      <c r="S117" s="788"/>
      <c r="T117" s="788"/>
      <c r="U117" s="790" t="s">
        <v>649</v>
      </c>
      <c r="V117" s="3"/>
      <c r="X117" s="808"/>
      <c r="AC117" s="1"/>
      <c r="AD117" s="1"/>
    </row>
    <row r="118" spans="1:30" ht="24.95" customHeight="1">
      <c r="B118" s="88">
        <v>2</v>
      </c>
      <c r="C118" s="950" t="s">
        <v>315</v>
      </c>
      <c r="D118" s="951"/>
      <c r="E118" s="951"/>
      <c r="F118" s="951"/>
      <c r="G118" s="951"/>
      <c r="H118" s="951"/>
      <c r="I118" s="951"/>
      <c r="J118" s="952"/>
      <c r="K118" s="784">
        <f>+K90+K116</f>
        <v>80945556</v>
      </c>
      <c r="L118" s="841">
        <f t="shared" ref="L118:S118" si="96">+L90+L116</f>
        <v>80945556</v>
      </c>
      <c r="M118" s="784">
        <f>+M90+M116</f>
        <v>6475644</v>
      </c>
      <c r="N118" s="842">
        <f t="shared" si="96"/>
        <v>87421200</v>
      </c>
      <c r="O118" s="784">
        <f t="shared" si="96"/>
        <v>10554500</v>
      </c>
      <c r="P118" s="784">
        <f t="shared" si="96"/>
        <v>5994000</v>
      </c>
      <c r="Q118" s="784">
        <f t="shared" si="96"/>
        <v>87421200</v>
      </c>
      <c r="R118" s="784">
        <f t="shared" si="96"/>
        <v>53946000</v>
      </c>
      <c r="S118" s="784">
        <f t="shared" si="96"/>
        <v>844360</v>
      </c>
      <c r="T118" s="784">
        <f>+T90+T116</f>
        <v>16620288</v>
      </c>
      <c r="U118" s="843">
        <f>+U90+U116</f>
        <v>158041488</v>
      </c>
      <c r="V118" s="23"/>
      <c r="X118" s="808" t="s">
        <v>649</v>
      </c>
      <c r="AC118" s="1"/>
      <c r="AD118" s="1"/>
    </row>
    <row r="119" spans="1:30" ht="36" customHeight="1">
      <c r="E119" s="788"/>
      <c r="F119" s="788"/>
      <c r="G119" s="788"/>
      <c r="H119" s="788"/>
      <c r="I119" s="788"/>
      <c r="J119" s="788"/>
      <c r="K119" s="788"/>
      <c r="L119" s="789"/>
      <c r="M119" s="789"/>
      <c r="N119" s="788"/>
      <c r="O119" s="789"/>
      <c r="P119" s="788"/>
      <c r="Q119" s="788"/>
      <c r="R119" s="788"/>
      <c r="S119" s="788"/>
      <c r="T119" s="790"/>
      <c r="U119" s="790"/>
      <c r="V119" s="790"/>
      <c r="W119" s="788"/>
      <c r="X119" s="788"/>
      <c r="Y119" s="788"/>
      <c r="Z119" s="788"/>
      <c r="AA119" s="791"/>
      <c r="AB119" s="790"/>
      <c r="AC119" s="790"/>
    </row>
    <row r="120" spans="1:30" ht="27" customHeight="1" thickBot="1">
      <c r="B120" s="133"/>
      <c r="C120" s="133"/>
      <c r="D120" s="133"/>
      <c r="E120" s="133"/>
      <c r="F120" s="133"/>
      <c r="G120" s="133"/>
      <c r="H120" s="133"/>
      <c r="I120" s="133"/>
      <c r="J120" s="133"/>
      <c r="K120" s="133"/>
      <c r="L120" s="133"/>
      <c r="M120" s="133"/>
      <c r="N120" s="133"/>
      <c r="O120" s="133"/>
      <c r="P120" s="133"/>
      <c r="Q120" s="133"/>
      <c r="R120" s="133"/>
      <c r="S120" s="133"/>
      <c r="T120" s="133"/>
      <c r="U120" s="133"/>
      <c r="V120" s="792"/>
      <c r="W120" s="133"/>
      <c r="X120" s="133"/>
      <c r="Y120" s="133"/>
      <c r="Z120" s="133"/>
      <c r="AA120" s="793" t="s">
        <v>649</v>
      </c>
      <c r="AB120" s="133"/>
      <c r="AC120" s="792"/>
      <c r="AD120" s="794"/>
    </row>
    <row r="121" spans="1:30" s="97" customFormat="1" ht="26.25" customHeight="1" thickTop="1" thickBot="1">
      <c r="B121" s="892" t="s">
        <v>2</v>
      </c>
      <c r="C121" s="892"/>
      <c r="D121" s="973" t="s">
        <v>2</v>
      </c>
      <c r="E121" s="973"/>
      <c r="F121" s="973"/>
      <c r="G121" s="973"/>
      <c r="H121" s="973"/>
      <c r="I121" s="973"/>
      <c r="J121" s="973"/>
      <c r="L121" s="974" t="s">
        <v>317</v>
      </c>
      <c r="M121" s="974"/>
      <c r="N121" s="975" t="s">
        <v>6</v>
      </c>
      <c r="O121" s="975"/>
      <c r="P121" s="975"/>
      <c r="Q121" s="975"/>
      <c r="R121" s="975"/>
      <c r="S121" s="975"/>
      <c r="T121" s="976" t="s">
        <v>5</v>
      </c>
      <c r="V121" s="795" t="s">
        <v>649</v>
      </c>
      <c r="AB121" s="796"/>
      <c r="AC121" s="796"/>
      <c r="AD121" s="797"/>
    </row>
    <row r="122" spans="1:30" s="97" customFormat="1" ht="59.25" customHeight="1" thickTop="1" thickBot="1">
      <c r="B122" s="892"/>
      <c r="C122" s="892"/>
      <c r="D122" s="972" t="s">
        <v>6</v>
      </c>
      <c r="E122" s="894" t="s">
        <v>7</v>
      </c>
      <c r="F122" s="894"/>
      <c r="G122" s="894"/>
      <c r="H122" s="894"/>
      <c r="I122" s="98" t="s">
        <v>8</v>
      </c>
      <c r="J122" s="96" t="s">
        <v>9</v>
      </c>
      <c r="L122" s="974"/>
      <c r="M122" s="974"/>
      <c r="N122" s="972" t="s">
        <v>6</v>
      </c>
      <c r="O122" s="861" t="s">
        <v>10</v>
      </c>
      <c r="P122" s="861"/>
      <c r="Q122" s="861"/>
      <c r="R122" s="861"/>
      <c r="S122" s="94" t="s">
        <v>318</v>
      </c>
      <c r="T122" s="976"/>
      <c r="AC122" s="170" t="s">
        <v>649</v>
      </c>
      <c r="AD122" s="171"/>
    </row>
    <row r="123" spans="1:30" s="97" customFormat="1" ht="26.25" customHeight="1" thickTop="1" thickBot="1">
      <c r="B123" s="892"/>
      <c r="C123" s="892"/>
      <c r="D123" s="972"/>
      <c r="E123" s="953" t="s">
        <v>12</v>
      </c>
      <c r="F123" s="953"/>
      <c r="G123" s="953"/>
      <c r="H123" s="953"/>
      <c r="I123" s="107">
        <f>+AC44</f>
        <v>1155923518</v>
      </c>
      <c r="J123" s="99" t="s">
        <v>13</v>
      </c>
      <c r="L123" s="974"/>
      <c r="M123" s="974"/>
      <c r="N123" s="972"/>
      <c r="O123" s="953" t="s">
        <v>14</v>
      </c>
      <c r="P123" s="953"/>
      <c r="Q123" s="953"/>
      <c r="R123" s="953"/>
      <c r="S123" s="93">
        <f>+I123+I132</f>
        <v>1188626146</v>
      </c>
      <c r="T123" s="93">
        <v>1324301528</v>
      </c>
      <c r="W123" s="982"/>
      <c r="X123" s="982"/>
      <c r="Y123" s="982"/>
      <c r="Z123" s="982"/>
      <c r="AA123" s="982"/>
      <c r="AB123" s="982"/>
      <c r="AC123" s="982"/>
      <c r="AD123" s="982"/>
    </row>
    <row r="124" spans="1:30" s="97" customFormat="1" ht="26.25" customHeight="1" thickTop="1" thickBot="1">
      <c r="B124" s="892"/>
      <c r="C124" s="892"/>
      <c r="D124" s="972"/>
      <c r="E124" s="953" t="s">
        <v>94</v>
      </c>
      <c r="F124" s="953"/>
      <c r="G124" s="953"/>
      <c r="H124" s="953"/>
      <c r="I124" s="91">
        <f>AC61</f>
        <v>238346974</v>
      </c>
      <c r="J124" s="99" t="s">
        <v>95</v>
      </c>
      <c r="L124" s="974"/>
      <c r="M124" s="974"/>
      <c r="N124" s="972"/>
      <c r="O124" s="953" t="s">
        <v>88</v>
      </c>
      <c r="P124" s="953"/>
      <c r="Q124" s="953"/>
      <c r="R124" s="953"/>
      <c r="S124" s="93">
        <f>+I124+I133</f>
        <v>302606974</v>
      </c>
      <c r="T124" s="93">
        <v>446394854</v>
      </c>
    </row>
    <row r="125" spans="1:30" s="97" customFormat="1" ht="26.25" customHeight="1" thickTop="1" thickBot="1">
      <c r="B125" s="892"/>
      <c r="C125" s="892"/>
      <c r="D125" s="972"/>
      <c r="E125" s="953" t="s">
        <v>15</v>
      </c>
      <c r="F125" s="953"/>
      <c r="G125" s="953"/>
      <c r="H125" s="953"/>
      <c r="I125" s="107">
        <f>U71</f>
        <v>0</v>
      </c>
      <c r="J125" s="99" t="s">
        <v>16</v>
      </c>
      <c r="L125" s="974"/>
      <c r="M125" s="974"/>
      <c r="N125" s="972"/>
      <c r="O125" s="953" t="s">
        <v>17</v>
      </c>
      <c r="P125" s="953"/>
      <c r="Q125" s="953"/>
      <c r="R125" s="953"/>
      <c r="S125" s="93">
        <f>+I125+I127</f>
        <v>0</v>
      </c>
      <c r="T125" s="93">
        <v>92529562</v>
      </c>
    </row>
    <row r="126" spans="1:30" s="97" customFormat="1" ht="26.25" customHeight="1" thickTop="1" thickBot="1">
      <c r="B126" s="892"/>
      <c r="C126" s="892"/>
      <c r="D126" s="972"/>
      <c r="E126" s="953" t="s">
        <v>96</v>
      </c>
      <c r="F126" s="953"/>
      <c r="G126" s="953"/>
      <c r="H126" s="953"/>
      <c r="I126" s="91">
        <f>U96</f>
        <v>0</v>
      </c>
      <c r="J126" s="99" t="s">
        <v>97</v>
      </c>
      <c r="L126" s="974"/>
      <c r="M126" s="974"/>
      <c r="N126" s="972"/>
      <c r="O126" s="953" t="s">
        <v>89</v>
      </c>
      <c r="P126" s="953"/>
      <c r="Q126" s="953"/>
      <c r="R126" s="953"/>
      <c r="S126" s="93">
        <f>+I126+I128</f>
        <v>0</v>
      </c>
      <c r="T126" s="93">
        <v>32573369</v>
      </c>
    </row>
    <row r="127" spans="1:30" s="97" customFormat="1" ht="26.25" customHeight="1" thickTop="1" thickBot="1">
      <c r="B127" s="892"/>
      <c r="C127" s="892"/>
      <c r="D127" s="972"/>
      <c r="E127" s="953" t="s">
        <v>18</v>
      </c>
      <c r="F127" s="953"/>
      <c r="G127" s="953"/>
      <c r="H127" s="953"/>
      <c r="I127" s="107">
        <f>U72</f>
        <v>0</v>
      </c>
      <c r="J127" s="99" t="s">
        <v>16</v>
      </c>
      <c r="L127" s="974"/>
      <c r="M127" s="974"/>
      <c r="N127" s="972"/>
      <c r="O127" s="953" t="s">
        <v>19</v>
      </c>
      <c r="P127" s="953"/>
      <c r="Q127" s="953"/>
      <c r="R127" s="953"/>
      <c r="S127" s="93">
        <f>+I129</f>
        <v>0</v>
      </c>
      <c r="T127" s="93">
        <v>139823033</v>
      </c>
    </row>
    <row r="128" spans="1:30" s="97" customFormat="1" ht="26.25" customHeight="1" thickTop="1" thickBot="1">
      <c r="B128" s="892"/>
      <c r="C128" s="892"/>
      <c r="D128" s="972"/>
      <c r="E128" s="953" t="s">
        <v>98</v>
      </c>
      <c r="F128" s="953"/>
      <c r="G128" s="953"/>
      <c r="H128" s="953"/>
      <c r="I128" s="91">
        <f>U97</f>
        <v>0</v>
      </c>
      <c r="J128" s="99" t="s">
        <v>97</v>
      </c>
      <c r="L128" s="974"/>
      <c r="M128" s="974"/>
      <c r="N128" s="972"/>
      <c r="O128" s="953" t="s">
        <v>90</v>
      </c>
      <c r="P128" s="953"/>
      <c r="Q128" s="953"/>
      <c r="R128" s="953"/>
      <c r="S128" s="90">
        <f>+I130+I131</f>
        <v>61078860</v>
      </c>
      <c r="T128" s="93">
        <v>32310600</v>
      </c>
    </row>
    <row r="129" spans="2:30" s="97" customFormat="1" ht="36" customHeight="1" thickTop="1" thickBot="1">
      <c r="B129" s="892"/>
      <c r="C129" s="892"/>
      <c r="D129" s="972"/>
      <c r="E129" s="953" t="s">
        <v>20</v>
      </c>
      <c r="F129" s="953"/>
      <c r="G129" s="953"/>
      <c r="H129" s="953"/>
      <c r="I129" s="107">
        <f>SUM(U73:U79)</f>
        <v>0</v>
      </c>
      <c r="J129" s="99" t="s">
        <v>21</v>
      </c>
      <c r="L129" s="974"/>
      <c r="M129" s="974"/>
      <c r="N129" s="972"/>
      <c r="O129" s="861" t="s">
        <v>22</v>
      </c>
      <c r="P129" s="861"/>
      <c r="Q129" s="861"/>
      <c r="R129" s="861"/>
      <c r="S129" s="95">
        <f>SUM(S123:S128)</f>
        <v>1552311980</v>
      </c>
      <c r="T129" s="95">
        <f>SUM(T123:T128)</f>
        <v>2067932946</v>
      </c>
    </row>
    <row r="130" spans="2:30" s="97" customFormat="1" ht="26.25" customHeight="1" thickTop="1" thickBot="1">
      <c r="B130" s="892"/>
      <c r="C130" s="892"/>
      <c r="D130" s="972"/>
      <c r="E130" s="953" t="s">
        <v>99</v>
      </c>
      <c r="F130" s="953"/>
      <c r="G130" s="953"/>
      <c r="H130" s="953"/>
      <c r="I130" s="91">
        <f>U98</f>
        <v>0</v>
      </c>
      <c r="J130" s="99" t="s">
        <v>100</v>
      </c>
    </row>
    <row r="131" spans="2:30" s="97" customFormat="1" ht="40.5" customHeight="1" thickTop="1" thickBot="1">
      <c r="B131" s="892"/>
      <c r="C131" s="892"/>
      <c r="D131" s="972"/>
      <c r="E131" s="953" t="s">
        <v>806</v>
      </c>
      <c r="F131" s="953"/>
      <c r="G131" s="953"/>
      <c r="H131" s="953"/>
      <c r="I131" s="844">
        <f>U113</f>
        <v>61078860</v>
      </c>
      <c r="J131" s="99" t="s">
        <v>100</v>
      </c>
    </row>
    <row r="132" spans="2:30" s="97" customFormat="1" ht="26.25" customHeight="1" thickTop="1" thickBot="1">
      <c r="B132" s="892"/>
      <c r="C132" s="892"/>
      <c r="D132" s="972"/>
      <c r="E132" s="953" t="s">
        <v>23</v>
      </c>
      <c r="F132" s="953"/>
      <c r="G132" s="953"/>
      <c r="H132" s="953"/>
      <c r="I132" s="845">
        <f>SUM(U82:U88)</f>
        <v>32702628</v>
      </c>
      <c r="J132" s="99" t="s">
        <v>13</v>
      </c>
    </row>
    <row r="133" spans="2:30" s="97" customFormat="1" ht="26.25" customHeight="1" thickTop="1" thickBot="1">
      <c r="B133" s="892"/>
      <c r="C133" s="892"/>
      <c r="D133" s="972"/>
      <c r="E133" s="953" t="s">
        <v>101</v>
      </c>
      <c r="F133" s="953"/>
      <c r="G133" s="953"/>
      <c r="H133" s="953"/>
      <c r="I133" s="844">
        <f>SUM(U101:U112)+U114</f>
        <v>64260000</v>
      </c>
      <c r="J133" s="99" t="s">
        <v>95</v>
      </c>
    </row>
    <row r="134" spans="2:30" s="97" customFormat="1" ht="26.25" customHeight="1" thickTop="1" thickBot="1">
      <c r="B134" s="892"/>
      <c r="C134" s="892"/>
      <c r="D134" s="972"/>
      <c r="E134" s="861" t="s">
        <v>22</v>
      </c>
      <c r="F134" s="861"/>
      <c r="G134" s="861"/>
      <c r="H134" s="861"/>
      <c r="I134" s="92">
        <f>ROUND((SUM(I123:I133)),0)</f>
        <v>1552311980</v>
      </c>
      <c r="J134" s="100"/>
      <c r="K134" s="860"/>
    </row>
    <row r="135" spans="2:30" ht="9.75" customHeight="1" thickTop="1">
      <c r="B135" s="134"/>
      <c r="C135" s="134"/>
      <c r="D135" s="134"/>
      <c r="E135" s="134"/>
      <c r="F135" s="134"/>
      <c r="G135" s="134"/>
      <c r="H135" s="134"/>
      <c r="I135" s="134"/>
      <c r="J135" s="134"/>
      <c r="K135" s="134"/>
      <c r="L135" s="134"/>
      <c r="M135" s="134"/>
      <c r="N135" s="134"/>
      <c r="O135" s="134"/>
      <c r="P135" s="134"/>
      <c r="Q135" s="134"/>
      <c r="R135" s="134"/>
      <c r="S135" s="134"/>
      <c r="T135" s="134"/>
      <c r="U135" s="134"/>
      <c r="V135" s="134"/>
      <c r="W135" s="134"/>
      <c r="X135" s="134"/>
      <c r="Y135" s="134"/>
      <c r="Z135" s="134"/>
      <c r="AA135" s="134"/>
      <c r="AB135" s="134"/>
      <c r="AC135" s="134"/>
      <c r="AD135" s="134"/>
    </row>
    <row r="136" spans="2:30" ht="43.5" customHeight="1">
      <c r="B136" s="135" t="s">
        <v>319</v>
      </c>
      <c r="C136" s="135"/>
      <c r="D136" s="135"/>
      <c r="E136" s="135"/>
      <c r="F136" s="135"/>
      <c r="G136" s="135"/>
      <c r="H136" s="135"/>
      <c r="I136" s="135"/>
      <c r="J136" s="135"/>
      <c r="K136" s="135"/>
      <c r="L136" s="135"/>
      <c r="M136" s="135"/>
      <c r="N136" s="135"/>
      <c r="O136" s="135"/>
      <c r="P136" s="135"/>
      <c r="Q136" s="135"/>
      <c r="R136" s="135"/>
      <c r="S136" s="135"/>
      <c r="T136" s="135"/>
      <c r="U136" s="135"/>
      <c r="V136" s="135"/>
      <c r="W136" s="135"/>
      <c r="X136" s="135"/>
      <c r="Y136" s="135"/>
      <c r="Z136" s="135"/>
      <c r="AA136" s="135"/>
      <c r="AB136" s="135"/>
      <c r="AC136" s="135"/>
      <c r="AD136" s="135"/>
    </row>
    <row r="137" spans="2:30" ht="33" customHeight="1">
      <c r="B137" s="136" t="s">
        <v>320</v>
      </c>
      <c r="C137" s="136"/>
      <c r="D137" s="136"/>
      <c r="E137" s="136"/>
      <c r="F137" s="136"/>
      <c r="G137" s="136"/>
      <c r="H137" s="136"/>
      <c r="I137" s="136"/>
      <c r="J137" s="136"/>
      <c r="K137" s="136"/>
      <c r="L137" s="136"/>
      <c r="M137" s="136"/>
      <c r="N137" s="136"/>
      <c r="O137" s="136"/>
      <c r="P137" s="136"/>
      <c r="Q137" s="136"/>
      <c r="R137" s="136"/>
      <c r="S137" s="136"/>
      <c r="T137" s="136"/>
      <c r="U137" s="136"/>
      <c r="V137" s="136"/>
      <c r="W137" s="136"/>
      <c r="X137" s="136"/>
      <c r="Y137" s="136"/>
      <c r="Z137" s="136"/>
      <c r="AA137" s="136"/>
      <c r="AB137" s="136"/>
      <c r="AC137" s="136"/>
      <c r="AD137" s="136"/>
    </row>
    <row r="138" spans="2:30">
      <c r="T138" s="13"/>
      <c r="U138" s="13"/>
      <c r="AB138" s="13"/>
    </row>
    <row r="139" spans="2:30" s="97" customFormat="1" ht="41.25" customHeight="1">
      <c r="B139" s="101" t="s">
        <v>333</v>
      </c>
      <c r="C139" s="101"/>
      <c r="D139" s="101"/>
      <c r="E139" s="101"/>
      <c r="F139" s="102"/>
      <c r="G139" s="103"/>
      <c r="H139" s="104"/>
      <c r="I139" s="104"/>
      <c r="J139" s="105"/>
      <c r="L139" s="19"/>
      <c r="M139" s="20"/>
      <c r="N139" s="20"/>
      <c r="O139" s="20"/>
      <c r="P139" s="20"/>
      <c r="Q139" s="20"/>
      <c r="R139" s="20"/>
      <c r="S139" s="20"/>
    </row>
    <row r="140" spans="2:30" s="97" customFormat="1" ht="33.75" customHeight="1">
      <c r="B140" s="101" t="s">
        <v>334</v>
      </c>
      <c r="C140" s="798"/>
      <c r="D140" s="101"/>
      <c r="E140" s="101"/>
      <c r="F140" s="102"/>
      <c r="G140" s="103"/>
      <c r="H140" s="104"/>
      <c r="I140" s="104"/>
      <c r="J140" s="105"/>
    </row>
    <row r="141" spans="2:30" s="97" customFormat="1" ht="33.75" customHeight="1">
      <c r="B141" s="101"/>
      <c r="C141" s="101"/>
      <c r="D141" s="101"/>
      <c r="E141" s="101"/>
      <c r="F141" s="102"/>
      <c r="G141" s="103"/>
      <c r="H141" s="104"/>
      <c r="I141" s="104"/>
      <c r="J141" s="105"/>
    </row>
    <row r="142" spans="2:30" s="97" customFormat="1" ht="26.25" customHeight="1">
      <c r="B142" s="19" t="s">
        <v>335</v>
      </c>
      <c r="C142" s="101"/>
      <c r="D142" s="101"/>
      <c r="E142" s="101"/>
      <c r="F142" s="102"/>
      <c r="G142" s="103"/>
      <c r="H142" s="104"/>
      <c r="I142" s="104"/>
      <c r="J142" s="105"/>
    </row>
    <row r="143" spans="2:30" s="97" customFormat="1" ht="26.25" customHeight="1">
      <c r="B143" s="137" t="s">
        <v>321</v>
      </c>
      <c r="C143" s="137"/>
      <c r="D143" s="137"/>
      <c r="E143" s="137"/>
      <c r="F143" s="137"/>
      <c r="G143" s="137"/>
      <c r="H143" s="137"/>
      <c r="I143" s="137"/>
      <c r="J143" s="137"/>
    </row>
    <row r="144" spans="2:30" s="97" customFormat="1" ht="26.25" customHeight="1">
      <c r="B144" s="138" t="s">
        <v>322</v>
      </c>
      <c r="C144" s="138"/>
      <c r="D144" s="138"/>
      <c r="E144" s="138"/>
      <c r="F144" s="138"/>
      <c r="G144" s="138"/>
      <c r="H144" s="138"/>
      <c r="I144" s="138"/>
      <c r="J144" s="105"/>
    </row>
    <row r="145" spans="2:30" s="97" customFormat="1" ht="26.25" customHeight="1">
      <c r="B145" s="101" t="s">
        <v>323</v>
      </c>
      <c r="C145" s="101"/>
      <c r="D145" s="101"/>
      <c r="E145" s="101"/>
      <c r="F145" s="102"/>
      <c r="G145" s="103"/>
      <c r="H145" s="104"/>
      <c r="I145" s="104"/>
      <c r="J145" s="105"/>
    </row>
    <row r="146" spans="2:30" s="97" customFormat="1" ht="42" customHeight="1">
      <c r="B146" s="139" t="s">
        <v>324</v>
      </c>
      <c r="C146" s="139"/>
      <c r="D146" s="139"/>
      <c r="E146" s="139"/>
      <c r="F146" s="139"/>
      <c r="G146" s="139"/>
      <c r="H146" s="139"/>
      <c r="I146" s="139"/>
      <c r="J146" s="105"/>
    </row>
    <row r="147" spans="2:30" s="97" customFormat="1" ht="69.75" customHeight="1">
      <c r="B147" s="139" t="s">
        <v>325</v>
      </c>
      <c r="C147" s="139"/>
      <c r="D147" s="139"/>
      <c r="E147" s="139"/>
      <c r="F147" s="139"/>
      <c r="G147" s="139"/>
      <c r="H147" s="139"/>
      <c r="I147" s="139"/>
      <c r="J147" s="105"/>
    </row>
    <row r="148" spans="2:30" s="97" customFormat="1" ht="32.25" customHeight="1">
      <c r="B148" s="139" t="s">
        <v>326</v>
      </c>
      <c r="C148" s="139"/>
      <c r="D148" s="139"/>
      <c r="E148" s="139"/>
      <c r="F148" s="139"/>
      <c r="G148" s="139"/>
      <c r="H148" s="139"/>
      <c r="I148" s="139"/>
      <c r="J148" s="105"/>
    </row>
    <row r="149" spans="2:30" s="97" customFormat="1" ht="54.75" customHeight="1">
      <c r="B149" s="139" t="s">
        <v>327</v>
      </c>
      <c r="C149" s="139"/>
      <c r="D149" s="139"/>
      <c r="E149" s="139"/>
      <c r="F149" s="139"/>
      <c r="G149" s="139"/>
      <c r="H149" s="139"/>
      <c r="I149" s="139"/>
      <c r="J149" s="105"/>
    </row>
    <row r="150" spans="2:30" s="97" customFormat="1" ht="114" customHeight="1">
      <c r="B150" s="139" t="s">
        <v>328</v>
      </c>
      <c r="C150" s="139"/>
      <c r="D150" s="139"/>
      <c r="E150" s="139"/>
      <c r="F150" s="139"/>
      <c r="G150" s="139"/>
      <c r="H150" s="139"/>
      <c r="I150" s="139"/>
      <c r="J150" s="105"/>
    </row>
    <row r="151" spans="2:30" s="97" customFormat="1" ht="26.25" customHeight="1">
      <c r="B151" s="139" t="s">
        <v>329</v>
      </c>
      <c r="C151" s="139"/>
      <c r="D151" s="139"/>
      <c r="E151" s="139"/>
      <c r="F151" s="139"/>
      <c r="G151" s="139"/>
      <c r="H151" s="139"/>
      <c r="I151" s="139"/>
      <c r="J151" s="105"/>
    </row>
    <row r="152" spans="2:30" s="800" customFormat="1" ht="34.5" customHeight="1">
      <c r="B152" s="139" t="s">
        <v>330</v>
      </c>
      <c r="C152" s="139"/>
      <c r="D152" s="139"/>
      <c r="E152" s="139"/>
      <c r="F152" s="139"/>
      <c r="G152" s="139"/>
      <c r="H152" s="139"/>
      <c r="I152" s="139"/>
      <c r="J152" s="799"/>
      <c r="K152" s="799"/>
      <c r="L152" s="799"/>
      <c r="M152" s="799"/>
      <c r="N152" s="799"/>
      <c r="O152" s="799"/>
      <c r="P152" s="799"/>
      <c r="Q152" s="799"/>
      <c r="R152" s="799"/>
      <c r="S152" s="799"/>
    </row>
    <row r="153" spans="2:30" s="800" customFormat="1" ht="39" customHeight="1">
      <c r="B153" s="139" t="s">
        <v>331</v>
      </c>
      <c r="C153" s="139"/>
      <c r="D153" s="139"/>
      <c r="E153" s="139"/>
      <c r="F153" s="139"/>
      <c r="G153" s="139"/>
      <c r="H153" s="139"/>
      <c r="I153" s="139"/>
      <c r="J153" s="799"/>
      <c r="K153" s="799"/>
      <c r="L153" s="799"/>
      <c r="M153" s="799"/>
      <c r="N153" s="799"/>
      <c r="O153" s="799"/>
      <c r="P153" s="799"/>
      <c r="Q153" s="799"/>
      <c r="R153" s="799"/>
      <c r="S153" s="799"/>
    </row>
    <row r="154" spans="2:30" s="800" customFormat="1" ht="75" customHeight="1">
      <c r="B154" s="139" t="s">
        <v>332</v>
      </c>
      <c r="C154" s="139"/>
      <c r="D154" s="139"/>
      <c r="E154" s="139"/>
      <c r="F154" s="139"/>
      <c r="G154" s="139"/>
      <c r="H154" s="139"/>
      <c r="I154" s="139"/>
      <c r="J154" s="799"/>
      <c r="K154" s="799"/>
      <c r="L154" s="799"/>
      <c r="M154" s="799"/>
      <c r="N154" s="799"/>
      <c r="O154" s="799"/>
      <c r="P154" s="799"/>
      <c r="Q154" s="799"/>
      <c r="R154" s="799"/>
      <c r="S154" s="799"/>
    </row>
    <row r="155" spans="2:30" s="3" customFormat="1" ht="27" customHeight="1">
      <c r="B155" s="16"/>
      <c r="C155" s="17"/>
      <c r="D155" s="12"/>
      <c r="E155" s="12"/>
      <c r="F155" s="12"/>
      <c r="G155" s="12"/>
      <c r="H155" s="12"/>
      <c r="I155" s="12"/>
      <c r="J155" s="12"/>
      <c r="K155" s="12"/>
      <c r="L155" s="15"/>
      <c r="M155" s="1"/>
      <c r="N155" s="1"/>
      <c r="O155" s="1"/>
      <c r="P155" s="1"/>
      <c r="Q155" s="1"/>
      <c r="R155" s="1"/>
      <c r="S155" s="1"/>
      <c r="T155" s="1"/>
      <c r="AB155" s="1"/>
      <c r="AC155" s="1"/>
      <c r="AD155" s="1"/>
    </row>
    <row r="156" spans="2:30" s="3" customFormat="1" ht="20.25" customHeight="1">
      <c r="B156" s="24"/>
      <c r="C156" s="17"/>
      <c r="D156" s="12"/>
      <c r="E156" s="12"/>
      <c r="F156" s="12"/>
      <c r="G156" s="12"/>
      <c r="H156" s="12"/>
      <c r="I156" s="12"/>
      <c r="J156" s="12"/>
      <c r="K156" s="12"/>
      <c r="L156" s="15"/>
      <c r="M156" s="1"/>
      <c r="N156" s="1"/>
      <c r="O156" s="1"/>
      <c r="P156" s="1"/>
      <c r="Q156" s="1"/>
      <c r="R156" s="1"/>
      <c r="S156" s="1"/>
      <c r="T156" s="1"/>
      <c r="AB156" s="1"/>
      <c r="AC156" s="1"/>
      <c r="AD156" s="1"/>
    </row>
    <row r="157" spans="2:30" s="3" customFormat="1" ht="24" customHeight="1">
      <c r="B157" s="24"/>
      <c r="C157" s="17"/>
      <c r="D157" s="12"/>
      <c r="E157" s="12"/>
      <c r="F157" s="12"/>
      <c r="G157" s="12"/>
      <c r="H157" s="12"/>
      <c r="I157" s="12"/>
      <c r="J157" s="12"/>
      <c r="K157" s="12"/>
      <c r="L157" s="15"/>
      <c r="M157" s="1"/>
      <c r="N157" s="1"/>
      <c r="O157" s="1"/>
      <c r="P157" s="1"/>
      <c r="Q157" s="1"/>
      <c r="R157" s="1"/>
      <c r="S157" s="1"/>
      <c r="T157" s="1"/>
      <c r="V157" s="1"/>
      <c r="W157" s="1"/>
      <c r="X157" s="1"/>
      <c r="Y157" s="1"/>
      <c r="Z157" s="1"/>
      <c r="AA157" s="1"/>
      <c r="AB157" s="1"/>
      <c r="AC157" s="1"/>
      <c r="AD157" s="1"/>
    </row>
    <row r="158" spans="2:30" s="3" customFormat="1" ht="12.75" customHeight="1">
      <c r="B158" s="24"/>
      <c r="C158" s="17"/>
      <c r="D158" s="12"/>
      <c r="E158" s="12"/>
      <c r="F158" s="12"/>
      <c r="G158" s="12"/>
      <c r="H158" s="12"/>
      <c r="I158" s="12"/>
      <c r="J158" s="12"/>
      <c r="K158" s="12"/>
      <c r="L158" s="15"/>
      <c r="M158" s="1"/>
      <c r="N158" s="1"/>
      <c r="O158" s="1"/>
      <c r="P158" s="1"/>
      <c r="Q158" s="1"/>
      <c r="R158" s="1"/>
      <c r="S158" s="1"/>
      <c r="T158" s="1"/>
      <c r="V158" s="1"/>
      <c r="W158" s="1"/>
      <c r="X158" s="1"/>
      <c r="Y158" s="1"/>
      <c r="Z158" s="1"/>
      <c r="AA158" s="1"/>
    </row>
    <row r="159" spans="2:30" s="3" customFormat="1" ht="12.75" customHeight="1">
      <c r="E159" s="12"/>
      <c r="F159" s="12"/>
      <c r="G159" s="12"/>
      <c r="H159" s="12"/>
      <c r="I159" s="12"/>
      <c r="J159" s="12"/>
      <c r="K159" s="12"/>
      <c r="L159" s="15"/>
      <c r="M159" s="1"/>
      <c r="N159" s="1"/>
      <c r="O159" s="1"/>
      <c r="P159" s="1"/>
      <c r="Q159" s="1"/>
      <c r="R159" s="1"/>
      <c r="S159" s="1"/>
      <c r="T159" s="1"/>
      <c r="V159" s="1"/>
      <c r="W159" s="1"/>
      <c r="X159" s="1"/>
      <c r="Y159" s="1"/>
      <c r="Z159" s="1"/>
      <c r="AA159" s="1"/>
      <c r="AB159" s="1"/>
    </row>
    <row r="160" spans="2:30" s="3" customFormat="1" ht="12.75">
      <c r="C160" s="16"/>
      <c r="D160" s="12"/>
      <c r="E160" s="12"/>
      <c r="F160" s="12"/>
      <c r="G160" s="12"/>
      <c r="H160" s="12"/>
      <c r="I160" s="12"/>
      <c r="J160" s="12"/>
      <c r="K160" s="12"/>
      <c r="L160" s="15"/>
      <c r="M160" s="1"/>
      <c r="N160" s="1"/>
      <c r="O160" s="1"/>
      <c r="P160" s="1"/>
      <c r="Q160" s="1"/>
      <c r="R160" s="1"/>
      <c r="S160" s="1"/>
      <c r="T160" s="1"/>
      <c r="AB160" s="1"/>
    </row>
    <row r="161" spans="2:28" s="3" customFormat="1" ht="15">
      <c r="B161" s="16"/>
      <c r="C161" s="21"/>
      <c r="D161" s="21"/>
      <c r="E161" s="21"/>
      <c r="F161" s="21"/>
      <c r="G161" s="21"/>
      <c r="H161" s="21"/>
      <c r="I161" s="21"/>
      <c r="J161" s="21"/>
      <c r="K161" s="12"/>
      <c r="L161" s="15"/>
      <c r="M161" s="1"/>
      <c r="N161" s="1"/>
      <c r="O161" s="1"/>
      <c r="P161" s="1"/>
      <c r="Q161" s="1"/>
      <c r="R161" s="1"/>
      <c r="S161" s="1"/>
      <c r="T161" s="1"/>
      <c r="AB161" s="1"/>
    </row>
    <row r="162" spans="2:28" s="3" customFormat="1" ht="12.75">
      <c r="B162" s="12"/>
      <c r="C162" s="17"/>
      <c r="D162" s="12"/>
      <c r="E162" s="12"/>
      <c r="F162" s="12"/>
      <c r="G162" s="12"/>
      <c r="H162" s="12"/>
      <c r="I162" s="12"/>
      <c r="J162" s="12"/>
      <c r="K162" s="12"/>
      <c r="L162" s="15"/>
      <c r="M162" s="1"/>
      <c r="N162" s="1"/>
      <c r="O162" s="1"/>
      <c r="P162" s="1"/>
      <c r="Q162" s="1"/>
      <c r="R162" s="1"/>
      <c r="S162" s="1"/>
      <c r="T162" s="1"/>
      <c r="U162" s="1"/>
      <c r="V162" s="1"/>
      <c r="W162" s="1"/>
      <c r="X162" s="1"/>
      <c r="Y162" s="1"/>
      <c r="Z162" s="1"/>
      <c r="AA162" s="1"/>
      <c r="AB162" s="1"/>
    </row>
    <row r="163" spans="2:28" s="3" customFormat="1" ht="12.75">
      <c r="B163" s="18"/>
      <c r="C163" s="17"/>
      <c r="D163" s="12"/>
      <c r="E163" s="12"/>
      <c r="F163" s="12"/>
      <c r="G163" s="12"/>
      <c r="H163" s="12"/>
      <c r="I163" s="12"/>
      <c r="J163" s="12"/>
      <c r="K163" s="12"/>
      <c r="L163" s="15"/>
      <c r="M163" s="1"/>
      <c r="N163" s="1"/>
      <c r="O163" s="1"/>
      <c r="P163" s="1"/>
      <c r="Q163" s="1"/>
      <c r="R163" s="1"/>
      <c r="S163" s="1"/>
      <c r="T163" s="1"/>
      <c r="U163" s="1"/>
      <c r="V163" s="1"/>
      <c r="W163" s="1"/>
      <c r="X163" s="1"/>
      <c r="Y163" s="1"/>
      <c r="Z163" s="1"/>
      <c r="AA163" s="1"/>
      <c r="AB163" s="1"/>
    </row>
  </sheetData>
  <autoFilter ref="B11:AE42" xr:uid="{00000000-0009-0000-0000-000004000000}"/>
  <mergeCells count="78">
    <mergeCell ref="B6:AD6"/>
    <mergeCell ref="B1:AD1"/>
    <mergeCell ref="B2:AD2"/>
    <mergeCell ref="B3:AD3"/>
    <mergeCell ref="AH3:AI3"/>
    <mergeCell ref="B4:AD4"/>
    <mergeCell ref="B7:AD7"/>
    <mergeCell ref="C9:AD9"/>
    <mergeCell ref="B11:B12"/>
    <mergeCell ref="C11:C12"/>
    <mergeCell ref="D11:D12"/>
    <mergeCell ref="E11:E12"/>
    <mergeCell ref="F11:F12"/>
    <mergeCell ref="J11:J12"/>
    <mergeCell ref="Q11:Q12"/>
    <mergeCell ref="R11:R12"/>
    <mergeCell ref="V11:V12"/>
    <mergeCell ref="AA11:AA12"/>
    <mergeCell ref="AC11:AC12"/>
    <mergeCell ref="AD11:AD12"/>
    <mergeCell ref="B47:B48"/>
    <mergeCell ref="E132:H132"/>
    <mergeCell ref="E133:H133"/>
    <mergeCell ref="E134:H134"/>
    <mergeCell ref="W123:AD123"/>
    <mergeCell ref="E124:H124"/>
    <mergeCell ref="O124:R124"/>
    <mergeCell ref="E125:H125"/>
    <mergeCell ref="O125:R125"/>
    <mergeCell ref="E126:H126"/>
    <mergeCell ref="O126:R126"/>
    <mergeCell ref="N122:N129"/>
    <mergeCell ref="O122:R122"/>
    <mergeCell ref="E123:H123"/>
    <mergeCell ref="O123:R123"/>
    <mergeCell ref="E127:H127"/>
    <mergeCell ref="O127:R127"/>
    <mergeCell ref="B93:B94"/>
    <mergeCell ref="C93:H94"/>
    <mergeCell ref="V93:V94"/>
    <mergeCell ref="E129:H129"/>
    <mergeCell ref="O129:R129"/>
    <mergeCell ref="D122:D134"/>
    <mergeCell ref="E122:H122"/>
    <mergeCell ref="E128:H128"/>
    <mergeCell ref="O128:R128"/>
    <mergeCell ref="B121:C134"/>
    <mergeCell ref="D121:J121"/>
    <mergeCell ref="L121:M129"/>
    <mergeCell ref="N121:S121"/>
    <mergeCell ref="T121:T122"/>
    <mergeCell ref="C109:H109"/>
    <mergeCell ref="B68:B69"/>
    <mergeCell ref="V68:V69"/>
    <mergeCell ref="C80:J80"/>
    <mergeCell ref="C89:J89"/>
    <mergeCell ref="C90:J90"/>
    <mergeCell ref="C96:H96"/>
    <mergeCell ref="C97:H97"/>
    <mergeCell ref="C99:J99"/>
    <mergeCell ref="C101:H101"/>
    <mergeCell ref="C102:H102"/>
    <mergeCell ref="C103:H103"/>
    <mergeCell ref="C104:H104"/>
    <mergeCell ref="C105:H105"/>
    <mergeCell ref="C106:H106"/>
    <mergeCell ref="C107:H107"/>
    <mergeCell ref="C108:H108"/>
    <mergeCell ref="C116:J116"/>
    <mergeCell ref="C118:J118"/>
    <mergeCell ref="E131:H131"/>
    <mergeCell ref="C110:H110"/>
    <mergeCell ref="C111:H111"/>
    <mergeCell ref="C112:H112"/>
    <mergeCell ref="C113:H113"/>
    <mergeCell ref="C114:H114"/>
    <mergeCell ref="C115:J115"/>
    <mergeCell ref="E130:H130"/>
  </mergeCells>
  <phoneticPr fontId="91" type="noConversion"/>
  <pageMargins left="0.35433070866141736" right="0" top="0.19685039370078741" bottom="0.19685039370078741" header="0" footer="0"/>
  <pageSetup paperSize="5" scale="2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796C-C398-46CB-9DE0-48A0EA432927}">
  <sheetPr>
    <pageSetUpPr fitToPage="1"/>
  </sheetPr>
  <dimension ref="A1:AH162"/>
  <sheetViews>
    <sheetView showGridLines="0" topLeftCell="D112" workbookViewId="0">
      <selection activeCell="I122" sqref="I122"/>
    </sheetView>
  </sheetViews>
  <sheetFormatPr baseColWidth="10" defaultColWidth="11.42578125" defaultRowHeight="12" outlineLevelRow="1"/>
  <cols>
    <col min="1" max="1" width="6" style="1" customWidth="1"/>
    <col min="2" max="2" width="9.28515625" style="1" customWidth="1"/>
    <col min="3" max="3" width="37.7109375" style="1" customWidth="1"/>
    <col min="4" max="4" width="15.42578125" style="1" customWidth="1"/>
    <col min="5" max="5" width="25.42578125" style="2" customWidth="1"/>
    <col min="6" max="6" width="22.7109375" style="2" customWidth="1"/>
    <col min="7" max="7" width="18.7109375" style="2" customWidth="1"/>
    <col min="8" max="8" width="17.28515625" style="2" customWidth="1"/>
    <col min="9" max="9" width="19.85546875" style="2" customWidth="1"/>
    <col min="10" max="10" width="21.28515625" style="1" customWidth="1"/>
    <col min="11" max="11" width="16.28515625" style="1" customWidth="1"/>
    <col min="12" max="12" width="21" style="15" customWidth="1"/>
    <col min="13" max="13" width="18.85546875" style="1" customWidth="1"/>
    <col min="14" max="14" width="19.28515625" style="1" customWidth="1"/>
    <col min="15" max="15" width="17.28515625" style="1" customWidth="1"/>
    <col min="16" max="16" width="18.85546875" style="1" customWidth="1"/>
    <col min="17" max="17" width="13.85546875" style="1" customWidth="1"/>
    <col min="18" max="18" width="20.85546875" style="1" customWidth="1"/>
    <col min="19" max="19" width="18" style="1" customWidth="1"/>
    <col min="20" max="20" width="18.42578125" style="1" customWidth="1"/>
    <col min="21" max="21" width="19" style="1" customWidth="1"/>
    <col min="22" max="22" width="26.140625" style="1" customWidth="1"/>
    <col min="23" max="23" width="17.42578125" style="1" customWidth="1"/>
    <col min="24" max="24" width="17.85546875" style="1" customWidth="1"/>
    <col min="25" max="25" width="19.28515625" style="1" customWidth="1"/>
    <col min="26" max="26" width="18.7109375" style="1" customWidth="1"/>
    <col min="27" max="27" width="20.85546875" style="1" customWidth="1"/>
    <col min="28" max="28" width="19.85546875" style="1" customWidth="1"/>
    <col min="29" max="29" width="22" style="3" bestFit="1" customWidth="1"/>
    <col min="30" max="30" width="31.140625" style="3" bestFit="1" customWidth="1"/>
    <col min="31" max="31" width="4.85546875" style="1" customWidth="1"/>
    <col min="32" max="32" width="11.42578125" style="1"/>
    <col min="33" max="33" width="18.42578125" style="1" bestFit="1" customWidth="1"/>
    <col min="34" max="16384" width="11.42578125" style="1"/>
  </cols>
  <sheetData>
    <row r="1" spans="1:34" ht="12.75">
      <c r="B1" s="993" t="s">
        <v>792</v>
      </c>
      <c r="C1" s="991"/>
      <c r="D1" s="991"/>
      <c r="E1" s="991"/>
      <c r="F1" s="991"/>
      <c r="G1" s="991"/>
      <c r="H1" s="991"/>
      <c r="I1" s="991"/>
      <c r="J1" s="991"/>
      <c r="K1" s="991"/>
      <c r="L1" s="991"/>
      <c r="M1" s="991"/>
      <c r="N1" s="991"/>
      <c r="O1" s="991"/>
      <c r="P1" s="991"/>
      <c r="Q1" s="991"/>
      <c r="R1" s="991"/>
      <c r="S1" s="991"/>
      <c r="T1" s="991"/>
      <c r="U1" s="991"/>
      <c r="V1" s="991"/>
      <c r="W1" s="991"/>
      <c r="X1" s="991"/>
      <c r="Y1" s="991"/>
      <c r="Z1" s="991"/>
      <c r="AA1" s="991"/>
      <c r="AB1" s="991"/>
      <c r="AC1" s="991"/>
      <c r="AD1" s="992"/>
    </row>
    <row r="2" spans="1:34" ht="12.75">
      <c r="B2" s="990" t="s">
        <v>811</v>
      </c>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2"/>
    </row>
    <row r="3" spans="1:34" ht="43.5" customHeight="1">
      <c r="B3" s="993" t="s">
        <v>793</v>
      </c>
      <c r="C3" s="994"/>
      <c r="D3" s="994"/>
      <c r="E3" s="994"/>
      <c r="F3" s="994"/>
      <c r="G3" s="994"/>
      <c r="H3" s="994"/>
      <c r="I3" s="994"/>
      <c r="J3" s="994"/>
      <c r="K3" s="994"/>
      <c r="L3" s="994"/>
      <c r="M3" s="994"/>
      <c r="N3" s="994"/>
      <c r="O3" s="994"/>
      <c r="P3" s="994"/>
      <c r="Q3" s="994"/>
      <c r="R3" s="994"/>
      <c r="S3" s="994"/>
      <c r="T3" s="994"/>
      <c r="U3" s="994"/>
      <c r="V3" s="994"/>
      <c r="W3" s="994"/>
      <c r="X3" s="994"/>
      <c r="Y3" s="994"/>
      <c r="Z3" s="994"/>
      <c r="AA3" s="994"/>
      <c r="AB3" s="994"/>
      <c r="AC3" s="994"/>
      <c r="AD3" s="995"/>
      <c r="AG3" s="846" t="s">
        <v>794</v>
      </c>
      <c r="AH3" s="756">
        <v>0.08</v>
      </c>
    </row>
    <row r="4" spans="1:34" ht="12.75">
      <c r="B4" s="990" t="s">
        <v>109</v>
      </c>
      <c r="C4" s="991"/>
      <c r="D4" s="991"/>
      <c r="E4" s="991"/>
      <c r="F4" s="991"/>
      <c r="G4" s="991"/>
      <c r="H4" s="991"/>
      <c r="I4" s="991"/>
      <c r="J4" s="991"/>
      <c r="K4" s="991"/>
      <c r="L4" s="991"/>
      <c r="M4" s="991"/>
      <c r="N4" s="991"/>
      <c r="O4" s="991"/>
      <c r="P4" s="991"/>
      <c r="Q4" s="991"/>
      <c r="R4" s="991"/>
      <c r="S4" s="991"/>
      <c r="T4" s="991"/>
      <c r="U4" s="991"/>
      <c r="V4" s="991"/>
      <c r="W4" s="991"/>
      <c r="X4" s="991"/>
      <c r="Y4" s="991"/>
      <c r="Z4" s="991"/>
      <c r="AA4" s="991"/>
      <c r="AB4" s="991"/>
      <c r="AC4" s="991"/>
      <c r="AD4" s="992"/>
    </row>
    <row r="5" spans="1:34" ht="12.75">
      <c r="B5" s="755"/>
      <c r="C5" s="711"/>
      <c r="D5" s="711"/>
      <c r="E5" s="711"/>
      <c r="F5" s="711"/>
      <c r="G5" s="711"/>
      <c r="H5" s="711"/>
      <c r="I5" s="711"/>
      <c r="J5" s="711"/>
      <c r="K5" s="711"/>
      <c r="L5" s="711"/>
      <c r="M5" s="711"/>
      <c r="N5" s="711"/>
      <c r="O5" s="711"/>
      <c r="P5" s="711"/>
      <c r="Q5" s="711"/>
      <c r="R5" s="711"/>
      <c r="S5" s="711"/>
      <c r="T5" s="711"/>
      <c r="U5" s="711"/>
      <c r="V5" s="711"/>
      <c r="W5" s="711"/>
      <c r="X5" s="711"/>
      <c r="Y5" s="711"/>
      <c r="Z5" s="711"/>
      <c r="AA5" s="711"/>
      <c r="AB5" s="711"/>
      <c r="AC5" s="711"/>
      <c r="AD5" s="754"/>
      <c r="AG5" s="1" t="s">
        <v>807</v>
      </c>
      <c r="AH5" s="1">
        <v>6</v>
      </c>
    </row>
    <row r="6" spans="1:34" ht="12.75">
      <c r="B6" s="990" t="s">
        <v>795</v>
      </c>
      <c r="C6" s="991"/>
      <c r="D6" s="991"/>
      <c r="E6" s="991"/>
      <c r="F6" s="991"/>
      <c r="G6" s="991"/>
      <c r="H6" s="991"/>
      <c r="I6" s="991"/>
      <c r="J6" s="991"/>
      <c r="K6" s="991"/>
      <c r="L6" s="991"/>
      <c r="M6" s="991"/>
      <c r="N6" s="991"/>
      <c r="O6" s="991"/>
      <c r="P6" s="991"/>
      <c r="Q6" s="991"/>
      <c r="R6" s="991"/>
      <c r="S6" s="991"/>
      <c r="T6" s="991"/>
      <c r="U6" s="991"/>
      <c r="V6" s="991"/>
      <c r="W6" s="991"/>
      <c r="X6" s="991"/>
      <c r="Y6" s="991"/>
      <c r="Z6" s="991"/>
      <c r="AA6" s="991"/>
      <c r="AB6" s="991"/>
      <c r="AC6" s="991"/>
      <c r="AD6" s="992"/>
    </row>
    <row r="7" spans="1:34" ht="12.75">
      <c r="B7" s="983" t="s">
        <v>796</v>
      </c>
      <c r="C7" s="984"/>
      <c r="D7" s="984"/>
      <c r="E7" s="984"/>
      <c r="F7" s="984"/>
      <c r="G7" s="984"/>
      <c r="H7" s="984"/>
      <c r="I7" s="984"/>
      <c r="J7" s="984"/>
      <c r="K7" s="984"/>
      <c r="L7" s="984"/>
      <c r="M7" s="984"/>
      <c r="N7" s="984"/>
      <c r="O7" s="984"/>
      <c r="P7" s="984"/>
      <c r="Q7" s="984"/>
      <c r="R7" s="984"/>
      <c r="S7" s="984"/>
      <c r="T7" s="984"/>
      <c r="U7" s="984"/>
      <c r="V7" s="984"/>
      <c r="W7" s="984"/>
      <c r="X7" s="984"/>
      <c r="Y7" s="984"/>
      <c r="Z7" s="984"/>
      <c r="AA7" s="984"/>
      <c r="AB7" s="984"/>
      <c r="AC7" s="984"/>
      <c r="AD7" s="985"/>
    </row>
    <row r="8" spans="1:34" customFormat="1" ht="12.75"/>
    <row r="9" spans="1:34" ht="12.75">
      <c r="B9" s="63">
        <v>1</v>
      </c>
      <c r="C9" s="986" t="s">
        <v>110</v>
      </c>
      <c r="D9" s="986"/>
      <c r="E9" s="986"/>
      <c r="F9" s="986"/>
      <c r="G9" s="986"/>
      <c r="H9" s="986"/>
      <c r="I9" s="986"/>
      <c r="J9" s="986"/>
      <c r="K9" s="986"/>
      <c r="L9" s="986"/>
      <c r="M9" s="986"/>
      <c r="N9" s="986"/>
      <c r="O9" s="986"/>
      <c r="P9" s="986"/>
      <c r="Q9" s="986"/>
      <c r="R9" s="986"/>
      <c r="S9" s="986"/>
      <c r="T9" s="986"/>
      <c r="U9" s="986"/>
      <c r="V9" s="986"/>
      <c r="W9" s="986"/>
      <c r="X9" s="986"/>
      <c r="Y9" s="986"/>
      <c r="Z9" s="986"/>
      <c r="AA9" s="986"/>
      <c r="AB9" s="986"/>
      <c r="AC9" s="986"/>
      <c r="AD9" s="987"/>
    </row>
    <row r="10" spans="1:34" ht="25.5">
      <c r="B10" s="51" t="s">
        <v>111</v>
      </c>
      <c r="C10" s="48" t="s">
        <v>112</v>
      </c>
      <c r="D10" s="49"/>
      <c r="E10" s="49"/>
      <c r="F10" s="49"/>
      <c r="G10" s="49">
        <f>(5+4+4+4+5+4)</f>
        <v>26</v>
      </c>
      <c r="H10" s="49">
        <f>(2+0+3+0+3+1)</f>
        <v>9</v>
      </c>
      <c r="I10" s="49"/>
      <c r="J10" s="49"/>
      <c r="K10" s="49"/>
      <c r="L10" s="49"/>
      <c r="M10" s="49"/>
      <c r="N10" s="49"/>
      <c r="O10" s="49"/>
      <c r="P10" s="49"/>
      <c r="Q10" s="49"/>
      <c r="R10" s="49"/>
      <c r="S10" s="49"/>
      <c r="T10" s="49"/>
      <c r="U10" s="49"/>
      <c r="V10" s="49"/>
      <c r="W10" s="717" t="s">
        <v>790</v>
      </c>
      <c r="X10" s="49"/>
      <c r="Y10" s="49"/>
      <c r="Z10" s="49"/>
      <c r="AA10" s="49"/>
      <c r="AB10" s="49"/>
      <c r="AC10" s="49"/>
      <c r="AD10" s="50"/>
    </row>
    <row r="11" spans="1:34" s="6" customFormat="1" ht="41.25" customHeight="1">
      <c r="B11" s="980" t="s">
        <v>29</v>
      </c>
      <c r="C11" s="980" t="s">
        <v>113</v>
      </c>
      <c r="D11" s="980" t="s">
        <v>114</v>
      </c>
      <c r="E11" s="980" t="s">
        <v>115</v>
      </c>
      <c r="F11" s="980" t="s">
        <v>116</v>
      </c>
      <c r="G11" s="4" t="s">
        <v>117</v>
      </c>
      <c r="H11" s="4" t="s">
        <v>118</v>
      </c>
      <c r="I11" s="4" t="s">
        <v>119</v>
      </c>
      <c r="J11" s="980" t="s">
        <v>120</v>
      </c>
      <c r="K11" s="4" t="s">
        <v>121</v>
      </c>
      <c r="L11" s="4" t="s">
        <v>122</v>
      </c>
      <c r="M11" s="4" t="s">
        <v>123</v>
      </c>
      <c r="N11" s="4" t="s">
        <v>124</v>
      </c>
      <c r="O11" s="4" t="s">
        <v>125</v>
      </c>
      <c r="P11" s="4" t="s">
        <v>126</v>
      </c>
      <c r="Q11" s="980" t="s">
        <v>127</v>
      </c>
      <c r="R11" s="980" t="s">
        <v>128</v>
      </c>
      <c r="S11" s="4" t="s">
        <v>129</v>
      </c>
      <c r="T11" s="4" t="s">
        <v>130</v>
      </c>
      <c r="U11" s="4" t="s">
        <v>131</v>
      </c>
      <c r="V11" s="980" t="s">
        <v>132</v>
      </c>
      <c r="W11" s="5" t="s">
        <v>133</v>
      </c>
      <c r="X11" s="140" t="s">
        <v>134</v>
      </c>
      <c r="Y11" s="140" t="s">
        <v>135</v>
      </c>
      <c r="Z11" s="140" t="s">
        <v>136</v>
      </c>
      <c r="AA11" s="988" t="s">
        <v>137</v>
      </c>
      <c r="AB11" s="5" t="s">
        <v>791</v>
      </c>
      <c r="AC11" s="988" t="s">
        <v>139</v>
      </c>
      <c r="AD11" s="988" t="s">
        <v>9</v>
      </c>
    </row>
    <row r="12" spans="1:34" s="10" customFormat="1" ht="19.5" customHeight="1">
      <c r="B12" s="981"/>
      <c r="C12" s="981"/>
      <c r="D12" s="981"/>
      <c r="E12" s="981"/>
      <c r="F12" s="981"/>
      <c r="G12" s="111">
        <v>0.9</v>
      </c>
      <c r="H12" s="112">
        <v>1.9</v>
      </c>
      <c r="I12" s="61">
        <f>ROUND((249095+(249095*Incremento_2027)),0)</f>
        <v>269023</v>
      </c>
      <c r="J12" s="981"/>
      <c r="K12" s="62">
        <v>4.1669999999999999E-2</v>
      </c>
      <c r="L12" s="62">
        <v>8.3330000000000001E-2</v>
      </c>
      <c r="M12" s="62">
        <v>8.3330000000000001E-2</v>
      </c>
      <c r="N12" s="8">
        <v>0.01</v>
      </c>
      <c r="O12" s="8">
        <v>0</v>
      </c>
      <c r="P12" s="8">
        <v>0.12</v>
      </c>
      <c r="Q12" s="981"/>
      <c r="R12" s="981"/>
      <c r="S12" s="8">
        <v>0</v>
      </c>
      <c r="T12" s="8">
        <v>0</v>
      </c>
      <c r="U12" s="8">
        <v>0.04</v>
      </c>
      <c r="V12" s="981"/>
      <c r="W12" s="718">
        <v>0.08</v>
      </c>
      <c r="X12" s="141"/>
      <c r="Y12" s="141"/>
      <c r="Z12" s="141"/>
      <c r="AA12" s="989"/>
      <c r="AB12" s="9">
        <v>0.19</v>
      </c>
      <c r="AC12" s="989"/>
      <c r="AD12" s="989"/>
    </row>
    <row r="13" spans="1:34" s="10" customFormat="1" ht="24.95" customHeight="1" outlineLevel="1">
      <c r="A13" s="10">
        <v>1</v>
      </c>
      <c r="B13" s="54" t="s">
        <v>140</v>
      </c>
      <c r="C13" s="82" t="s">
        <v>141</v>
      </c>
      <c r="D13" s="110">
        <v>1</v>
      </c>
      <c r="E13" s="712">
        <f>ROUND(((5238163*Incremento_2027)+5238163),0)</f>
        <v>5657216</v>
      </c>
      <c r="F13" s="719">
        <f t="shared" ref="F13:F38" si="0">E13*D13</f>
        <v>5657216</v>
      </c>
      <c r="G13" s="712">
        <f t="shared" ref="G13:G38" si="1">IFERROR(ROUND(($F13/(42*30/6)*7)*$G$12*$G$10/$D$44,0),"")</f>
        <v>735438</v>
      </c>
      <c r="H13" s="712">
        <f t="shared" ref="H13:H38" si="2">IFERROR(ROUND(($F13/(42*30/6)*7)*$H$12*$H$10/$D$44,0),"")</f>
        <v>537436</v>
      </c>
      <c r="I13" s="712">
        <f t="shared" ref="I13:I38" si="3">IF(E13&gt;(1750905*2),0,$I$12*D13)</f>
        <v>0</v>
      </c>
      <c r="J13" s="719">
        <f t="shared" ref="J13:J38" si="4">IFERROR(SUM(F13:I13),"")</f>
        <v>6930090</v>
      </c>
      <c r="K13" s="712">
        <f t="shared" ref="K13:K38" si="5">IFERROR(ROUND((J13-I13)*$K$12,0),"")</f>
        <v>288777</v>
      </c>
      <c r="L13" s="712">
        <f t="shared" ref="L13:L38" si="6">IFERROR(ROUND((J13)*$L$12,0),"")</f>
        <v>577484</v>
      </c>
      <c r="M13" s="712">
        <f t="shared" ref="M13:M38" si="7">IFERROR(ROUND((J13)*$M$12,0),"")</f>
        <v>577484</v>
      </c>
      <c r="N13" s="712">
        <f t="shared" ref="N13:N38" si="8">IFERROR(ROUND((J13)*$N$12,0),"")</f>
        <v>69301</v>
      </c>
      <c r="O13" s="712">
        <f t="shared" ref="O13:O38" si="9">IFERROR(ROUND((J13-I13)*$O$12,0),"")</f>
        <v>0</v>
      </c>
      <c r="P13" s="712">
        <f t="shared" ref="P13:P38" si="10">IFERROR(ROUND((J13-I13)*$P$12,0),"")</f>
        <v>831611</v>
      </c>
      <c r="Q13" s="720">
        <v>5.2199999999999998E-3</v>
      </c>
      <c r="R13" s="721">
        <f t="shared" ref="R13:R38" si="11">ROUND((J13-I13)*Q13,0)</f>
        <v>36175</v>
      </c>
      <c r="S13" s="712">
        <f t="shared" ref="S13:S38" si="12">IFERROR(ROUND((J13-I13)*$S$12,0),"")</f>
        <v>0</v>
      </c>
      <c r="T13" s="712">
        <f t="shared" ref="T13:T38" si="13">IFERROR(ROUND((J13-I13)*$T$12,0),"")</f>
        <v>0</v>
      </c>
      <c r="U13" s="712">
        <f t="shared" ref="U13:U38" si="14">ROUND((J13-I13)*$U$12,0)</f>
        <v>277204</v>
      </c>
      <c r="V13" s="719">
        <f t="shared" ref="V13:V38" si="15">IFERROR(+J13+K13+L13+M13+N13+O13+P13+R13+S13+T13+U13,"")</f>
        <v>9588126</v>
      </c>
      <c r="W13" s="722">
        <f t="shared" ref="W13:W38" si="16">IFERROR(ROUND(V13*$W$12,0),"")</f>
        <v>767050</v>
      </c>
      <c r="X13" s="719"/>
      <c r="Y13" s="719">
        <f t="shared" ref="Y13:Y26" si="17">IFERROR(V13+W13,"")</f>
        <v>10355176</v>
      </c>
      <c r="Z13" s="719">
        <f t="shared" ref="Z13:Z26" si="18">IFERROR(Y13-(V13+W13),"")</f>
        <v>0</v>
      </c>
      <c r="AA13" s="723">
        <f t="shared" ref="AA13:AA38" si="19">IFERROR(V13+W13,"")</f>
        <v>10355176</v>
      </c>
      <c r="AB13" s="721">
        <f t="shared" ref="AB13:AB26" si="20">IFERROR(ROUND(AA13*$AB$12,0),"")</f>
        <v>1967483</v>
      </c>
      <c r="AC13" s="719">
        <f t="shared" ref="AC13:AC38" si="21">IFERROR(+AA13+AB13,"")</f>
        <v>12322659</v>
      </c>
      <c r="AD13" s="7" t="s">
        <v>13</v>
      </c>
    </row>
    <row r="14" spans="1:34" s="10" customFormat="1" ht="24.95" customHeight="1" outlineLevel="1">
      <c r="A14" s="10">
        <v>2</v>
      </c>
      <c r="B14" s="54" t="s">
        <v>142</v>
      </c>
      <c r="C14" s="82" t="s">
        <v>789</v>
      </c>
      <c r="D14" s="110">
        <v>1</v>
      </c>
      <c r="E14" s="712">
        <f>ROUND((4200122*(1+Incremento_2027)),0)</f>
        <v>4536132</v>
      </c>
      <c r="F14" s="719">
        <f t="shared" si="0"/>
        <v>4536132</v>
      </c>
      <c r="G14" s="712">
        <f t="shared" si="1"/>
        <v>589697</v>
      </c>
      <c r="H14" s="712">
        <f t="shared" si="2"/>
        <v>430933</v>
      </c>
      <c r="I14" s="712">
        <f t="shared" si="3"/>
        <v>0</v>
      </c>
      <c r="J14" s="719">
        <f t="shared" si="4"/>
        <v>5556762</v>
      </c>
      <c r="K14" s="712">
        <f t="shared" si="5"/>
        <v>231550</v>
      </c>
      <c r="L14" s="712">
        <f t="shared" si="6"/>
        <v>463045</v>
      </c>
      <c r="M14" s="712">
        <f t="shared" si="7"/>
        <v>463045</v>
      </c>
      <c r="N14" s="712">
        <f t="shared" si="8"/>
        <v>55568</v>
      </c>
      <c r="O14" s="712">
        <f t="shared" si="9"/>
        <v>0</v>
      </c>
      <c r="P14" s="712">
        <f t="shared" si="10"/>
        <v>666811</v>
      </c>
      <c r="Q14" s="720">
        <v>5.2199999999999998E-3</v>
      </c>
      <c r="R14" s="712">
        <f t="shared" si="11"/>
        <v>29006</v>
      </c>
      <c r="S14" s="712">
        <f t="shared" si="12"/>
        <v>0</v>
      </c>
      <c r="T14" s="712">
        <f t="shared" si="13"/>
        <v>0</v>
      </c>
      <c r="U14" s="712">
        <f t="shared" si="14"/>
        <v>222270</v>
      </c>
      <c r="V14" s="719">
        <f t="shared" si="15"/>
        <v>7688057</v>
      </c>
      <c r="W14" s="722">
        <f t="shared" si="16"/>
        <v>615045</v>
      </c>
      <c r="X14" s="719"/>
      <c r="Y14" s="719">
        <f t="shared" si="17"/>
        <v>8303102</v>
      </c>
      <c r="Z14" s="719">
        <f t="shared" si="18"/>
        <v>0</v>
      </c>
      <c r="AA14" s="723">
        <f t="shared" si="19"/>
        <v>8303102</v>
      </c>
      <c r="AB14" s="721">
        <f t="shared" si="20"/>
        <v>1577589</v>
      </c>
      <c r="AC14" s="719">
        <f t="shared" si="21"/>
        <v>9880691</v>
      </c>
      <c r="AD14" s="7" t="s">
        <v>13</v>
      </c>
    </row>
    <row r="15" spans="1:34" s="10" customFormat="1" ht="24.95" customHeight="1" outlineLevel="1">
      <c r="A15" s="10">
        <v>3</v>
      </c>
      <c r="B15" s="54" t="s">
        <v>144</v>
      </c>
      <c r="C15" s="82" t="s">
        <v>143</v>
      </c>
      <c r="D15" s="110">
        <v>1</v>
      </c>
      <c r="E15" s="712">
        <f>ROUND((4200122*(1+Incremento_2027)),0)</f>
        <v>4536132</v>
      </c>
      <c r="F15" s="719">
        <f t="shared" si="0"/>
        <v>4536132</v>
      </c>
      <c r="G15" s="712">
        <f t="shared" si="1"/>
        <v>589697</v>
      </c>
      <c r="H15" s="712">
        <f t="shared" si="2"/>
        <v>430933</v>
      </c>
      <c r="I15" s="712">
        <f t="shared" si="3"/>
        <v>0</v>
      </c>
      <c r="J15" s="719">
        <f t="shared" si="4"/>
        <v>5556762</v>
      </c>
      <c r="K15" s="712">
        <f t="shared" si="5"/>
        <v>231550</v>
      </c>
      <c r="L15" s="712">
        <f t="shared" si="6"/>
        <v>463045</v>
      </c>
      <c r="M15" s="712">
        <f t="shared" si="7"/>
        <v>463045</v>
      </c>
      <c r="N15" s="712">
        <f t="shared" si="8"/>
        <v>55568</v>
      </c>
      <c r="O15" s="712">
        <f t="shared" si="9"/>
        <v>0</v>
      </c>
      <c r="P15" s="712">
        <f t="shared" si="10"/>
        <v>666811</v>
      </c>
      <c r="Q15" s="720">
        <v>5.2199999999999998E-3</v>
      </c>
      <c r="R15" s="712">
        <f t="shared" si="11"/>
        <v>29006</v>
      </c>
      <c r="S15" s="712">
        <f t="shared" si="12"/>
        <v>0</v>
      </c>
      <c r="T15" s="712">
        <f t="shared" si="13"/>
        <v>0</v>
      </c>
      <c r="U15" s="712">
        <f t="shared" si="14"/>
        <v>222270</v>
      </c>
      <c r="V15" s="719">
        <f t="shared" si="15"/>
        <v>7688057</v>
      </c>
      <c r="W15" s="722">
        <f t="shared" si="16"/>
        <v>615045</v>
      </c>
      <c r="X15" s="719"/>
      <c r="Y15" s="719">
        <f t="shared" si="17"/>
        <v>8303102</v>
      </c>
      <c r="Z15" s="719">
        <f t="shared" si="18"/>
        <v>0</v>
      </c>
      <c r="AA15" s="723">
        <f t="shared" si="19"/>
        <v>8303102</v>
      </c>
      <c r="AB15" s="721">
        <f t="shared" si="20"/>
        <v>1577589</v>
      </c>
      <c r="AC15" s="719">
        <f t="shared" si="21"/>
        <v>9880691</v>
      </c>
      <c r="AD15" s="7" t="s">
        <v>13</v>
      </c>
    </row>
    <row r="16" spans="1:34" s="10" customFormat="1" ht="24.95" customHeight="1" outlineLevel="1">
      <c r="A16" s="10">
        <v>4</v>
      </c>
      <c r="B16" s="54" t="s">
        <v>146</v>
      </c>
      <c r="C16" s="82" t="s">
        <v>145</v>
      </c>
      <c r="D16" s="110">
        <v>2</v>
      </c>
      <c r="E16" s="712">
        <f>ROUND((3453397*(1+Incremento_2027)),0)</f>
        <v>3729669</v>
      </c>
      <c r="F16" s="719">
        <f t="shared" si="0"/>
        <v>7459338</v>
      </c>
      <c r="G16" s="712">
        <f t="shared" si="1"/>
        <v>969714</v>
      </c>
      <c r="H16" s="712">
        <f t="shared" si="2"/>
        <v>708637</v>
      </c>
      <c r="I16" s="712">
        <f t="shared" si="3"/>
        <v>0</v>
      </c>
      <c r="J16" s="719">
        <f t="shared" si="4"/>
        <v>9137689</v>
      </c>
      <c r="K16" s="712">
        <f t="shared" si="5"/>
        <v>380768</v>
      </c>
      <c r="L16" s="712">
        <f t="shared" si="6"/>
        <v>761444</v>
      </c>
      <c r="M16" s="712">
        <f t="shared" si="7"/>
        <v>761444</v>
      </c>
      <c r="N16" s="712">
        <f t="shared" si="8"/>
        <v>91377</v>
      </c>
      <c r="O16" s="712">
        <f t="shared" si="9"/>
        <v>0</v>
      </c>
      <c r="P16" s="712">
        <f t="shared" si="10"/>
        <v>1096523</v>
      </c>
      <c r="Q16" s="720">
        <v>2.436E-2</v>
      </c>
      <c r="R16" s="721">
        <f t="shared" si="11"/>
        <v>222594</v>
      </c>
      <c r="S16" s="712">
        <f t="shared" si="12"/>
        <v>0</v>
      </c>
      <c r="T16" s="712">
        <f t="shared" si="13"/>
        <v>0</v>
      </c>
      <c r="U16" s="712">
        <f t="shared" si="14"/>
        <v>365508</v>
      </c>
      <c r="V16" s="719">
        <f t="shared" si="15"/>
        <v>12817347</v>
      </c>
      <c r="W16" s="722">
        <f t="shared" si="16"/>
        <v>1025388</v>
      </c>
      <c r="X16" s="719"/>
      <c r="Y16" s="719">
        <f t="shared" si="17"/>
        <v>13842735</v>
      </c>
      <c r="Z16" s="719">
        <f t="shared" si="18"/>
        <v>0</v>
      </c>
      <c r="AA16" s="723">
        <f t="shared" si="19"/>
        <v>13842735</v>
      </c>
      <c r="AB16" s="721">
        <f t="shared" si="20"/>
        <v>2630120</v>
      </c>
      <c r="AC16" s="719">
        <f t="shared" si="21"/>
        <v>16472855</v>
      </c>
      <c r="AD16" s="7" t="s">
        <v>13</v>
      </c>
    </row>
    <row r="17" spans="1:30" s="10" customFormat="1" ht="24.95" customHeight="1" outlineLevel="1">
      <c r="A17" s="10">
        <v>5</v>
      </c>
      <c r="B17" s="54" t="s">
        <v>148</v>
      </c>
      <c r="C17" s="82" t="s">
        <v>147</v>
      </c>
      <c r="D17" s="110">
        <v>1</v>
      </c>
      <c r="E17" s="712">
        <f>ROUND((4200122*(1+Incremento_2027)),0)</f>
        <v>4536132</v>
      </c>
      <c r="F17" s="719">
        <f t="shared" si="0"/>
        <v>4536132</v>
      </c>
      <c r="G17" s="712">
        <f t="shared" si="1"/>
        <v>589697</v>
      </c>
      <c r="H17" s="712">
        <f t="shared" si="2"/>
        <v>430933</v>
      </c>
      <c r="I17" s="712">
        <f t="shared" si="3"/>
        <v>0</v>
      </c>
      <c r="J17" s="719">
        <f t="shared" si="4"/>
        <v>5556762</v>
      </c>
      <c r="K17" s="712">
        <f t="shared" si="5"/>
        <v>231550</v>
      </c>
      <c r="L17" s="712">
        <f t="shared" si="6"/>
        <v>463045</v>
      </c>
      <c r="M17" s="712">
        <f t="shared" si="7"/>
        <v>463045</v>
      </c>
      <c r="N17" s="712">
        <f t="shared" si="8"/>
        <v>55568</v>
      </c>
      <c r="O17" s="712">
        <f t="shared" si="9"/>
        <v>0</v>
      </c>
      <c r="P17" s="712">
        <f t="shared" si="10"/>
        <v>666811</v>
      </c>
      <c r="Q17" s="720">
        <v>5.2199999999999998E-3</v>
      </c>
      <c r="R17" s="721">
        <f t="shared" si="11"/>
        <v>29006</v>
      </c>
      <c r="S17" s="712">
        <f t="shared" si="12"/>
        <v>0</v>
      </c>
      <c r="T17" s="712">
        <f t="shared" si="13"/>
        <v>0</v>
      </c>
      <c r="U17" s="712">
        <f t="shared" si="14"/>
        <v>222270</v>
      </c>
      <c r="V17" s="719">
        <f t="shared" si="15"/>
        <v>7688057</v>
      </c>
      <c r="W17" s="722">
        <f t="shared" si="16"/>
        <v>615045</v>
      </c>
      <c r="X17" s="719"/>
      <c r="Y17" s="719">
        <f t="shared" si="17"/>
        <v>8303102</v>
      </c>
      <c r="Z17" s="719">
        <f t="shared" si="18"/>
        <v>0</v>
      </c>
      <c r="AA17" s="723">
        <f t="shared" si="19"/>
        <v>8303102</v>
      </c>
      <c r="AB17" s="721">
        <f t="shared" si="20"/>
        <v>1577589</v>
      </c>
      <c r="AC17" s="719">
        <f t="shared" si="21"/>
        <v>9880691</v>
      </c>
      <c r="AD17" s="7" t="s">
        <v>13</v>
      </c>
    </row>
    <row r="18" spans="1:30" s="10" customFormat="1" ht="24.95" customHeight="1" outlineLevel="1">
      <c r="A18" s="10">
        <v>6</v>
      </c>
      <c r="B18" s="54" t="s">
        <v>150</v>
      </c>
      <c r="C18" s="81" t="s">
        <v>149</v>
      </c>
      <c r="D18" s="110">
        <v>1</v>
      </c>
      <c r="E18" s="713">
        <f>ROUND((2286853*(1+Incremento_2027)),0)</f>
        <v>2469801</v>
      </c>
      <c r="F18" s="719">
        <f t="shared" si="0"/>
        <v>2469801</v>
      </c>
      <c r="G18" s="712">
        <f t="shared" si="1"/>
        <v>321074</v>
      </c>
      <c r="H18" s="712">
        <f t="shared" si="2"/>
        <v>234631</v>
      </c>
      <c r="I18" s="712">
        <f t="shared" si="3"/>
        <v>269023</v>
      </c>
      <c r="J18" s="719">
        <f t="shared" si="4"/>
        <v>3294529</v>
      </c>
      <c r="K18" s="712">
        <f t="shared" si="5"/>
        <v>126073</v>
      </c>
      <c r="L18" s="712">
        <f t="shared" si="6"/>
        <v>274533</v>
      </c>
      <c r="M18" s="712">
        <f t="shared" si="7"/>
        <v>274533</v>
      </c>
      <c r="N18" s="712">
        <f t="shared" si="8"/>
        <v>32945</v>
      </c>
      <c r="O18" s="712">
        <f t="shared" si="9"/>
        <v>0</v>
      </c>
      <c r="P18" s="712">
        <f t="shared" si="10"/>
        <v>363061</v>
      </c>
      <c r="Q18" s="720">
        <v>5.2199999999999998E-3</v>
      </c>
      <c r="R18" s="712">
        <f t="shared" si="11"/>
        <v>15793</v>
      </c>
      <c r="S18" s="712">
        <f t="shared" si="12"/>
        <v>0</v>
      </c>
      <c r="T18" s="712">
        <f t="shared" si="13"/>
        <v>0</v>
      </c>
      <c r="U18" s="712">
        <f t="shared" si="14"/>
        <v>121020</v>
      </c>
      <c r="V18" s="719">
        <f t="shared" si="15"/>
        <v>4502487</v>
      </c>
      <c r="W18" s="722">
        <f t="shared" si="16"/>
        <v>360199</v>
      </c>
      <c r="X18" s="719"/>
      <c r="Y18" s="719">
        <f t="shared" si="17"/>
        <v>4862686</v>
      </c>
      <c r="Z18" s="719">
        <f t="shared" si="18"/>
        <v>0</v>
      </c>
      <c r="AA18" s="723">
        <f t="shared" si="19"/>
        <v>4862686</v>
      </c>
      <c r="AB18" s="721">
        <f t="shared" si="20"/>
        <v>923910</v>
      </c>
      <c r="AC18" s="719">
        <f t="shared" si="21"/>
        <v>5786596</v>
      </c>
      <c r="AD18" s="7" t="s">
        <v>13</v>
      </c>
    </row>
    <row r="19" spans="1:30" s="10" customFormat="1" ht="24.95" customHeight="1" outlineLevel="1">
      <c r="A19" s="10">
        <v>7</v>
      </c>
      <c r="B19" s="54" t="s">
        <v>152</v>
      </c>
      <c r="C19" s="82" t="s">
        <v>151</v>
      </c>
      <c r="D19" s="110">
        <v>1</v>
      </c>
      <c r="E19" s="712">
        <f>ROUND((3453397*(1+Incremento_2027)),0)</f>
        <v>3729669</v>
      </c>
      <c r="F19" s="719">
        <f t="shared" si="0"/>
        <v>3729669</v>
      </c>
      <c r="G19" s="712">
        <f t="shared" si="1"/>
        <v>484857</v>
      </c>
      <c r="H19" s="712">
        <f t="shared" si="2"/>
        <v>354319</v>
      </c>
      <c r="I19" s="712">
        <f t="shared" si="3"/>
        <v>0</v>
      </c>
      <c r="J19" s="719">
        <f t="shared" si="4"/>
        <v>4568845</v>
      </c>
      <c r="K19" s="712">
        <f t="shared" si="5"/>
        <v>190384</v>
      </c>
      <c r="L19" s="712">
        <f t="shared" si="6"/>
        <v>380722</v>
      </c>
      <c r="M19" s="712">
        <f t="shared" si="7"/>
        <v>380722</v>
      </c>
      <c r="N19" s="712">
        <f t="shared" si="8"/>
        <v>45688</v>
      </c>
      <c r="O19" s="712">
        <f t="shared" si="9"/>
        <v>0</v>
      </c>
      <c r="P19" s="712">
        <f t="shared" si="10"/>
        <v>548261</v>
      </c>
      <c r="Q19" s="720">
        <v>2.436E-2</v>
      </c>
      <c r="R19" s="721">
        <f t="shared" si="11"/>
        <v>111297</v>
      </c>
      <c r="S19" s="712">
        <f t="shared" si="12"/>
        <v>0</v>
      </c>
      <c r="T19" s="712">
        <f t="shared" si="13"/>
        <v>0</v>
      </c>
      <c r="U19" s="712">
        <f t="shared" si="14"/>
        <v>182754</v>
      </c>
      <c r="V19" s="719">
        <f t="shared" si="15"/>
        <v>6408673</v>
      </c>
      <c r="W19" s="722">
        <f t="shared" si="16"/>
        <v>512694</v>
      </c>
      <c r="X19" s="719"/>
      <c r="Y19" s="719">
        <f t="shared" si="17"/>
        <v>6921367</v>
      </c>
      <c r="Z19" s="719">
        <f t="shared" si="18"/>
        <v>0</v>
      </c>
      <c r="AA19" s="723">
        <f t="shared" si="19"/>
        <v>6921367</v>
      </c>
      <c r="AB19" s="721">
        <f t="shared" si="20"/>
        <v>1315060</v>
      </c>
      <c r="AC19" s="719">
        <f t="shared" si="21"/>
        <v>8236427</v>
      </c>
      <c r="AD19" s="7" t="s">
        <v>13</v>
      </c>
    </row>
    <row r="20" spans="1:30" s="10" customFormat="1" ht="24.95" customHeight="1" outlineLevel="1">
      <c r="A20" s="10">
        <v>8</v>
      </c>
      <c r="B20" s="54" t="s">
        <v>154</v>
      </c>
      <c r="C20" s="82" t="s">
        <v>153</v>
      </c>
      <c r="D20" s="110">
        <v>1</v>
      </c>
      <c r="E20" s="712">
        <f>4200122*(1+Incremento_2027)</f>
        <v>4536131.7600000007</v>
      </c>
      <c r="F20" s="719">
        <f t="shared" si="0"/>
        <v>4536131.7600000007</v>
      </c>
      <c r="G20" s="712">
        <f t="shared" si="1"/>
        <v>589697</v>
      </c>
      <c r="H20" s="712">
        <f t="shared" si="2"/>
        <v>430933</v>
      </c>
      <c r="I20" s="712">
        <f t="shared" si="3"/>
        <v>0</v>
      </c>
      <c r="J20" s="719">
        <f t="shared" si="4"/>
        <v>5556761.7600000007</v>
      </c>
      <c r="K20" s="712">
        <f t="shared" si="5"/>
        <v>231550</v>
      </c>
      <c r="L20" s="712">
        <f t="shared" si="6"/>
        <v>463045</v>
      </c>
      <c r="M20" s="712">
        <f t="shared" si="7"/>
        <v>463045</v>
      </c>
      <c r="N20" s="712">
        <f t="shared" si="8"/>
        <v>55568</v>
      </c>
      <c r="O20" s="712">
        <f t="shared" si="9"/>
        <v>0</v>
      </c>
      <c r="P20" s="712">
        <f t="shared" si="10"/>
        <v>666811</v>
      </c>
      <c r="Q20" s="720">
        <v>2.436E-2</v>
      </c>
      <c r="R20" s="721">
        <f t="shared" si="11"/>
        <v>135363</v>
      </c>
      <c r="S20" s="712">
        <f t="shared" si="12"/>
        <v>0</v>
      </c>
      <c r="T20" s="712">
        <f t="shared" si="13"/>
        <v>0</v>
      </c>
      <c r="U20" s="712">
        <f t="shared" si="14"/>
        <v>222270</v>
      </c>
      <c r="V20" s="719">
        <f t="shared" si="15"/>
        <v>7794413.7600000007</v>
      </c>
      <c r="W20" s="722">
        <f t="shared" si="16"/>
        <v>623553</v>
      </c>
      <c r="X20" s="719"/>
      <c r="Y20" s="719">
        <f t="shared" si="17"/>
        <v>8417966.7600000016</v>
      </c>
      <c r="Z20" s="719">
        <f t="shared" si="18"/>
        <v>0</v>
      </c>
      <c r="AA20" s="723">
        <f t="shared" si="19"/>
        <v>8417966.7600000016</v>
      </c>
      <c r="AB20" s="721">
        <f t="shared" si="20"/>
        <v>1599414</v>
      </c>
      <c r="AC20" s="719">
        <f t="shared" si="21"/>
        <v>10017380.760000002</v>
      </c>
      <c r="AD20" s="7" t="s">
        <v>13</v>
      </c>
    </row>
    <row r="21" spans="1:30" s="10" customFormat="1" ht="24.95" customHeight="1" outlineLevel="1">
      <c r="A21" s="10">
        <v>9</v>
      </c>
      <c r="B21" s="54" t="s">
        <v>156</v>
      </c>
      <c r="C21" s="81" t="s">
        <v>155</v>
      </c>
      <c r="D21" s="110">
        <v>4</v>
      </c>
      <c r="E21" s="712">
        <f>ROUND((2286853*(1+Incremento_2027)),0)</f>
        <v>2469801</v>
      </c>
      <c r="F21" s="719">
        <f t="shared" si="0"/>
        <v>9879204</v>
      </c>
      <c r="G21" s="712">
        <f t="shared" si="1"/>
        <v>1284297</v>
      </c>
      <c r="H21" s="712">
        <f t="shared" si="2"/>
        <v>938524</v>
      </c>
      <c r="I21" s="712">
        <f t="shared" si="3"/>
        <v>1076092</v>
      </c>
      <c r="J21" s="719">
        <f t="shared" si="4"/>
        <v>13178117</v>
      </c>
      <c r="K21" s="712">
        <f t="shared" si="5"/>
        <v>504291</v>
      </c>
      <c r="L21" s="712">
        <f t="shared" si="6"/>
        <v>1098132</v>
      </c>
      <c r="M21" s="712">
        <f t="shared" si="7"/>
        <v>1098132</v>
      </c>
      <c r="N21" s="712">
        <f t="shared" si="8"/>
        <v>131781</v>
      </c>
      <c r="O21" s="712">
        <f t="shared" si="9"/>
        <v>0</v>
      </c>
      <c r="P21" s="712">
        <f t="shared" si="10"/>
        <v>1452243</v>
      </c>
      <c r="Q21" s="720">
        <v>5.2199999999999998E-3</v>
      </c>
      <c r="R21" s="721">
        <f t="shared" si="11"/>
        <v>63173</v>
      </c>
      <c r="S21" s="712">
        <f t="shared" si="12"/>
        <v>0</v>
      </c>
      <c r="T21" s="712">
        <f t="shared" si="13"/>
        <v>0</v>
      </c>
      <c r="U21" s="712">
        <f t="shared" si="14"/>
        <v>484081</v>
      </c>
      <c r="V21" s="719">
        <f t="shared" si="15"/>
        <v>18009950</v>
      </c>
      <c r="W21" s="722">
        <f t="shared" si="16"/>
        <v>1440796</v>
      </c>
      <c r="X21" s="719"/>
      <c r="Y21" s="719">
        <f t="shared" si="17"/>
        <v>19450746</v>
      </c>
      <c r="Z21" s="719">
        <f t="shared" si="18"/>
        <v>0</v>
      </c>
      <c r="AA21" s="723">
        <f t="shared" si="19"/>
        <v>19450746</v>
      </c>
      <c r="AB21" s="721">
        <f t="shared" si="20"/>
        <v>3695642</v>
      </c>
      <c r="AC21" s="719">
        <f t="shared" si="21"/>
        <v>23146388</v>
      </c>
      <c r="AD21" s="7" t="s">
        <v>13</v>
      </c>
    </row>
    <row r="22" spans="1:30" s="10" customFormat="1" ht="24.95" customHeight="1" outlineLevel="1">
      <c r="A22" s="10">
        <v>10</v>
      </c>
      <c r="B22" s="54" t="s">
        <v>158</v>
      </c>
      <c r="C22" s="81" t="s">
        <v>157</v>
      </c>
      <c r="D22" s="110">
        <v>1</v>
      </c>
      <c r="E22" s="712">
        <f>ROUND((2286853*(1+Incremento_2027)),0)</f>
        <v>2469801</v>
      </c>
      <c r="F22" s="719">
        <f t="shared" si="0"/>
        <v>2469801</v>
      </c>
      <c r="G22" s="712">
        <f t="shared" si="1"/>
        <v>321074</v>
      </c>
      <c r="H22" s="712">
        <f t="shared" si="2"/>
        <v>234631</v>
      </c>
      <c r="I22" s="712">
        <f t="shared" si="3"/>
        <v>269023</v>
      </c>
      <c r="J22" s="719">
        <f t="shared" si="4"/>
        <v>3294529</v>
      </c>
      <c r="K22" s="712">
        <f t="shared" si="5"/>
        <v>126073</v>
      </c>
      <c r="L22" s="712">
        <f t="shared" si="6"/>
        <v>274533</v>
      </c>
      <c r="M22" s="712">
        <f t="shared" si="7"/>
        <v>274533</v>
      </c>
      <c r="N22" s="712">
        <f t="shared" si="8"/>
        <v>32945</v>
      </c>
      <c r="O22" s="712">
        <f t="shared" si="9"/>
        <v>0</v>
      </c>
      <c r="P22" s="712">
        <f t="shared" si="10"/>
        <v>363061</v>
      </c>
      <c r="Q22" s="720">
        <v>5.2199999999999998E-3</v>
      </c>
      <c r="R22" s="721">
        <f t="shared" si="11"/>
        <v>15793</v>
      </c>
      <c r="S22" s="712">
        <f t="shared" si="12"/>
        <v>0</v>
      </c>
      <c r="T22" s="712">
        <f t="shared" si="13"/>
        <v>0</v>
      </c>
      <c r="U22" s="712">
        <f t="shared" si="14"/>
        <v>121020</v>
      </c>
      <c r="V22" s="719">
        <f t="shared" si="15"/>
        <v>4502487</v>
      </c>
      <c r="W22" s="722">
        <f t="shared" si="16"/>
        <v>360199</v>
      </c>
      <c r="X22" s="719"/>
      <c r="Y22" s="719">
        <f t="shared" si="17"/>
        <v>4862686</v>
      </c>
      <c r="Z22" s="719">
        <f t="shared" si="18"/>
        <v>0</v>
      </c>
      <c r="AA22" s="723">
        <f t="shared" si="19"/>
        <v>4862686</v>
      </c>
      <c r="AB22" s="721">
        <f t="shared" si="20"/>
        <v>923910</v>
      </c>
      <c r="AC22" s="719">
        <f t="shared" si="21"/>
        <v>5786596</v>
      </c>
      <c r="AD22" s="7" t="s">
        <v>13</v>
      </c>
    </row>
    <row r="23" spans="1:30" s="10" customFormat="1" ht="24.95" customHeight="1" outlineLevel="1">
      <c r="A23" s="10">
        <v>11</v>
      </c>
      <c r="B23" s="54" t="s">
        <v>160</v>
      </c>
      <c r="C23" s="81" t="s">
        <v>159</v>
      </c>
      <c r="D23" s="110">
        <v>2</v>
      </c>
      <c r="E23" s="712">
        <f>ROUND((2219582*(1+Incremento_2027)),0)</f>
        <v>2397149</v>
      </c>
      <c r="F23" s="719">
        <f t="shared" si="0"/>
        <v>4794298</v>
      </c>
      <c r="G23" s="712">
        <f t="shared" si="1"/>
        <v>623259</v>
      </c>
      <c r="H23" s="712">
        <f t="shared" si="2"/>
        <v>455458</v>
      </c>
      <c r="I23" s="712">
        <f t="shared" si="3"/>
        <v>538046</v>
      </c>
      <c r="J23" s="719">
        <f t="shared" si="4"/>
        <v>6411061</v>
      </c>
      <c r="K23" s="712">
        <f t="shared" si="5"/>
        <v>244729</v>
      </c>
      <c r="L23" s="712">
        <f t="shared" si="6"/>
        <v>534234</v>
      </c>
      <c r="M23" s="712">
        <f t="shared" si="7"/>
        <v>534234</v>
      </c>
      <c r="N23" s="712">
        <f t="shared" si="8"/>
        <v>64111</v>
      </c>
      <c r="O23" s="712">
        <f t="shared" si="9"/>
        <v>0</v>
      </c>
      <c r="P23" s="712">
        <f t="shared" si="10"/>
        <v>704762</v>
      </c>
      <c r="Q23" s="720">
        <v>5.2199999999999998E-3</v>
      </c>
      <c r="R23" s="721">
        <f t="shared" si="11"/>
        <v>30657</v>
      </c>
      <c r="S23" s="712">
        <f t="shared" si="12"/>
        <v>0</v>
      </c>
      <c r="T23" s="712">
        <f t="shared" si="13"/>
        <v>0</v>
      </c>
      <c r="U23" s="712">
        <f t="shared" si="14"/>
        <v>234921</v>
      </c>
      <c r="V23" s="719">
        <f t="shared" si="15"/>
        <v>8758709</v>
      </c>
      <c r="W23" s="722">
        <f t="shared" si="16"/>
        <v>700697</v>
      </c>
      <c r="X23" s="719"/>
      <c r="Y23" s="719">
        <f t="shared" si="17"/>
        <v>9459406</v>
      </c>
      <c r="Z23" s="719">
        <f t="shared" si="18"/>
        <v>0</v>
      </c>
      <c r="AA23" s="723">
        <f t="shared" si="19"/>
        <v>9459406</v>
      </c>
      <c r="AB23" s="721">
        <f t="shared" si="20"/>
        <v>1797287</v>
      </c>
      <c r="AC23" s="719">
        <f t="shared" si="21"/>
        <v>11256693</v>
      </c>
      <c r="AD23" s="7" t="s">
        <v>13</v>
      </c>
    </row>
    <row r="24" spans="1:30" s="10" customFormat="1" ht="24.95" customHeight="1" outlineLevel="1">
      <c r="A24" s="10">
        <v>12</v>
      </c>
      <c r="B24" s="54" t="s">
        <v>162</v>
      </c>
      <c r="C24" s="82" t="s">
        <v>161</v>
      </c>
      <c r="D24" s="496">
        <v>6</v>
      </c>
      <c r="E24" s="712">
        <f>ROUND((3062112*(1+Incremento_2027)),0)</f>
        <v>3307081</v>
      </c>
      <c r="F24" s="719">
        <f t="shared" si="0"/>
        <v>19842486</v>
      </c>
      <c r="G24" s="712">
        <f t="shared" si="1"/>
        <v>2579523</v>
      </c>
      <c r="H24" s="712">
        <f t="shared" si="2"/>
        <v>1885036</v>
      </c>
      <c r="I24" s="712">
        <f t="shared" si="3"/>
        <v>1614138</v>
      </c>
      <c r="J24" s="719">
        <f t="shared" si="4"/>
        <v>25921183</v>
      </c>
      <c r="K24" s="712">
        <f t="shared" si="5"/>
        <v>1012875</v>
      </c>
      <c r="L24" s="712">
        <f t="shared" si="6"/>
        <v>2160012</v>
      </c>
      <c r="M24" s="712">
        <f t="shared" si="7"/>
        <v>2160012</v>
      </c>
      <c r="N24" s="712">
        <f t="shared" si="8"/>
        <v>259212</v>
      </c>
      <c r="O24" s="712">
        <f t="shared" si="9"/>
        <v>0</v>
      </c>
      <c r="P24" s="712">
        <f t="shared" si="10"/>
        <v>2916845</v>
      </c>
      <c r="Q24" s="720">
        <v>6.9599999999999995E-2</v>
      </c>
      <c r="R24" s="712">
        <f t="shared" si="11"/>
        <v>1691770</v>
      </c>
      <c r="S24" s="712">
        <f t="shared" si="12"/>
        <v>0</v>
      </c>
      <c r="T24" s="712">
        <f t="shared" si="13"/>
        <v>0</v>
      </c>
      <c r="U24" s="712">
        <f t="shared" si="14"/>
        <v>972282</v>
      </c>
      <c r="V24" s="719">
        <f t="shared" si="15"/>
        <v>37094191</v>
      </c>
      <c r="W24" s="722">
        <f t="shared" si="16"/>
        <v>2967535</v>
      </c>
      <c r="X24" s="719"/>
      <c r="Y24" s="719">
        <f t="shared" si="17"/>
        <v>40061726</v>
      </c>
      <c r="Z24" s="719">
        <f t="shared" si="18"/>
        <v>0</v>
      </c>
      <c r="AA24" s="723">
        <f t="shared" si="19"/>
        <v>40061726</v>
      </c>
      <c r="AB24" s="721">
        <f t="shared" si="20"/>
        <v>7611728</v>
      </c>
      <c r="AC24" s="719">
        <f t="shared" si="21"/>
        <v>47673454</v>
      </c>
      <c r="AD24" s="7" t="s">
        <v>13</v>
      </c>
    </row>
    <row r="25" spans="1:30" s="10" customFormat="1" ht="24.95" customHeight="1" outlineLevel="1">
      <c r="A25" s="10">
        <v>13</v>
      </c>
      <c r="B25" s="54" t="s">
        <v>164</v>
      </c>
      <c r="C25" s="82" t="s">
        <v>163</v>
      </c>
      <c r="D25" s="110">
        <v>1</v>
      </c>
      <c r="E25" s="712">
        <f>ROUND((2219582*(1+Incremento_2027)),0)</f>
        <v>2397149</v>
      </c>
      <c r="F25" s="719">
        <f t="shared" si="0"/>
        <v>2397149</v>
      </c>
      <c r="G25" s="712">
        <f t="shared" si="1"/>
        <v>311629</v>
      </c>
      <c r="H25" s="712">
        <f t="shared" si="2"/>
        <v>227729</v>
      </c>
      <c r="I25" s="712">
        <f t="shared" si="3"/>
        <v>269023</v>
      </c>
      <c r="J25" s="719">
        <f t="shared" si="4"/>
        <v>3205530</v>
      </c>
      <c r="K25" s="712">
        <f t="shared" si="5"/>
        <v>122364</v>
      </c>
      <c r="L25" s="712">
        <f t="shared" si="6"/>
        <v>267117</v>
      </c>
      <c r="M25" s="712">
        <f t="shared" si="7"/>
        <v>267117</v>
      </c>
      <c r="N25" s="712">
        <f t="shared" si="8"/>
        <v>32055</v>
      </c>
      <c r="O25" s="712">
        <f t="shared" si="9"/>
        <v>0</v>
      </c>
      <c r="P25" s="712">
        <f t="shared" si="10"/>
        <v>352381</v>
      </c>
      <c r="Q25" s="720">
        <v>6.9599999999999995E-2</v>
      </c>
      <c r="R25" s="721">
        <f t="shared" si="11"/>
        <v>204381</v>
      </c>
      <c r="S25" s="712">
        <f t="shared" si="12"/>
        <v>0</v>
      </c>
      <c r="T25" s="712">
        <f t="shared" si="13"/>
        <v>0</v>
      </c>
      <c r="U25" s="712">
        <f t="shared" si="14"/>
        <v>117460</v>
      </c>
      <c r="V25" s="719">
        <f t="shared" si="15"/>
        <v>4568405</v>
      </c>
      <c r="W25" s="722">
        <f t="shared" si="16"/>
        <v>365472</v>
      </c>
      <c r="X25" s="719"/>
      <c r="Y25" s="719">
        <f t="shared" si="17"/>
        <v>4933877</v>
      </c>
      <c r="Z25" s="719">
        <f t="shared" si="18"/>
        <v>0</v>
      </c>
      <c r="AA25" s="723">
        <f t="shared" si="19"/>
        <v>4933877</v>
      </c>
      <c r="AB25" s="721">
        <f t="shared" si="20"/>
        <v>937437</v>
      </c>
      <c r="AC25" s="719">
        <f t="shared" si="21"/>
        <v>5871314</v>
      </c>
      <c r="AD25" s="7" t="s">
        <v>13</v>
      </c>
    </row>
    <row r="26" spans="1:30" s="10" customFormat="1" ht="12.75" outlineLevel="1">
      <c r="A26" s="10">
        <v>14</v>
      </c>
      <c r="B26" s="594" t="s">
        <v>166</v>
      </c>
      <c r="C26" s="82" t="s">
        <v>165</v>
      </c>
      <c r="D26" s="110">
        <v>4</v>
      </c>
      <c r="E26" s="712">
        <f>ROUND((2219582*(1+Incremento_2027)),0)</f>
        <v>2397149</v>
      </c>
      <c r="F26" s="719">
        <f t="shared" si="0"/>
        <v>9588596</v>
      </c>
      <c r="G26" s="712">
        <f t="shared" si="1"/>
        <v>1246517</v>
      </c>
      <c r="H26" s="712">
        <f t="shared" si="2"/>
        <v>910917</v>
      </c>
      <c r="I26" s="712">
        <f t="shared" si="3"/>
        <v>1076092</v>
      </c>
      <c r="J26" s="719">
        <f t="shared" si="4"/>
        <v>12822122</v>
      </c>
      <c r="K26" s="712">
        <f t="shared" si="5"/>
        <v>489457</v>
      </c>
      <c r="L26" s="712">
        <f t="shared" si="6"/>
        <v>1068467</v>
      </c>
      <c r="M26" s="712">
        <f t="shared" si="7"/>
        <v>1068467</v>
      </c>
      <c r="N26" s="712">
        <f t="shared" si="8"/>
        <v>128221</v>
      </c>
      <c r="O26" s="712">
        <f t="shared" si="9"/>
        <v>0</v>
      </c>
      <c r="P26" s="712">
        <f t="shared" si="10"/>
        <v>1409524</v>
      </c>
      <c r="Q26" s="720">
        <v>6.9599999999999995E-2</v>
      </c>
      <c r="R26" s="712">
        <f t="shared" si="11"/>
        <v>817524</v>
      </c>
      <c r="S26" s="712">
        <f t="shared" si="12"/>
        <v>0</v>
      </c>
      <c r="T26" s="712">
        <f t="shared" si="13"/>
        <v>0</v>
      </c>
      <c r="U26" s="712">
        <f t="shared" si="14"/>
        <v>469841</v>
      </c>
      <c r="V26" s="719">
        <f t="shared" si="15"/>
        <v>18273623</v>
      </c>
      <c r="W26" s="722">
        <f t="shared" si="16"/>
        <v>1461890</v>
      </c>
      <c r="X26" s="719"/>
      <c r="Y26" s="719">
        <f t="shared" si="17"/>
        <v>19735513</v>
      </c>
      <c r="Z26" s="719">
        <f t="shared" si="18"/>
        <v>0</v>
      </c>
      <c r="AA26" s="723">
        <f t="shared" si="19"/>
        <v>19735513</v>
      </c>
      <c r="AB26" s="721">
        <f t="shared" si="20"/>
        <v>3749747</v>
      </c>
      <c r="AC26" s="719">
        <f t="shared" si="21"/>
        <v>23485260</v>
      </c>
      <c r="AD26" s="7" t="s">
        <v>13</v>
      </c>
    </row>
    <row r="27" spans="1:30" s="10" customFormat="1" ht="25.5" customHeight="1" outlineLevel="1">
      <c r="A27" s="10">
        <v>15</v>
      </c>
      <c r="B27" s="594" t="s">
        <v>169</v>
      </c>
      <c r="C27" s="82" t="s">
        <v>167</v>
      </c>
      <c r="D27" s="496">
        <v>1</v>
      </c>
      <c r="E27" s="763">
        <f>ROUND(((3062112*Incremento_2027)+3062112),0)</f>
        <v>3307081</v>
      </c>
      <c r="F27" s="705">
        <f t="shared" si="0"/>
        <v>3307081</v>
      </c>
      <c r="G27" s="763">
        <f t="shared" si="1"/>
        <v>429921</v>
      </c>
      <c r="H27" s="763">
        <f t="shared" si="2"/>
        <v>314173</v>
      </c>
      <c r="I27" s="763">
        <f t="shared" si="3"/>
        <v>269023</v>
      </c>
      <c r="J27" s="705">
        <f t="shared" si="4"/>
        <v>4320198</v>
      </c>
      <c r="K27" s="763">
        <f t="shared" si="5"/>
        <v>168812</v>
      </c>
      <c r="L27" s="763">
        <f t="shared" si="6"/>
        <v>360002</v>
      </c>
      <c r="M27" s="763">
        <f t="shared" si="7"/>
        <v>360002</v>
      </c>
      <c r="N27" s="763">
        <f t="shared" si="8"/>
        <v>43202</v>
      </c>
      <c r="O27" s="763">
        <f t="shared" si="9"/>
        <v>0</v>
      </c>
      <c r="P27" s="763">
        <f t="shared" si="10"/>
        <v>486141</v>
      </c>
      <c r="Q27" s="720">
        <v>4.3499999999999997E-2</v>
      </c>
      <c r="R27" s="763">
        <f t="shared" si="11"/>
        <v>176226</v>
      </c>
      <c r="S27" s="763">
        <f t="shared" si="12"/>
        <v>0</v>
      </c>
      <c r="T27" s="763">
        <f t="shared" si="13"/>
        <v>0</v>
      </c>
      <c r="U27" s="763">
        <f t="shared" si="14"/>
        <v>162047</v>
      </c>
      <c r="V27" s="705">
        <f t="shared" si="15"/>
        <v>6076630</v>
      </c>
      <c r="W27" s="705">
        <f t="shared" si="16"/>
        <v>486130</v>
      </c>
      <c r="X27" s="705">
        <f t="shared" ref="X27:X33" si="22">IFERROR(ROUND(V27*10%,0),"")</f>
        <v>607663</v>
      </c>
      <c r="Y27" s="705"/>
      <c r="Z27" s="705">
        <f t="shared" ref="Z27:Z33" si="23">IFERROR(V27-X27+W27,"")</f>
        <v>5955097</v>
      </c>
      <c r="AA27" s="847">
        <f t="shared" si="19"/>
        <v>6562760</v>
      </c>
      <c r="AB27" s="738">
        <f t="shared" ref="AB27:AB33" si="24">IFERROR(ROUND(X27*$AB$12,0),"")</f>
        <v>115456</v>
      </c>
      <c r="AC27" s="705">
        <f t="shared" si="21"/>
        <v>6678216</v>
      </c>
      <c r="AD27" s="7" t="s">
        <v>13</v>
      </c>
    </row>
    <row r="28" spans="1:30" s="10" customFormat="1" ht="25.5" customHeight="1" outlineLevel="1">
      <c r="A28" s="64">
        <v>16</v>
      </c>
      <c r="B28" s="54" t="s">
        <v>171</v>
      </c>
      <c r="C28" s="82" t="s">
        <v>170</v>
      </c>
      <c r="D28" s="496">
        <v>1</v>
      </c>
      <c r="E28" s="713">
        <f>ROUND((3062112*(1+Incremento_2027)),0)</f>
        <v>3307081</v>
      </c>
      <c r="F28" s="705">
        <f t="shared" si="0"/>
        <v>3307081</v>
      </c>
      <c r="G28" s="763">
        <f t="shared" si="1"/>
        <v>429921</v>
      </c>
      <c r="H28" s="763">
        <f t="shared" si="2"/>
        <v>314173</v>
      </c>
      <c r="I28" s="763">
        <f t="shared" si="3"/>
        <v>269023</v>
      </c>
      <c r="J28" s="705">
        <f t="shared" si="4"/>
        <v>4320198</v>
      </c>
      <c r="K28" s="763">
        <f t="shared" si="5"/>
        <v>168812</v>
      </c>
      <c r="L28" s="763">
        <f t="shared" si="6"/>
        <v>360002</v>
      </c>
      <c r="M28" s="763">
        <f t="shared" si="7"/>
        <v>360002</v>
      </c>
      <c r="N28" s="763">
        <f t="shared" si="8"/>
        <v>43202</v>
      </c>
      <c r="O28" s="763">
        <f t="shared" si="9"/>
        <v>0</v>
      </c>
      <c r="P28" s="763">
        <f t="shared" si="10"/>
        <v>486141</v>
      </c>
      <c r="Q28" s="720">
        <v>4.3499999999999997E-2</v>
      </c>
      <c r="R28" s="763">
        <f t="shared" si="11"/>
        <v>176226</v>
      </c>
      <c r="S28" s="763">
        <f t="shared" si="12"/>
        <v>0</v>
      </c>
      <c r="T28" s="763">
        <f t="shared" si="13"/>
        <v>0</v>
      </c>
      <c r="U28" s="763">
        <f t="shared" si="14"/>
        <v>162047</v>
      </c>
      <c r="V28" s="705">
        <f t="shared" si="15"/>
        <v>6076630</v>
      </c>
      <c r="W28" s="705">
        <f t="shared" si="16"/>
        <v>486130</v>
      </c>
      <c r="X28" s="705">
        <f t="shared" si="22"/>
        <v>607663</v>
      </c>
      <c r="Y28" s="705"/>
      <c r="Z28" s="705">
        <f t="shared" si="23"/>
        <v>5955097</v>
      </c>
      <c r="AA28" s="847">
        <f t="shared" si="19"/>
        <v>6562760</v>
      </c>
      <c r="AB28" s="738">
        <f t="shared" si="24"/>
        <v>115456</v>
      </c>
      <c r="AC28" s="705">
        <f t="shared" si="21"/>
        <v>6678216</v>
      </c>
      <c r="AD28" s="7" t="s">
        <v>13</v>
      </c>
    </row>
    <row r="29" spans="1:30" s="64" customFormat="1" ht="12.75" customHeight="1" outlineLevel="1">
      <c r="A29" s="64">
        <v>17</v>
      </c>
      <c r="B29" s="54" t="s">
        <v>173</v>
      </c>
      <c r="C29" s="81" t="s">
        <v>172</v>
      </c>
      <c r="D29" s="110">
        <v>6</v>
      </c>
      <c r="E29" s="712">
        <f>ROUND((2573073*(1+Incremento_2027)),0)</f>
        <v>2778919</v>
      </c>
      <c r="F29" s="719">
        <f t="shared" si="0"/>
        <v>16673514</v>
      </c>
      <c r="G29" s="712">
        <f t="shared" si="1"/>
        <v>2167557</v>
      </c>
      <c r="H29" s="712">
        <f t="shared" si="2"/>
        <v>1583984</v>
      </c>
      <c r="I29" s="712">
        <f t="shared" si="3"/>
        <v>1614138</v>
      </c>
      <c r="J29" s="719">
        <f t="shared" si="4"/>
        <v>22039193</v>
      </c>
      <c r="K29" s="712">
        <f t="shared" si="5"/>
        <v>851112</v>
      </c>
      <c r="L29" s="712">
        <f t="shared" si="6"/>
        <v>1836526</v>
      </c>
      <c r="M29" s="712">
        <f t="shared" si="7"/>
        <v>1836526</v>
      </c>
      <c r="N29" s="712">
        <f t="shared" si="8"/>
        <v>220392</v>
      </c>
      <c r="O29" s="712">
        <f t="shared" si="9"/>
        <v>0</v>
      </c>
      <c r="P29" s="712">
        <f t="shared" si="10"/>
        <v>2451007</v>
      </c>
      <c r="Q29" s="724">
        <v>4.3499999999999997E-2</v>
      </c>
      <c r="R29" s="712">
        <f t="shared" si="11"/>
        <v>888490</v>
      </c>
      <c r="S29" s="712">
        <f t="shared" si="12"/>
        <v>0</v>
      </c>
      <c r="T29" s="712">
        <f t="shared" si="13"/>
        <v>0</v>
      </c>
      <c r="U29" s="712">
        <f t="shared" si="14"/>
        <v>817002</v>
      </c>
      <c r="V29" s="719">
        <f t="shared" si="15"/>
        <v>30940248</v>
      </c>
      <c r="W29" s="722">
        <f t="shared" si="16"/>
        <v>2475220</v>
      </c>
      <c r="X29" s="719">
        <f t="shared" si="22"/>
        <v>3094025</v>
      </c>
      <c r="Y29" s="719"/>
      <c r="Z29" s="719">
        <f t="shared" si="23"/>
        <v>30321443</v>
      </c>
      <c r="AA29" s="723">
        <f t="shared" si="19"/>
        <v>33415468</v>
      </c>
      <c r="AB29" s="725">
        <f t="shared" si="24"/>
        <v>587865</v>
      </c>
      <c r="AC29" s="719">
        <f t="shared" si="21"/>
        <v>34003333</v>
      </c>
      <c r="AD29" s="726" t="s">
        <v>13</v>
      </c>
    </row>
    <row r="30" spans="1:30" s="64" customFormat="1" ht="25.5" customHeight="1" outlineLevel="1">
      <c r="A30" s="64">
        <v>18</v>
      </c>
      <c r="B30" s="54" t="s">
        <v>175</v>
      </c>
      <c r="C30" s="81" t="s">
        <v>174</v>
      </c>
      <c r="D30" s="110">
        <v>1</v>
      </c>
      <c r="E30" s="712">
        <f>ROUND((2219582*(1+Incremento_2027)),0)</f>
        <v>2397149</v>
      </c>
      <c r="F30" s="719">
        <f t="shared" si="0"/>
        <v>2397149</v>
      </c>
      <c r="G30" s="712">
        <f t="shared" si="1"/>
        <v>311629</v>
      </c>
      <c r="H30" s="712">
        <f t="shared" si="2"/>
        <v>227729</v>
      </c>
      <c r="I30" s="712">
        <f t="shared" si="3"/>
        <v>269023</v>
      </c>
      <c r="J30" s="719">
        <f t="shared" si="4"/>
        <v>3205530</v>
      </c>
      <c r="K30" s="712">
        <f t="shared" si="5"/>
        <v>122364</v>
      </c>
      <c r="L30" s="712">
        <f t="shared" si="6"/>
        <v>267117</v>
      </c>
      <c r="M30" s="712">
        <f t="shared" si="7"/>
        <v>267117</v>
      </c>
      <c r="N30" s="712">
        <f t="shared" si="8"/>
        <v>32055</v>
      </c>
      <c r="O30" s="712">
        <f t="shared" si="9"/>
        <v>0</v>
      </c>
      <c r="P30" s="712">
        <f t="shared" si="10"/>
        <v>352381</v>
      </c>
      <c r="Q30" s="724">
        <v>4.3499999999999997E-2</v>
      </c>
      <c r="R30" s="712">
        <f t="shared" si="11"/>
        <v>127738</v>
      </c>
      <c r="S30" s="712">
        <f t="shared" si="12"/>
        <v>0</v>
      </c>
      <c r="T30" s="712">
        <f t="shared" si="13"/>
        <v>0</v>
      </c>
      <c r="U30" s="712">
        <f t="shared" si="14"/>
        <v>117460</v>
      </c>
      <c r="V30" s="719">
        <f t="shared" si="15"/>
        <v>4491762</v>
      </c>
      <c r="W30" s="722">
        <f t="shared" si="16"/>
        <v>359341</v>
      </c>
      <c r="X30" s="719">
        <f t="shared" si="22"/>
        <v>449176</v>
      </c>
      <c r="Y30" s="719"/>
      <c r="Z30" s="719">
        <f t="shared" si="23"/>
        <v>4401927</v>
      </c>
      <c r="AA30" s="723">
        <f t="shared" si="19"/>
        <v>4851103</v>
      </c>
      <c r="AB30" s="725">
        <f t="shared" si="24"/>
        <v>85343</v>
      </c>
      <c r="AC30" s="719">
        <f t="shared" si="21"/>
        <v>4936446</v>
      </c>
      <c r="AD30" s="726" t="s">
        <v>13</v>
      </c>
    </row>
    <row r="31" spans="1:30" s="64" customFormat="1" ht="12.75" customHeight="1" outlineLevel="1">
      <c r="A31" s="64">
        <v>19</v>
      </c>
      <c r="B31" s="54" t="s">
        <v>177</v>
      </c>
      <c r="C31" s="81" t="s">
        <v>176</v>
      </c>
      <c r="D31" s="110">
        <v>1</v>
      </c>
      <c r="E31" s="712">
        <f>ROUND((3062112*(1+Incremento_2027)),0)</f>
        <v>3307081</v>
      </c>
      <c r="F31" s="719">
        <f t="shared" si="0"/>
        <v>3307081</v>
      </c>
      <c r="G31" s="712">
        <f t="shared" si="1"/>
        <v>429921</v>
      </c>
      <c r="H31" s="712">
        <f t="shared" si="2"/>
        <v>314173</v>
      </c>
      <c r="I31" s="712">
        <f t="shared" si="3"/>
        <v>269023</v>
      </c>
      <c r="J31" s="719">
        <f t="shared" si="4"/>
        <v>4320198</v>
      </c>
      <c r="K31" s="712">
        <f t="shared" si="5"/>
        <v>168812</v>
      </c>
      <c r="L31" s="712">
        <f t="shared" si="6"/>
        <v>360002</v>
      </c>
      <c r="M31" s="712">
        <f t="shared" si="7"/>
        <v>360002</v>
      </c>
      <c r="N31" s="712">
        <f t="shared" si="8"/>
        <v>43202</v>
      </c>
      <c r="O31" s="712">
        <f t="shared" si="9"/>
        <v>0</v>
      </c>
      <c r="P31" s="712">
        <f t="shared" si="10"/>
        <v>486141</v>
      </c>
      <c r="Q31" s="724">
        <v>1.044E-2</v>
      </c>
      <c r="R31" s="712">
        <f t="shared" si="11"/>
        <v>42294</v>
      </c>
      <c r="S31" s="712">
        <f t="shared" si="12"/>
        <v>0</v>
      </c>
      <c r="T31" s="712">
        <f t="shared" si="13"/>
        <v>0</v>
      </c>
      <c r="U31" s="712">
        <f t="shared" si="14"/>
        <v>162047</v>
      </c>
      <c r="V31" s="719">
        <f t="shared" si="15"/>
        <v>5942698</v>
      </c>
      <c r="W31" s="722">
        <f t="shared" si="16"/>
        <v>475416</v>
      </c>
      <c r="X31" s="719">
        <f t="shared" si="22"/>
        <v>594270</v>
      </c>
      <c r="Y31" s="719"/>
      <c r="Z31" s="719">
        <f t="shared" si="23"/>
        <v>5823844</v>
      </c>
      <c r="AA31" s="723">
        <f t="shared" si="19"/>
        <v>6418114</v>
      </c>
      <c r="AB31" s="725">
        <f t="shared" si="24"/>
        <v>112911</v>
      </c>
      <c r="AC31" s="719">
        <f t="shared" si="21"/>
        <v>6531025</v>
      </c>
      <c r="AD31" s="726" t="s">
        <v>13</v>
      </c>
    </row>
    <row r="32" spans="1:30" s="64" customFormat="1" ht="12.75" customHeight="1" outlineLevel="1">
      <c r="A32" s="64">
        <v>20</v>
      </c>
      <c r="B32" s="54" t="s">
        <v>179</v>
      </c>
      <c r="C32" s="81" t="s">
        <v>178</v>
      </c>
      <c r="D32" s="110">
        <v>25</v>
      </c>
      <c r="E32" s="712">
        <f>ROUND((1917242*(1+Incremento_2027)),0)</f>
        <v>2070621</v>
      </c>
      <c r="F32" s="719">
        <f t="shared" si="0"/>
        <v>51765525</v>
      </c>
      <c r="G32" s="712">
        <f t="shared" si="1"/>
        <v>6729518</v>
      </c>
      <c r="H32" s="712">
        <f t="shared" si="2"/>
        <v>4917725</v>
      </c>
      <c r="I32" s="712">
        <f t="shared" si="3"/>
        <v>6725575</v>
      </c>
      <c r="J32" s="719">
        <f t="shared" si="4"/>
        <v>70138343</v>
      </c>
      <c r="K32" s="712">
        <f t="shared" si="5"/>
        <v>2642410</v>
      </c>
      <c r="L32" s="712">
        <f t="shared" si="6"/>
        <v>5844628</v>
      </c>
      <c r="M32" s="712">
        <f t="shared" si="7"/>
        <v>5844628</v>
      </c>
      <c r="N32" s="712">
        <f t="shared" si="8"/>
        <v>701383</v>
      </c>
      <c r="O32" s="712">
        <f t="shared" si="9"/>
        <v>0</v>
      </c>
      <c r="P32" s="712">
        <f t="shared" si="10"/>
        <v>7609532</v>
      </c>
      <c r="Q32" s="724">
        <v>1.044E-2</v>
      </c>
      <c r="R32" s="712">
        <f t="shared" si="11"/>
        <v>662029</v>
      </c>
      <c r="S32" s="712">
        <f t="shared" si="12"/>
        <v>0</v>
      </c>
      <c r="T32" s="712">
        <f t="shared" si="13"/>
        <v>0</v>
      </c>
      <c r="U32" s="712">
        <f t="shared" si="14"/>
        <v>2536511</v>
      </c>
      <c r="V32" s="719">
        <f t="shared" si="15"/>
        <v>95979464</v>
      </c>
      <c r="W32" s="722">
        <f t="shared" si="16"/>
        <v>7678357</v>
      </c>
      <c r="X32" s="719">
        <f t="shared" si="22"/>
        <v>9597946</v>
      </c>
      <c r="Y32" s="719"/>
      <c r="Z32" s="719">
        <f t="shared" si="23"/>
        <v>94059875</v>
      </c>
      <c r="AA32" s="723">
        <f t="shared" si="19"/>
        <v>103657821</v>
      </c>
      <c r="AB32" s="725">
        <f t="shared" si="24"/>
        <v>1823610</v>
      </c>
      <c r="AC32" s="719">
        <f t="shared" si="21"/>
        <v>105481431</v>
      </c>
      <c r="AD32" s="726" t="s">
        <v>13</v>
      </c>
    </row>
    <row r="33" spans="1:30" s="64" customFormat="1" ht="12.75" customHeight="1" outlineLevel="1">
      <c r="A33" s="10">
        <v>21</v>
      </c>
      <c r="B33" s="54" t="s">
        <v>181</v>
      </c>
      <c r="C33" s="81" t="s">
        <v>180</v>
      </c>
      <c r="D33" s="110">
        <v>6</v>
      </c>
      <c r="E33" s="712">
        <f>ROUND((2219582*(1+Incremento_2027)),0)</f>
        <v>2397149</v>
      </c>
      <c r="F33" s="719">
        <f t="shared" si="0"/>
        <v>14382894</v>
      </c>
      <c r="G33" s="712">
        <f t="shared" si="1"/>
        <v>1869776</v>
      </c>
      <c r="H33" s="712">
        <f t="shared" si="2"/>
        <v>1366375</v>
      </c>
      <c r="I33" s="712">
        <f t="shared" si="3"/>
        <v>1614138</v>
      </c>
      <c r="J33" s="719">
        <f t="shared" si="4"/>
        <v>19233183</v>
      </c>
      <c r="K33" s="712">
        <f t="shared" si="5"/>
        <v>734186</v>
      </c>
      <c r="L33" s="712">
        <f t="shared" si="6"/>
        <v>1602701</v>
      </c>
      <c r="M33" s="712">
        <f t="shared" si="7"/>
        <v>1602701</v>
      </c>
      <c r="N33" s="712">
        <f t="shared" si="8"/>
        <v>192332</v>
      </c>
      <c r="O33" s="712">
        <f t="shared" si="9"/>
        <v>0</v>
      </c>
      <c r="P33" s="712">
        <f t="shared" si="10"/>
        <v>2114285</v>
      </c>
      <c r="Q33" s="724">
        <v>2.436E-2</v>
      </c>
      <c r="R33" s="712">
        <f t="shared" si="11"/>
        <v>429200</v>
      </c>
      <c r="S33" s="712">
        <f t="shared" si="12"/>
        <v>0</v>
      </c>
      <c r="T33" s="712">
        <f t="shared" si="13"/>
        <v>0</v>
      </c>
      <c r="U33" s="712">
        <f t="shared" si="14"/>
        <v>704762</v>
      </c>
      <c r="V33" s="719">
        <f t="shared" si="15"/>
        <v>26613350</v>
      </c>
      <c r="W33" s="722">
        <f t="shared" si="16"/>
        <v>2129068</v>
      </c>
      <c r="X33" s="719">
        <f t="shared" si="22"/>
        <v>2661335</v>
      </c>
      <c r="Y33" s="719"/>
      <c r="Z33" s="719">
        <f t="shared" si="23"/>
        <v>26081083</v>
      </c>
      <c r="AA33" s="723">
        <f t="shared" si="19"/>
        <v>28742418</v>
      </c>
      <c r="AB33" s="725">
        <f t="shared" si="24"/>
        <v>505654</v>
      </c>
      <c r="AC33" s="719">
        <f t="shared" si="21"/>
        <v>29248072</v>
      </c>
      <c r="AD33" s="726" t="s">
        <v>13</v>
      </c>
    </row>
    <row r="34" spans="1:30" s="10" customFormat="1" ht="24.95" customHeight="1" outlineLevel="1">
      <c r="A34" s="10">
        <v>22</v>
      </c>
      <c r="B34" s="54" t="s">
        <v>183</v>
      </c>
      <c r="C34" s="82" t="s">
        <v>182</v>
      </c>
      <c r="D34" s="110">
        <v>1</v>
      </c>
      <c r="E34" s="712">
        <f>ROUND((3062112*(1+Incremento_2027)),0)</f>
        <v>3307081</v>
      </c>
      <c r="F34" s="719">
        <f t="shared" si="0"/>
        <v>3307081</v>
      </c>
      <c r="G34" s="721">
        <f t="shared" si="1"/>
        <v>429921</v>
      </c>
      <c r="H34" s="721">
        <f t="shared" si="2"/>
        <v>314173</v>
      </c>
      <c r="I34" s="712">
        <f t="shared" si="3"/>
        <v>269023</v>
      </c>
      <c r="J34" s="727">
        <f t="shared" si="4"/>
        <v>4320198</v>
      </c>
      <c r="K34" s="721">
        <f t="shared" si="5"/>
        <v>168812</v>
      </c>
      <c r="L34" s="712">
        <f t="shared" si="6"/>
        <v>360002</v>
      </c>
      <c r="M34" s="721">
        <f t="shared" si="7"/>
        <v>360002</v>
      </c>
      <c r="N34" s="721">
        <f t="shared" si="8"/>
        <v>43202</v>
      </c>
      <c r="O34" s="721">
        <f t="shared" si="9"/>
        <v>0</v>
      </c>
      <c r="P34" s="721">
        <f t="shared" si="10"/>
        <v>486141</v>
      </c>
      <c r="Q34" s="720">
        <v>6.9599999999999995E-2</v>
      </c>
      <c r="R34" s="721">
        <f t="shared" si="11"/>
        <v>281962</v>
      </c>
      <c r="S34" s="712">
        <f t="shared" si="12"/>
        <v>0</v>
      </c>
      <c r="T34" s="712">
        <f t="shared" si="13"/>
        <v>0</v>
      </c>
      <c r="U34" s="712">
        <f t="shared" si="14"/>
        <v>162047</v>
      </c>
      <c r="V34" s="719">
        <f t="shared" si="15"/>
        <v>6182366</v>
      </c>
      <c r="W34" s="722">
        <f t="shared" si="16"/>
        <v>494589</v>
      </c>
      <c r="X34" s="719"/>
      <c r="Y34" s="719">
        <f>IFERROR(V34+W34,"")</f>
        <v>6676955</v>
      </c>
      <c r="Z34" s="719">
        <f>IFERROR(Y34-(V34+W34),"")</f>
        <v>0</v>
      </c>
      <c r="AA34" s="723">
        <f t="shared" si="19"/>
        <v>6676955</v>
      </c>
      <c r="AB34" s="721">
        <f>IFERROR(ROUND(AA34*$AB$12,0),"")</f>
        <v>1268621</v>
      </c>
      <c r="AC34" s="719">
        <f t="shared" si="21"/>
        <v>7945576</v>
      </c>
      <c r="AD34" s="7" t="s">
        <v>13</v>
      </c>
    </row>
    <row r="35" spans="1:30" s="10" customFormat="1" ht="12.75" outlineLevel="1">
      <c r="A35" s="10">
        <v>23</v>
      </c>
      <c r="B35" s="54" t="s">
        <v>185</v>
      </c>
      <c r="C35" s="82" t="s">
        <v>184</v>
      </c>
      <c r="D35" s="110">
        <v>22</v>
      </c>
      <c r="E35" s="712">
        <f>ROUND((2655639*(1+Incremento_2027)),0)</f>
        <v>2868090</v>
      </c>
      <c r="F35" s="719">
        <f t="shared" si="0"/>
        <v>63097980</v>
      </c>
      <c r="G35" s="721">
        <f t="shared" si="1"/>
        <v>8202737</v>
      </c>
      <c r="H35" s="721">
        <f t="shared" si="2"/>
        <v>5994308</v>
      </c>
      <c r="I35" s="712">
        <f t="shared" si="3"/>
        <v>5918506</v>
      </c>
      <c r="J35" s="727">
        <f t="shared" si="4"/>
        <v>83213531</v>
      </c>
      <c r="K35" s="721">
        <f t="shared" si="5"/>
        <v>3220884</v>
      </c>
      <c r="L35" s="712">
        <f t="shared" si="6"/>
        <v>6934184</v>
      </c>
      <c r="M35" s="721">
        <f t="shared" si="7"/>
        <v>6934184</v>
      </c>
      <c r="N35" s="721">
        <f t="shared" si="8"/>
        <v>832135</v>
      </c>
      <c r="O35" s="721">
        <f t="shared" si="9"/>
        <v>0</v>
      </c>
      <c r="P35" s="721">
        <f t="shared" si="10"/>
        <v>9275403</v>
      </c>
      <c r="Q35" s="720">
        <v>6.9599999999999995E-2</v>
      </c>
      <c r="R35" s="721">
        <f t="shared" si="11"/>
        <v>5379734</v>
      </c>
      <c r="S35" s="712">
        <f t="shared" si="12"/>
        <v>0</v>
      </c>
      <c r="T35" s="712">
        <f t="shared" si="13"/>
        <v>0</v>
      </c>
      <c r="U35" s="712">
        <f t="shared" si="14"/>
        <v>3091801</v>
      </c>
      <c r="V35" s="719">
        <f t="shared" si="15"/>
        <v>118881856</v>
      </c>
      <c r="W35" s="722">
        <f t="shared" si="16"/>
        <v>9510548</v>
      </c>
      <c r="X35" s="719"/>
      <c r="Y35" s="719">
        <f>IFERROR(V35+W35,"")</f>
        <v>128392404</v>
      </c>
      <c r="Z35" s="719">
        <f>IFERROR(Y35-(V35+W35),"")</f>
        <v>0</v>
      </c>
      <c r="AA35" s="723">
        <f t="shared" si="19"/>
        <v>128392404</v>
      </c>
      <c r="AB35" s="721">
        <f>IFERROR(ROUND(AA35*$AB$12,0),"")</f>
        <v>24394557</v>
      </c>
      <c r="AC35" s="719">
        <f t="shared" si="21"/>
        <v>152786961</v>
      </c>
      <c r="AD35" s="7" t="s">
        <v>13</v>
      </c>
    </row>
    <row r="36" spans="1:30" s="10" customFormat="1" ht="24.95" customHeight="1" outlineLevel="1">
      <c r="A36" s="10">
        <v>24</v>
      </c>
      <c r="B36" s="54" t="s">
        <v>187</v>
      </c>
      <c r="C36" s="82" t="s">
        <v>186</v>
      </c>
      <c r="D36" s="110">
        <v>1</v>
      </c>
      <c r="E36" s="712">
        <f>ROUND((2837478*(1+Incremento_2027)),0)</f>
        <v>3064476</v>
      </c>
      <c r="F36" s="719">
        <f t="shared" si="0"/>
        <v>3064476</v>
      </c>
      <c r="G36" s="721">
        <f t="shared" si="1"/>
        <v>398382</v>
      </c>
      <c r="H36" s="721">
        <f t="shared" si="2"/>
        <v>291125</v>
      </c>
      <c r="I36" s="712">
        <f t="shared" si="3"/>
        <v>269023</v>
      </c>
      <c r="J36" s="727">
        <f t="shared" si="4"/>
        <v>4023006</v>
      </c>
      <c r="K36" s="721">
        <f t="shared" si="5"/>
        <v>156428</v>
      </c>
      <c r="L36" s="712">
        <f t="shared" si="6"/>
        <v>335237</v>
      </c>
      <c r="M36" s="721">
        <f t="shared" si="7"/>
        <v>335237</v>
      </c>
      <c r="N36" s="721">
        <f t="shared" si="8"/>
        <v>40230</v>
      </c>
      <c r="O36" s="721">
        <f t="shared" si="9"/>
        <v>0</v>
      </c>
      <c r="P36" s="721">
        <f t="shared" si="10"/>
        <v>450478</v>
      </c>
      <c r="Q36" s="720">
        <v>6.9599999999999995E-2</v>
      </c>
      <c r="R36" s="721">
        <f t="shared" si="11"/>
        <v>261277</v>
      </c>
      <c r="S36" s="712">
        <f t="shared" si="12"/>
        <v>0</v>
      </c>
      <c r="T36" s="712">
        <f t="shared" si="13"/>
        <v>0</v>
      </c>
      <c r="U36" s="712">
        <f t="shared" si="14"/>
        <v>150159</v>
      </c>
      <c r="V36" s="719">
        <f t="shared" si="15"/>
        <v>5752052</v>
      </c>
      <c r="W36" s="722">
        <f t="shared" si="16"/>
        <v>460164</v>
      </c>
      <c r="X36" s="719"/>
      <c r="Y36" s="719">
        <f>IFERROR(V36+W36,"")</f>
        <v>6212216</v>
      </c>
      <c r="Z36" s="719">
        <f>IFERROR(Y36-(V36+W36),"")</f>
        <v>0</v>
      </c>
      <c r="AA36" s="723">
        <f t="shared" si="19"/>
        <v>6212216</v>
      </c>
      <c r="AB36" s="721">
        <f>IFERROR(ROUND(AA36*$AB$12,0),"")</f>
        <v>1180321</v>
      </c>
      <c r="AC36" s="719">
        <f t="shared" si="21"/>
        <v>7392537</v>
      </c>
      <c r="AD36" s="7" t="s">
        <v>13</v>
      </c>
    </row>
    <row r="37" spans="1:30" s="10" customFormat="1" ht="24.95" customHeight="1" outlineLevel="1">
      <c r="A37" s="10">
        <v>25</v>
      </c>
      <c r="B37" s="54" t="s">
        <v>189</v>
      </c>
      <c r="C37" s="82" t="s">
        <v>188</v>
      </c>
      <c r="D37" s="307">
        <v>1</v>
      </c>
      <c r="E37" s="712">
        <f>ROUND((3062112*(1+Incremento_2027)),0)</f>
        <v>3307081</v>
      </c>
      <c r="F37" s="719">
        <f t="shared" si="0"/>
        <v>3307081</v>
      </c>
      <c r="G37" s="721">
        <f t="shared" si="1"/>
        <v>429921</v>
      </c>
      <c r="H37" s="721">
        <f t="shared" si="2"/>
        <v>314173</v>
      </c>
      <c r="I37" s="712">
        <f t="shared" si="3"/>
        <v>269023</v>
      </c>
      <c r="J37" s="727">
        <f t="shared" si="4"/>
        <v>4320198</v>
      </c>
      <c r="K37" s="721">
        <f t="shared" si="5"/>
        <v>168812</v>
      </c>
      <c r="L37" s="712">
        <f t="shared" si="6"/>
        <v>360002</v>
      </c>
      <c r="M37" s="721">
        <f t="shared" si="7"/>
        <v>360002</v>
      </c>
      <c r="N37" s="721">
        <f t="shared" si="8"/>
        <v>43202</v>
      </c>
      <c r="O37" s="721">
        <f t="shared" si="9"/>
        <v>0</v>
      </c>
      <c r="P37" s="721">
        <f t="shared" si="10"/>
        <v>486141</v>
      </c>
      <c r="Q37" s="720">
        <v>2.436E-2</v>
      </c>
      <c r="R37" s="721">
        <f t="shared" si="11"/>
        <v>98687</v>
      </c>
      <c r="S37" s="712">
        <f t="shared" si="12"/>
        <v>0</v>
      </c>
      <c r="T37" s="712">
        <f t="shared" si="13"/>
        <v>0</v>
      </c>
      <c r="U37" s="712">
        <f t="shared" si="14"/>
        <v>162047</v>
      </c>
      <c r="V37" s="719">
        <f t="shared" si="15"/>
        <v>5999091</v>
      </c>
      <c r="W37" s="722">
        <f t="shared" si="16"/>
        <v>479927</v>
      </c>
      <c r="X37" s="719"/>
      <c r="Y37" s="719">
        <f>IFERROR(V37+W37,"")</f>
        <v>6479018</v>
      </c>
      <c r="Z37" s="719">
        <f>IFERROR(Y37-(V37+W37),"")</f>
        <v>0</v>
      </c>
      <c r="AA37" s="723">
        <f t="shared" si="19"/>
        <v>6479018</v>
      </c>
      <c r="AB37" s="721">
        <f>IFERROR(ROUND(AA37*$AB$12,0),"")</f>
        <v>1231013</v>
      </c>
      <c r="AC37" s="719">
        <f t="shared" si="21"/>
        <v>7710031</v>
      </c>
      <c r="AD37" s="7" t="s">
        <v>13</v>
      </c>
    </row>
    <row r="38" spans="1:30" s="10" customFormat="1" ht="24.95" customHeight="1" outlineLevel="1">
      <c r="A38" s="10">
        <v>26</v>
      </c>
      <c r="B38" s="54" t="s">
        <v>192</v>
      </c>
      <c r="C38" s="82" t="s">
        <v>190</v>
      </c>
      <c r="D38" s="110">
        <v>1</v>
      </c>
      <c r="E38" s="712">
        <f>ROUND((2219582*(1+Incremento_2027)),0)</f>
        <v>2397149</v>
      </c>
      <c r="F38" s="719">
        <f t="shared" si="0"/>
        <v>2397149</v>
      </c>
      <c r="G38" s="721">
        <f t="shared" si="1"/>
        <v>311629</v>
      </c>
      <c r="H38" s="721">
        <f t="shared" si="2"/>
        <v>227729</v>
      </c>
      <c r="I38" s="712">
        <f t="shared" si="3"/>
        <v>269023</v>
      </c>
      <c r="J38" s="727">
        <f t="shared" si="4"/>
        <v>3205530</v>
      </c>
      <c r="K38" s="721">
        <f t="shared" si="5"/>
        <v>122364</v>
      </c>
      <c r="L38" s="712">
        <f t="shared" si="6"/>
        <v>267117</v>
      </c>
      <c r="M38" s="721">
        <f t="shared" si="7"/>
        <v>267117</v>
      </c>
      <c r="N38" s="721">
        <f t="shared" si="8"/>
        <v>32055</v>
      </c>
      <c r="O38" s="721">
        <f t="shared" si="9"/>
        <v>0</v>
      </c>
      <c r="P38" s="721">
        <f t="shared" si="10"/>
        <v>352381</v>
      </c>
      <c r="Q38" s="720">
        <v>2.436E-2</v>
      </c>
      <c r="R38" s="721">
        <f t="shared" si="11"/>
        <v>71533</v>
      </c>
      <c r="S38" s="712">
        <f t="shared" si="12"/>
        <v>0</v>
      </c>
      <c r="T38" s="712">
        <f t="shared" si="13"/>
        <v>0</v>
      </c>
      <c r="U38" s="712">
        <f t="shared" si="14"/>
        <v>117460</v>
      </c>
      <c r="V38" s="719">
        <f t="shared" si="15"/>
        <v>4435557</v>
      </c>
      <c r="W38" s="722">
        <f t="shared" si="16"/>
        <v>354845</v>
      </c>
      <c r="X38" s="719"/>
      <c r="Y38" s="719">
        <f>IFERROR(V38+W38,"")</f>
        <v>4790402</v>
      </c>
      <c r="Z38" s="719">
        <f>IFERROR(Y38-(V38+W38),"")</f>
        <v>0</v>
      </c>
      <c r="AA38" s="723">
        <f t="shared" si="19"/>
        <v>4790402</v>
      </c>
      <c r="AB38" s="721">
        <f>IFERROR(ROUND(AA38*$AB$12,0),"")</f>
        <v>910176</v>
      </c>
      <c r="AC38" s="719">
        <f t="shared" si="21"/>
        <v>5700578</v>
      </c>
      <c r="AD38" s="7" t="s">
        <v>13</v>
      </c>
    </row>
    <row r="39" spans="1:30" s="10" customFormat="1" ht="24.95" customHeight="1" outlineLevel="1">
      <c r="B39" s="592" t="s">
        <v>191</v>
      </c>
      <c r="C39" s="593"/>
      <c r="D39" s="596"/>
      <c r="E39" s="595"/>
      <c r="F39" s="55"/>
      <c r="G39" s="55"/>
      <c r="H39" s="55"/>
      <c r="I39" s="55"/>
      <c r="J39" s="55"/>
      <c r="K39" s="55"/>
      <c r="L39" s="55"/>
      <c r="M39" s="55"/>
      <c r="N39" s="55"/>
      <c r="O39" s="55"/>
      <c r="P39" s="55"/>
      <c r="Q39" s="55"/>
      <c r="R39" s="55"/>
      <c r="S39" s="55"/>
      <c r="T39" s="55"/>
      <c r="U39" s="55"/>
      <c r="V39" s="55"/>
      <c r="W39" s="55"/>
      <c r="X39" s="55"/>
      <c r="Y39" s="55"/>
      <c r="Z39" s="55"/>
      <c r="AA39" s="728"/>
      <c r="AB39" s="55"/>
      <c r="AC39" s="55"/>
      <c r="AD39" s="56"/>
    </row>
    <row r="40" spans="1:30" s="10" customFormat="1" ht="24.95" customHeight="1" outlineLevel="1">
      <c r="A40" s="10">
        <v>27</v>
      </c>
      <c r="B40" s="729" t="s">
        <v>194</v>
      </c>
      <c r="C40" s="81" t="s">
        <v>193</v>
      </c>
      <c r="D40" s="110">
        <v>1</v>
      </c>
      <c r="E40" s="712">
        <f>ROUND((2286853*(1+Incremento_2027)),0)</f>
        <v>2469801</v>
      </c>
      <c r="F40" s="719">
        <f>E40*D40</f>
        <v>2469801</v>
      </c>
      <c r="G40" s="712">
        <f>IFERROR(ROUND(($F40/(42*30/6)*7)*$G$12*$G$10/$D$44,0),"")</f>
        <v>321074</v>
      </c>
      <c r="H40" s="712">
        <f>IFERROR(ROUND(($F40/(42*30/6)*7)*$H$12*$H$10/$D$44,0),"")</f>
        <v>234631</v>
      </c>
      <c r="I40" s="712">
        <f>IF(E40&gt;(1750905*2),0,$I$12*D40)</f>
        <v>269023</v>
      </c>
      <c r="J40" s="719">
        <f>IFERROR(SUM(F40:I40),"")</f>
        <v>3294529</v>
      </c>
      <c r="K40" s="712">
        <f>IFERROR(ROUND((J40-I40)*$K$12,0),"")</f>
        <v>126073</v>
      </c>
      <c r="L40" s="712">
        <f>IFERROR(ROUND((J40)*$L$12,0),"")</f>
        <v>274533</v>
      </c>
      <c r="M40" s="712">
        <f>IFERROR(ROUND((J40)*$M$12,0),"")</f>
        <v>274533</v>
      </c>
      <c r="N40" s="712">
        <f>IFERROR(ROUND((J40)*$N$12,0),"")</f>
        <v>32945</v>
      </c>
      <c r="O40" s="712">
        <f>IFERROR(ROUND((J40-I40)*$O$12,0),"")</f>
        <v>0</v>
      </c>
      <c r="P40" s="712">
        <f>IFERROR(ROUND((J40-I40)*$P$12,0),"")</f>
        <v>363061</v>
      </c>
      <c r="Q40" s="720">
        <v>5.2199999999999998E-3</v>
      </c>
      <c r="R40" s="721">
        <f>ROUND((J40-I40)*Q40,0)</f>
        <v>15793</v>
      </c>
      <c r="S40" s="712">
        <f>IFERROR(ROUND((J40-I40)*$S$12,0),"")</f>
        <v>0</v>
      </c>
      <c r="T40" s="712">
        <f>IFERROR(ROUND((J40-I40)*$T$12,0),"")</f>
        <v>0</v>
      </c>
      <c r="U40" s="712">
        <f>ROUND((J40-I40)*$U$12,0)</f>
        <v>121020</v>
      </c>
      <c r="V40" s="719">
        <f>IFERROR(+J40+K40+L40+M40+N40+O40+P40+R40+S40+T40+U40,"")</f>
        <v>4502487</v>
      </c>
      <c r="W40" s="722">
        <f>IFERROR(ROUND(V40*$W$12,0),"")</f>
        <v>360199</v>
      </c>
      <c r="X40" s="719"/>
      <c r="Y40" s="719">
        <f>IFERROR(V40+W40,"")</f>
        <v>4862686</v>
      </c>
      <c r="Z40" s="719">
        <f>IFERROR(Y40-(V40+W40),"")</f>
        <v>0</v>
      </c>
      <c r="AA40" s="723">
        <f>IFERROR(V40+W40,"")</f>
        <v>4862686</v>
      </c>
      <c r="AB40" s="721">
        <f>IFERROR(ROUND(AA40*$AB$12,0),"")</f>
        <v>923910</v>
      </c>
      <c r="AC40" s="719">
        <f>IFERROR(+AA40+AB40,"")</f>
        <v>5786596</v>
      </c>
      <c r="AD40" s="7" t="s">
        <v>13</v>
      </c>
    </row>
    <row r="41" spans="1:30" s="730" customFormat="1" ht="25.5" customHeight="1" outlineLevel="1">
      <c r="A41" s="730">
        <v>28</v>
      </c>
      <c r="B41" s="594" t="s">
        <v>196</v>
      </c>
      <c r="C41" s="731" t="s">
        <v>195</v>
      </c>
      <c r="D41" s="110">
        <v>6</v>
      </c>
      <c r="E41" s="712">
        <f>ROUND((1917242*(1+Incremento_2027)),0)</f>
        <v>2070621</v>
      </c>
      <c r="F41" s="732">
        <f>E41*D41</f>
        <v>12423726</v>
      </c>
      <c r="G41" s="733">
        <f>IFERROR(ROUND(($F41/(42*30/6)*7)*$G$12*$G$10/$D$44,0),"")</f>
        <v>1615084</v>
      </c>
      <c r="H41" s="733">
        <f>IFERROR(ROUND(($F41/(42*30/6)*7)*$H$12*$H$10/$D$44,0),"")</f>
        <v>1180254</v>
      </c>
      <c r="I41" s="733">
        <f>IF(E41&gt;(1750905*2),0,$I$12*D41)</f>
        <v>1614138</v>
      </c>
      <c r="J41" s="732">
        <f>IFERROR(SUM(F41:I41),"")</f>
        <v>16833202</v>
      </c>
      <c r="K41" s="733">
        <f>IFERROR(ROUND((J41-I41)*$K$12,0),"")</f>
        <v>634178</v>
      </c>
      <c r="L41" s="733">
        <f>IFERROR(ROUND((J41)*$L$12,0),"")</f>
        <v>1402711</v>
      </c>
      <c r="M41" s="733">
        <f>IFERROR(ROUND((J41)*$M$12,0),"")</f>
        <v>1402711</v>
      </c>
      <c r="N41" s="733">
        <f>IFERROR(ROUND((J41)*$N$12,0),"")</f>
        <v>168332</v>
      </c>
      <c r="O41" s="733">
        <f>IFERROR(ROUND((J41-I41)*$O$12,0),"")</f>
        <v>0</v>
      </c>
      <c r="P41" s="733">
        <f>IFERROR(ROUND((J41-I41)*$P$12,0),"")</f>
        <v>1826288</v>
      </c>
      <c r="Q41" s="734">
        <v>1.044E-2</v>
      </c>
      <c r="R41" s="733">
        <f>ROUND((J41-I41)*Q41,0)</f>
        <v>158887</v>
      </c>
      <c r="S41" s="733">
        <f>IFERROR(ROUND((J41-I41)*$S$12,0),"")</f>
        <v>0</v>
      </c>
      <c r="T41" s="733">
        <f>IFERROR(ROUND((J41-I41)*$T$12,0),"")</f>
        <v>0</v>
      </c>
      <c r="U41" s="733">
        <f>ROUND((J41-I41)*$U$12,0)</f>
        <v>608763</v>
      </c>
      <c r="V41" s="732">
        <f>IFERROR(+J41+K41+L41+M41+N41+O41+P41+R41+S41+T41+U41,"")</f>
        <v>23035072</v>
      </c>
      <c r="W41" s="735">
        <f>IFERROR(ROUND(V41*$W$12,0),"")</f>
        <v>1842806</v>
      </c>
      <c r="X41" s="732">
        <f>IFERROR(ROUND(V41*10%,0),"")</f>
        <v>2303507</v>
      </c>
      <c r="Y41" s="732"/>
      <c r="Z41" s="732">
        <f>IFERROR(V41-X41+W41,"")</f>
        <v>22574371</v>
      </c>
      <c r="AA41" s="723">
        <f>IFERROR(V41+W41,"")</f>
        <v>24877878</v>
      </c>
      <c r="AB41" s="736">
        <f>IFERROR(ROUND(X41*$AB$12,0),"")</f>
        <v>437666</v>
      </c>
      <c r="AC41" s="732">
        <f>IFERROR(+AA41+AB41,"")</f>
        <v>25315544</v>
      </c>
      <c r="AD41" s="706" t="s">
        <v>13</v>
      </c>
    </row>
    <row r="42" spans="1:30" s="10" customFormat="1" ht="53.25" customHeight="1">
      <c r="B42" s="83" t="s">
        <v>111</v>
      </c>
      <c r="C42" s="84" t="s">
        <v>198</v>
      </c>
      <c r="D42" s="739">
        <f t="shared" ref="D42:P42" si="25">SUM(D13:D41)</f>
        <v>101</v>
      </c>
      <c r="E42" s="740">
        <f t="shared" si="25"/>
        <v>88218392.75999999</v>
      </c>
      <c r="F42" s="741">
        <f t="shared" si="25"/>
        <v>271639704.75999999</v>
      </c>
      <c r="G42" s="741">
        <f t="shared" si="25"/>
        <v>35313161</v>
      </c>
      <c r="H42" s="741">
        <f t="shared" si="25"/>
        <v>25805775</v>
      </c>
      <c r="I42" s="741">
        <f t="shared" si="25"/>
        <v>25019139</v>
      </c>
      <c r="J42" s="741">
        <f t="shared" si="25"/>
        <v>357777779.75999999</v>
      </c>
      <c r="K42" s="741">
        <f t="shared" si="25"/>
        <v>13866050</v>
      </c>
      <c r="L42" s="741">
        <f t="shared" si="25"/>
        <v>29813622</v>
      </c>
      <c r="M42" s="741">
        <f t="shared" si="25"/>
        <v>29813622</v>
      </c>
      <c r="N42" s="741">
        <f t="shared" si="25"/>
        <v>3577777</v>
      </c>
      <c r="O42" s="741">
        <f t="shared" si="25"/>
        <v>0</v>
      </c>
      <c r="P42" s="741">
        <f t="shared" si="25"/>
        <v>39931037</v>
      </c>
      <c r="Q42" s="741"/>
      <c r="R42" s="741">
        <f t="shared" ref="R42:AC42" si="26">SUM(R13:R41)</f>
        <v>12201614</v>
      </c>
      <c r="S42" s="741">
        <f t="shared" si="26"/>
        <v>0</v>
      </c>
      <c r="T42" s="741">
        <f t="shared" si="26"/>
        <v>0</v>
      </c>
      <c r="U42" s="741">
        <f t="shared" si="26"/>
        <v>13310344</v>
      </c>
      <c r="V42" s="742">
        <f t="shared" si="26"/>
        <v>500291845.75999999</v>
      </c>
      <c r="W42" s="741">
        <f t="shared" si="26"/>
        <v>40023348</v>
      </c>
      <c r="X42" s="741">
        <f t="shared" si="26"/>
        <v>19915585</v>
      </c>
      <c r="Y42" s="741">
        <f t="shared" si="26"/>
        <v>325226871.75999999</v>
      </c>
      <c r="Z42" s="741">
        <f t="shared" si="26"/>
        <v>195172737</v>
      </c>
      <c r="AA42" s="743">
        <f t="shared" si="26"/>
        <v>540315193.75999999</v>
      </c>
      <c r="AB42" s="741">
        <f t="shared" si="26"/>
        <v>65577064</v>
      </c>
      <c r="AC42" s="741">
        <f t="shared" si="26"/>
        <v>605892257.75999999</v>
      </c>
      <c r="AD42" s="52" t="s">
        <v>13</v>
      </c>
    </row>
    <row r="43" spans="1:30" customFormat="1" ht="6" customHeight="1">
      <c r="D43" s="106"/>
      <c r="E43" s="744"/>
      <c r="F43" s="745"/>
      <c r="G43" s="745"/>
      <c r="H43" s="745"/>
      <c r="I43" s="745"/>
      <c r="J43" s="745"/>
      <c r="K43" s="745"/>
      <c r="L43" s="745"/>
      <c r="M43" s="745"/>
      <c r="N43" s="745"/>
      <c r="O43" s="745"/>
      <c r="P43" s="745"/>
      <c r="Q43" s="745"/>
      <c r="R43" s="745"/>
      <c r="S43" s="745"/>
      <c r="T43" s="745"/>
      <c r="U43" s="745"/>
      <c r="V43" s="745"/>
      <c r="W43" s="745"/>
      <c r="X43" s="745"/>
      <c r="Y43" s="745"/>
      <c r="Z43" s="745"/>
      <c r="AA43" s="746"/>
      <c r="AB43" s="745"/>
      <c r="AC43" s="747"/>
    </row>
    <row r="44" spans="1:30" s="10" customFormat="1" ht="53.25" customHeight="1">
      <c r="B44" s="85" t="s">
        <v>111</v>
      </c>
      <c r="C44" s="86" t="s">
        <v>199</v>
      </c>
      <c r="D44" s="748">
        <v>6</v>
      </c>
      <c r="E44" s="749">
        <f t="shared" ref="E44:P44" si="27">$D$44*E$42</f>
        <v>529310356.55999994</v>
      </c>
      <c r="F44" s="750">
        <f t="shared" si="27"/>
        <v>1629838228.5599999</v>
      </c>
      <c r="G44" s="750">
        <f t="shared" si="27"/>
        <v>211878966</v>
      </c>
      <c r="H44" s="750">
        <f t="shared" si="27"/>
        <v>154834650</v>
      </c>
      <c r="I44" s="750">
        <f t="shared" si="27"/>
        <v>150114834</v>
      </c>
      <c r="J44" s="750">
        <f t="shared" si="27"/>
        <v>2146666678.5599999</v>
      </c>
      <c r="K44" s="750">
        <f t="shared" si="27"/>
        <v>83196300</v>
      </c>
      <c r="L44" s="750">
        <f t="shared" si="27"/>
        <v>178881732</v>
      </c>
      <c r="M44" s="750">
        <f t="shared" si="27"/>
        <v>178881732</v>
      </c>
      <c r="N44" s="750">
        <f t="shared" si="27"/>
        <v>21466662</v>
      </c>
      <c r="O44" s="750">
        <f t="shared" si="27"/>
        <v>0</v>
      </c>
      <c r="P44" s="750">
        <f t="shared" si="27"/>
        <v>239586222</v>
      </c>
      <c r="Q44" s="750"/>
      <c r="R44" s="750">
        <f t="shared" ref="R44:AC44" si="28">$D$44*R$42</f>
        <v>73209684</v>
      </c>
      <c r="S44" s="750">
        <f t="shared" si="28"/>
        <v>0</v>
      </c>
      <c r="T44" s="750">
        <f t="shared" si="28"/>
        <v>0</v>
      </c>
      <c r="U44" s="750">
        <f t="shared" si="28"/>
        <v>79862064</v>
      </c>
      <c r="V44" s="751">
        <f t="shared" si="28"/>
        <v>3001751074.5599999</v>
      </c>
      <c r="W44" s="750">
        <f t="shared" si="28"/>
        <v>240140088</v>
      </c>
      <c r="X44" s="750">
        <f t="shared" si="28"/>
        <v>119493510</v>
      </c>
      <c r="Y44" s="750">
        <f t="shared" si="28"/>
        <v>1951361230.5599999</v>
      </c>
      <c r="Z44" s="750">
        <f t="shared" si="28"/>
        <v>1171036422</v>
      </c>
      <c r="AA44" s="752">
        <f t="shared" si="28"/>
        <v>3241891162.5599999</v>
      </c>
      <c r="AB44" s="750">
        <f t="shared" si="28"/>
        <v>393462384</v>
      </c>
      <c r="AC44" s="753">
        <f t="shared" si="28"/>
        <v>3635353546.5599999</v>
      </c>
      <c r="AD44" s="60" t="s">
        <v>13</v>
      </c>
    </row>
    <row r="45" spans="1:30" s="10" customFormat="1" ht="10.5" customHeight="1">
      <c r="B45" s="64"/>
      <c r="C45" s="64"/>
      <c r="D45" s="64"/>
      <c r="E45" s="64"/>
      <c r="F45" s="65"/>
      <c r="G45" s="64"/>
      <c r="H45" s="64"/>
      <c r="I45" s="66"/>
      <c r="J45" s="64"/>
      <c r="K45" s="67"/>
      <c r="L45" s="67"/>
      <c r="M45" s="67"/>
      <c r="N45" s="68"/>
      <c r="O45" s="68"/>
      <c r="P45" s="68"/>
      <c r="Q45" s="69"/>
      <c r="R45" s="70"/>
      <c r="S45" s="68"/>
      <c r="T45" s="68"/>
      <c r="U45" s="68"/>
      <c r="V45" s="757" t="s">
        <v>649</v>
      </c>
      <c r="W45" s="71"/>
      <c r="X45" s="71"/>
      <c r="Y45" s="71"/>
      <c r="Z45" s="71"/>
      <c r="AA45" s="758" t="s">
        <v>649</v>
      </c>
      <c r="AB45" s="72"/>
      <c r="AC45" s="64"/>
      <c r="AD45" s="64"/>
    </row>
    <row r="46" spans="1:30" ht="24.95" customHeight="1">
      <c r="B46" s="597" t="s">
        <v>200</v>
      </c>
      <c r="C46" s="48" t="s">
        <v>201</v>
      </c>
      <c r="D46" s="49"/>
      <c r="E46" s="49"/>
      <c r="F46" s="49"/>
      <c r="G46" s="49"/>
      <c r="H46" s="49"/>
      <c r="I46" s="49"/>
      <c r="J46" s="49"/>
      <c r="K46" s="49"/>
      <c r="L46" s="49"/>
      <c r="M46" s="49"/>
      <c r="N46" s="49"/>
      <c r="O46" s="49"/>
      <c r="P46" s="49"/>
      <c r="Q46" s="49"/>
      <c r="R46" s="49"/>
      <c r="S46" s="49"/>
      <c r="T46" s="49"/>
      <c r="U46" s="49"/>
      <c r="V46" s="49"/>
      <c r="W46" s="49"/>
      <c r="X46" s="49"/>
      <c r="Y46" s="49"/>
      <c r="Z46" s="49"/>
      <c r="AA46" s="759"/>
      <c r="AC46" s="13" t="s">
        <v>649</v>
      </c>
      <c r="AD46" s="1"/>
    </row>
    <row r="47" spans="1:30" ht="36" customHeight="1">
      <c r="B47" s="980" t="s">
        <v>29</v>
      </c>
      <c r="C47" s="108" t="s">
        <v>113</v>
      </c>
      <c r="D47" s="108" t="s">
        <v>202</v>
      </c>
      <c r="E47" s="108" t="s">
        <v>203</v>
      </c>
      <c r="F47" s="108" t="s">
        <v>116</v>
      </c>
      <c r="G47" s="4" t="s">
        <v>117</v>
      </c>
      <c r="H47" s="4" t="s">
        <v>118</v>
      </c>
      <c r="I47" s="4" t="s">
        <v>119</v>
      </c>
      <c r="J47" s="108" t="s">
        <v>120</v>
      </c>
      <c r="K47" s="4" t="s">
        <v>121</v>
      </c>
      <c r="L47" s="4" t="s">
        <v>122</v>
      </c>
      <c r="M47" s="4" t="s">
        <v>123</v>
      </c>
      <c r="N47" s="4" t="s">
        <v>124</v>
      </c>
      <c r="O47" s="4" t="s">
        <v>125</v>
      </c>
      <c r="P47" s="4" t="s">
        <v>126</v>
      </c>
      <c r="Q47" s="108" t="s">
        <v>127</v>
      </c>
      <c r="R47" s="108" t="s">
        <v>128</v>
      </c>
      <c r="S47" s="4" t="s">
        <v>129</v>
      </c>
      <c r="T47" s="4" t="s">
        <v>130</v>
      </c>
      <c r="U47" s="4" t="s">
        <v>131</v>
      </c>
      <c r="V47" s="108" t="s">
        <v>132</v>
      </c>
      <c r="W47" s="5" t="s">
        <v>133</v>
      </c>
      <c r="X47" s="5" t="s">
        <v>134</v>
      </c>
      <c r="Y47" s="5" t="s">
        <v>135</v>
      </c>
      <c r="Z47" s="5" t="s">
        <v>136</v>
      </c>
      <c r="AA47" s="760" t="s">
        <v>137</v>
      </c>
      <c r="AB47" s="5" t="s">
        <v>138</v>
      </c>
      <c r="AC47" s="140" t="s">
        <v>139</v>
      </c>
      <c r="AD47" s="140" t="s">
        <v>9</v>
      </c>
    </row>
    <row r="48" spans="1:30" ht="24.95" customHeight="1">
      <c r="B48" s="981"/>
      <c r="C48" s="109"/>
      <c r="D48" s="109"/>
      <c r="E48" s="109"/>
      <c r="F48" s="109"/>
      <c r="G48" s="598">
        <v>0</v>
      </c>
      <c r="H48" s="599">
        <v>0</v>
      </c>
      <c r="I48" s="61">
        <f>+I12</f>
        <v>269023</v>
      </c>
      <c r="J48" s="109"/>
      <c r="K48" s="62">
        <v>4.1669999999999999E-2</v>
      </c>
      <c r="L48" s="62">
        <v>8.3330000000000001E-2</v>
      </c>
      <c r="M48" s="62">
        <v>8.3330000000000001E-2</v>
      </c>
      <c r="N48" s="8">
        <v>0.01</v>
      </c>
      <c r="O48" s="8">
        <v>0</v>
      </c>
      <c r="P48" s="8">
        <v>0.12</v>
      </c>
      <c r="Q48" s="109"/>
      <c r="R48" s="109"/>
      <c r="S48" s="8">
        <v>0</v>
      </c>
      <c r="T48" s="8">
        <v>0</v>
      </c>
      <c r="U48" s="8">
        <v>0.04</v>
      </c>
      <c r="V48" s="109"/>
      <c r="W48" s="718">
        <v>0.08</v>
      </c>
      <c r="X48" s="5"/>
      <c r="Y48" s="5"/>
      <c r="Z48" s="5"/>
      <c r="AA48" s="761"/>
      <c r="AB48" s="9">
        <v>0.19</v>
      </c>
      <c r="AC48" s="591"/>
      <c r="AD48" s="591"/>
    </row>
    <row r="49" spans="1:30" s="10" customFormat="1" ht="24.95" customHeight="1" outlineLevel="1">
      <c r="B49" s="54" t="s">
        <v>204</v>
      </c>
      <c r="C49" s="81" t="s">
        <v>205</v>
      </c>
      <c r="D49" s="110">
        <f>1</f>
        <v>1</v>
      </c>
      <c r="E49" s="712">
        <f>E13</f>
        <v>5657216</v>
      </c>
      <c r="F49" s="719">
        <f t="shared" ref="F49:F56" si="29">ROUND(E49*D49,0)</f>
        <v>5657216</v>
      </c>
      <c r="G49" s="712">
        <f t="shared" ref="G49:G56" si="30">IFERROR(ROUND(($F49/(42*30/6)*7)*$G$12*$G$48/$D$61,0),"")</f>
        <v>0</v>
      </c>
      <c r="H49" s="712">
        <f t="shared" ref="H49:H56" si="31">IFERROR(ROUND(($F49/(42*30/6)*7)*$H$12*$H$48/$D$61,0),"")</f>
        <v>0</v>
      </c>
      <c r="I49" s="712">
        <f t="shared" ref="I49:I56" si="32">IF(E49&gt;(1750905*2),0,$I$48*D49)</f>
        <v>0</v>
      </c>
      <c r="J49" s="719">
        <f t="shared" ref="J49:J56" si="33">F49+G49+H49+I49</f>
        <v>5657216</v>
      </c>
      <c r="K49" s="712">
        <f t="shared" ref="K49:K56" si="34">ROUND((J49-I49)*$K$48,0)</f>
        <v>235736</v>
      </c>
      <c r="L49" s="712">
        <f t="shared" ref="L49:L56" si="35">ROUND((J49)*$L$48,0)</f>
        <v>471416</v>
      </c>
      <c r="M49" s="712">
        <f t="shared" ref="M49:M56" si="36">ROUND((J49)*$M$48,0)</f>
        <v>471416</v>
      </c>
      <c r="N49" s="712">
        <f t="shared" ref="N49:N56" si="37">ROUND((J49)*$N$48,0)</f>
        <v>56572</v>
      </c>
      <c r="O49" s="712">
        <f t="shared" ref="O49:O56" si="38">ROUND((J49-I49)*$O$48,0)</f>
        <v>0</v>
      </c>
      <c r="P49" s="712">
        <f t="shared" ref="P49:P56" si="39">ROUND((J49-I49)*$P$48,0)</f>
        <v>678866</v>
      </c>
      <c r="Q49" s="720">
        <v>5.2199999999999998E-3</v>
      </c>
      <c r="R49" s="712">
        <f t="shared" ref="R49:R56" si="40">ROUND((J49-I49)*Q49,0)</f>
        <v>29531</v>
      </c>
      <c r="S49" s="712">
        <f t="shared" ref="S49:S56" si="41">ROUND((J49-I49)*$S$48,0)</f>
        <v>0</v>
      </c>
      <c r="T49" s="712">
        <f t="shared" ref="T49:T56" si="42">ROUND((J49-I49)*$T$48,0)</f>
        <v>0</v>
      </c>
      <c r="U49" s="712">
        <f t="shared" ref="U49:U56" si="43">ROUND((J49-I49)*$U$48,0)</f>
        <v>226289</v>
      </c>
      <c r="V49" s="719">
        <f t="shared" ref="V49:V56" si="44">+J49+K49+L49+M49+N49+O49+P49+R49+S49+T49+U49</f>
        <v>7827042</v>
      </c>
      <c r="W49" s="722">
        <f t="shared" ref="W49:W56" si="45">ROUND(V49*$W$48,0)</f>
        <v>626163</v>
      </c>
      <c r="X49" s="719"/>
      <c r="Y49" s="719">
        <f t="shared" ref="Y49:Y54" si="46">IFERROR(V49+W49,"")</f>
        <v>8453205</v>
      </c>
      <c r="Z49" s="719"/>
      <c r="AA49" s="723">
        <f t="shared" ref="AA49:AA56" si="47">+V49+W49</f>
        <v>8453205</v>
      </c>
      <c r="AB49" s="721">
        <f t="shared" ref="AB49:AB54" si="48">ROUND(AA49*$AB$48,0)</f>
        <v>1606109</v>
      </c>
      <c r="AC49" s="719">
        <f t="shared" ref="AC49:AC56" si="49">+AA49+AB49</f>
        <v>10059314</v>
      </c>
      <c r="AD49" s="762" t="s">
        <v>95</v>
      </c>
    </row>
    <row r="50" spans="1:30" s="10" customFormat="1" ht="24.95" customHeight="1" outlineLevel="1">
      <c r="B50" s="54" t="s">
        <v>206</v>
      </c>
      <c r="C50" s="81" t="s">
        <v>145</v>
      </c>
      <c r="D50" s="110">
        <v>1</v>
      </c>
      <c r="E50" s="712">
        <f>E16</f>
        <v>3729669</v>
      </c>
      <c r="F50" s="719">
        <f t="shared" si="29"/>
        <v>3729669</v>
      </c>
      <c r="G50" s="712">
        <f t="shared" si="30"/>
        <v>0</v>
      </c>
      <c r="H50" s="712">
        <f t="shared" si="31"/>
        <v>0</v>
      </c>
      <c r="I50" s="712">
        <f t="shared" si="32"/>
        <v>0</v>
      </c>
      <c r="J50" s="719">
        <f t="shared" si="33"/>
        <v>3729669</v>
      </c>
      <c r="K50" s="712">
        <f t="shared" si="34"/>
        <v>155415</v>
      </c>
      <c r="L50" s="712">
        <f t="shared" si="35"/>
        <v>310793</v>
      </c>
      <c r="M50" s="712">
        <f t="shared" si="36"/>
        <v>310793</v>
      </c>
      <c r="N50" s="712">
        <f t="shared" si="37"/>
        <v>37297</v>
      </c>
      <c r="O50" s="712">
        <f t="shared" si="38"/>
        <v>0</v>
      </c>
      <c r="P50" s="712">
        <f t="shared" si="39"/>
        <v>447560</v>
      </c>
      <c r="Q50" s="720">
        <v>2.436E-2</v>
      </c>
      <c r="R50" s="712">
        <f t="shared" si="40"/>
        <v>90855</v>
      </c>
      <c r="S50" s="712">
        <f t="shared" si="41"/>
        <v>0</v>
      </c>
      <c r="T50" s="712">
        <f t="shared" si="42"/>
        <v>0</v>
      </c>
      <c r="U50" s="712">
        <f t="shared" si="43"/>
        <v>149187</v>
      </c>
      <c r="V50" s="719">
        <f t="shared" si="44"/>
        <v>5231569</v>
      </c>
      <c r="W50" s="722">
        <f t="shared" si="45"/>
        <v>418526</v>
      </c>
      <c r="X50" s="719"/>
      <c r="Y50" s="719">
        <f t="shared" si="46"/>
        <v>5650095</v>
      </c>
      <c r="Z50" s="719"/>
      <c r="AA50" s="723">
        <f t="shared" si="47"/>
        <v>5650095</v>
      </c>
      <c r="AB50" s="721">
        <f t="shared" si="48"/>
        <v>1073518</v>
      </c>
      <c r="AC50" s="719">
        <f t="shared" si="49"/>
        <v>6723613</v>
      </c>
      <c r="AD50" s="762" t="s">
        <v>95</v>
      </c>
    </row>
    <row r="51" spans="1:30" s="10" customFormat="1" ht="24.95" customHeight="1" outlineLevel="1">
      <c r="B51" s="54" t="s">
        <v>207</v>
      </c>
      <c r="C51" s="82" t="s">
        <v>797</v>
      </c>
      <c r="D51" s="496">
        <v>1</v>
      </c>
      <c r="E51" s="763">
        <f>E16</f>
        <v>3729669</v>
      </c>
      <c r="F51" s="719">
        <f t="shared" si="29"/>
        <v>3729669</v>
      </c>
      <c r="G51" s="712">
        <f t="shared" si="30"/>
        <v>0</v>
      </c>
      <c r="H51" s="712">
        <f t="shared" si="31"/>
        <v>0</v>
      </c>
      <c r="I51" s="712">
        <f t="shared" si="32"/>
        <v>0</v>
      </c>
      <c r="J51" s="719">
        <f t="shared" si="33"/>
        <v>3729669</v>
      </c>
      <c r="K51" s="712">
        <f t="shared" si="34"/>
        <v>155415</v>
      </c>
      <c r="L51" s="712">
        <f t="shared" si="35"/>
        <v>310793</v>
      </c>
      <c r="M51" s="712">
        <f t="shared" si="36"/>
        <v>310793</v>
      </c>
      <c r="N51" s="712">
        <f t="shared" si="37"/>
        <v>37297</v>
      </c>
      <c r="O51" s="712">
        <f t="shared" si="38"/>
        <v>0</v>
      </c>
      <c r="P51" s="712">
        <f t="shared" si="39"/>
        <v>447560</v>
      </c>
      <c r="Q51" s="720">
        <v>6.9599999999999995E-2</v>
      </c>
      <c r="R51" s="712">
        <f t="shared" si="40"/>
        <v>259585</v>
      </c>
      <c r="S51" s="712">
        <f t="shared" si="41"/>
        <v>0</v>
      </c>
      <c r="T51" s="712">
        <f t="shared" si="42"/>
        <v>0</v>
      </c>
      <c r="U51" s="712">
        <f t="shared" si="43"/>
        <v>149187</v>
      </c>
      <c r="V51" s="719">
        <f t="shared" si="44"/>
        <v>5400299</v>
      </c>
      <c r="W51" s="722">
        <f t="shared" si="45"/>
        <v>432024</v>
      </c>
      <c r="X51" s="719"/>
      <c r="Y51" s="719">
        <f t="shared" si="46"/>
        <v>5832323</v>
      </c>
      <c r="Z51" s="719"/>
      <c r="AA51" s="723">
        <f t="shared" si="47"/>
        <v>5832323</v>
      </c>
      <c r="AB51" s="721">
        <f t="shared" si="48"/>
        <v>1108141</v>
      </c>
      <c r="AC51" s="719">
        <f t="shared" si="49"/>
        <v>6940464</v>
      </c>
      <c r="AD51" s="762" t="s">
        <v>95</v>
      </c>
    </row>
    <row r="52" spans="1:30" s="10" customFormat="1" ht="24.95" customHeight="1" outlineLevel="1">
      <c r="B52" s="54" t="s">
        <v>209</v>
      </c>
      <c r="C52" s="82" t="s">
        <v>798</v>
      </c>
      <c r="D52" s="496">
        <v>1</v>
      </c>
      <c r="E52" s="763">
        <f>E51</f>
        <v>3729669</v>
      </c>
      <c r="F52" s="719">
        <f t="shared" si="29"/>
        <v>3729669</v>
      </c>
      <c r="G52" s="712">
        <f t="shared" si="30"/>
        <v>0</v>
      </c>
      <c r="H52" s="712">
        <f t="shared" si="31"/>
        <v>0</v>
      </c>
      <c r="I52" s="712">
        <f t="shared" si="32"/>
        <v>0</v>
      </c>
      <c r="J52" s="719">
        <f t="shared" si="33"/>
        <v>3729669</v>
      </c>
      <c r="K52" s="712">
        <f t="shared" si="34"/>
        <v>155415</v>
      </c>
      <c r="L52" s="712">
        <f t="shared" si="35"/>
        <v>310793</v>
      </c>
      <c r="M52" s="712">
        <f t="shared" si="36"/>
        <v>310793</v>
      </c>
      <c r="N52" s="712">
        <f t="shared" si="37"/>
        <v>37297</v>
      </c>
      <c r="O52" s="712">
        <f t="shared" si="38"/>
        <v>0</v>
      </c>
      <c r="P52" s="712">
        <f t="shared" si="39"/>
        <v>447560</v>
      </c>
      <c r="Q52" s="720">
        <v>6.9599999999999995E-2</v>
      </c>
      <c r="R52" s="712">
        <f t="shared" si="40"/>
        <v>259585</v>
      </c>
      <c r="S52" s="712">
        <f t="shared" si="41"/>
        <v>0</v>
      </c>
      <c r="T52" s="712">
        <f t="shared" si="42"/>
        <v>0</v>
      </c>
      <c r="U52" s="712">
        <f t="shared" si="43"/>
        <v>149187</v>
      </c>
      <c r="V52" s="719">
        <f t="shared" si="44"/>
        <v>5400299</v>
      </c>
      <c r="W52" s="722">
        <f t="shared" si="45"/>
        <v>432024</v>
      </c>
      <c r="X52" s="719"/>
      <c r="Y52" s="719">
        <f t="shared" si="46"/>
        <v>5832323</v>
      </c>
      <c r="Z52" s="719"/>
      <c r="AA52" s="723">
        <f t="shared" si="47"/>
        <v>5832323</v>
      </c>
      <c r="AB52" s="721">
        <f t="shared" si="48"/>
        <v>1108141</v>
      </c>
      <c r="AC52" s="719">
        <f t="shared" si="49"/>
        <v>6940464</v>
      </c>
      <c r="AD52" s="762" t="s">
        <v>95</v>
      </c>
    </row>
    <row r="53" spans="1:30" s="10" customFormat="1" ht="24.95" customHeight="1" outlineLevel="1">
      <c r="B53" s="54" t="s">
        <v>210</v>
      </c>
      <c r="C53" s="81" t="s">
        <v>165</v>
      </c>
      <c r="D53" s="110">
        <v>2</v>
      </c>
      <c r="E53" s="712">
        <f>E26</f>
        <v>2397149</v>
      </c>
      <c r="F53" s="719">
        <f t="shared" si="29"/>
        <v>4794298</v>
      </c>
      <c r="G53" s="712">
        <f t="shared" si="30"/>
        <v>0</v>
      </c>
      <c r="H53" s="712">
        <f t="shared" si="31"/>
        <v>0</v>
      </c>
      <c r="I53" s="712">
        <f t="shared" si="32"/>
        <v>538046</v>
      </c>
      <c r="J53" s="719">
        <f t="shared" si="33"/>
        <v>5332344</v>
      </c>
      <c r="K53" s="712">
        <f t="shared" si="34"/>
        <v>199778</v>
      </c>
      <c r="L53" s="712">
        <f t="shared" si="35"/>
        <v>444344</v>
      </c>
      <c r="M53" s="712">
        <f t="shared" si="36"/>
        <v>444344</v>
      </c>
      <c r="N53" s="712">
        <f t="shared" si="37"/>
        <v>53323</v>
      </c>
      <c r="O53" s="712">
        <f t="shared" si="38"/>
        <v>0</v>
      </c>
      <c r="P53" s="712">
        <f t="shared" si="39"/>
        <v>575316</v>
      </c>
      <c r="Q53" s="720">
        <v>6.9599999999999995E-2</v>
      </c>
      <c r="R53" s="712">
        <f t="shared" si="40"/>
        <v>333683</v>
      </c>
      <c r="S53" s="712">
        <f t="shared" si="41"/>
        <v>0</v>
      </c>
      <c r="T53" s="712">
        <f t="shared" si="42"/>
        <v>0</v>
      </c>
      <c r="U53" s="712">
        <f t="shared" si="43"/>
        <v>191772</v>
      </c>
      <c r="V53" s="719">
        <f t="shared" si="44"/>
        <v>7574904</v>
      </c>
      <c r="W53" s="722">
        <f t="shared" si="45"/>
        <v>605992</v>
      </c>
      <c r="X53" s="719"/>
      <c r="Y53" s="719">
        <f t="shared" si="46"/>
        <v>8180896</v>
      </c>
      <c r="Z53" s="719"/>
      <c r="AA53" s="723">
        <f t="shared" si="47"/>
        <v>8180896</v>
      </c>
      <c r="AB53" s="721">
        <f t="shared" si="48"/>
        <v>1554370</v>
      </c>
      <c r="AC53" s="719">
        <f t="shared" si="49"/>
        <v>9735266</v>
      </c>
      <c r="AD53" s="762" t="s">
        <v>95</v>
      </c>
    </row>
    <row r="54" spans="1:30" s="10" customFormat="1" ht="24.95" customHeight="1" outlineLevel="1">
      <c r="B54" s="54" t="s">
        <v>211</v>
      </c>
      <c r="C54" s="81" t="s">
        <v>163</v>
      </c>
      <c r="D54" s="110">
        <v>1</v>
      </c>
      <c r="E54" s="712">
        <f>E25</f>
        <v>2397149</v>
      </c>
      <c r="F54" s="719">
        <f t="shared" si="29"/>
        <v>2397149</v>
      </c>
      <c r="G54" s="712">
        <f t="shared" si="30"/>
        <v>0</v>
      </c>
      <c r="H54" s="712">
        <f t="shared" si="31"/>
        <v>0</v>
      </c>
      <c r="I54" s="712">
        <f t="shared" si="32"/>
        <v>269023</v>
      </c>
      <c r="J54" s="719">
        <f t="shared" si="33"/>
        <v>2666172</v>
      </c>
      <c r="K54" s="712">
        <f t="shared" si="34"/>
        <v>99889</v>
      </c>
      <c r="L54" s="712">
        <f t="shared" si="35"/>
        <v>222172</v>
      </c>
      <c r="M54" s="712">
        <f t="shared" si="36"/>
        <v>222172</v>
      </c>
      <c r="N54" s="712">
        <f t="shared" si="37"/>
        <v>26662</v>
      </c>
      <c r="O54" s="712">
        <f t="shared" si="38"/>
        <v>0</v>
      </c>
      <c r="P54" s="712">
        <f t="shared" si="39"/>
        <v>287658</v>
      </c>
      <c r="Q54" s="720">
        <v>6.9599999999999995E-2</v>
      </c>
      <c r="R54" s="712">
        <f t="shared" si="40"/>
        <v>166842</v>
      </c>
      <c r="S54" s="712">
        <f t="shared" si="41"/>
        <v>0</v>
      </c>
      <c r="T54" s="712">
        <f t="shared" si="42"/>
        <v>0</v>
      </c>
      <c r="U54" s="712">
        <f t="shared" si="43"/>
        <v>95886</v>
      </c>
      <c r="V54" s="719">
        <f t="shared" si="44"/>
        <v>3787453</v>
      </c>
      <c r="W54" s="722">
        <f t="shared" si="45"/>
        <v>302996</v>
      </c>
      <c r="X54" s="719"/>
      <c r="Y54" s="719">
        <f t="shared" si="46"/>
        <v>4090449</v>
      </c>
      <c r="Z54" s="719"/>
      <c r="AA54" s="723">
        <f t="shared" si="47"/>
        <v>4090449</v>
      </c>
      <c r="AB54" s="721">
        <f t="shared" si="48"/>
        <v>777185</v>
      </c>
      <c r="AC54" s="719">
        <f t="shared" si="49"/>
        <v>4867634</v>
      </c>
      <c r="AD54" s="762" t="s">
        <v>95</v>
      </c>
    </row>
    <row r="55" spans="1:30" s="730" customFormat="1" ht="24.95" customHeight="1" outlineLevel="1">
      <c r="B55" s="54" t="s">
        <v>212</v>
      </c>
      <c r="C55" s="731" t="s">
        <v>178</v>
      </c>
      <c r="D55" s="764">
        <v>19</v>
      </c>
      <c r="E55" s="712">
        <f>E32</f>
        <v>2070621</v>
      </c>
      <c r="F55" s="732">
        <f t="shared" si="29"/>
        <v>39341799</v>
      </c>
      <c r="G55" s="733">
        <f t="shared" si="30"/>
        <v>0</v>
      </c>
      <c r="H55" s="733">
        <f t="shared" si="31"/>
        <v>0</v>
      </c>
      <c r="I55" s="733">
        <f t="shared" si="32"/>
        <v>5111437</v>
      </c>
      <c r="J55" s="732">
        <f t="shared" si="33"/>
        <v>44453236</v>
      </c>
      <c r="K55" s="733">
        <f t="shared" si="34"/>
        <v>1639373</v>
      </c>
      <c r="L55" s="733">
        <f t="shared" si="35"/>
        <v>3704288</v>
      </c>
      <c r="M55" s="733">
        <f t="shared" si="36"/>
        <v>3704288</v>
      </c>
      <c r="N55" s="733">
        <f t="shared" si="37"/>
        <v>444532</v>
      </c>
      <c r="O55" s="733">
        <f t="shared" si="38"/>
        <v>0</v>
      </c>
      <c r="P55" s="733">
        <f t="shared" si="39"/>
        <v>4721016</v>
      </c>
      <c r="Q55" s="734">
        <v>1.044E-2</v>
      </c>
      <c r="R55" s="733">
        <f t="shared" si="40"/>
        <v>410728</v>
      </c>
      <c r="S55" s="733">
        <f t="shared" si="41"/>
        <v>0</v>
      </c>
      <c r="T55" s="733">
        <f t="shared" si="42"/>
        <v>0</v>
      </c>
      <c r="U55" s="733">
        <f t="shared" si="43"/>
        <v>1573672</v>
      </c>
      <c r="V55" s="732">
        <f t="shared" si="44"/>
        <v>60651133</v>
      </c>
      <c r="W55" s="735">
        <f t="shared" si="45"/>
        <v>4852091</v>
      </c>
      <c r="X55" s="732">
        <f>IFERROR(ROUND(V55*10%,0),"")</f>
        <v>6065113</v>
      </c>
      <c r="Y55" s="732"/>
      <c r="Z55" s="732">
        <f>IFERROR(V55-X55+W55,"")</f>
        <v>59438111</v>
      </c>
      <c r="AA55" s="723">
        <f t="shared" si="47"/>
        <v>65503224</v>
      </c>
      <c r="AB55" s="736">
        <f>ROUND(X55*$AB$48,0)</f>
        <v>1152371</v>
      </c>
      <c r="AC55" s="732">
        <f t="shared" si="49"/>
        <v>66655595</v>
      </c>
      <c r="AD55" s="765" t="s">
        <v>95</v>
      </c>
    </row>
    <row r="56" spans="1:30" s="730" customFormat="1" ht="24.95" customHeight="1" outlineLevel="1">
      <c r="B56" s="54" t="s">
        <v>213</v>
      </c>
      <c r="C56" s="731" t="s">
        <v>180</v>
      </c>
      <c r="D56" s="110">
        <v>1</v>
      </c>
      <c r="E56" s="712">
        <f>E33</f>
        <v>2397149</v>
      </c>
      <c r="F56" s="732">
        <f t="shared" si="29"/>
        <v>2397149</v>
      </c>
      <c r="G56" s="733">
        <f t="shared" si="30"/>
        <v>0</v>
      </c>
      <c r="H56" s="733">
        <f t="shared" si="31"/>
        <v>0</v>
      </c>
      <c r="I56" s="733">
        <f t="shared" si="32"/>
        <v>269023</v>
      </c>
      <c r="J56" s="732">
        <f t="shared" si="33"/>
        <v>2666172</v>
      </c>
      <c r="K56" s="733">
        <f t="shared" si="34"/>
        <v>99889</v>
      </c>
      <c r="L56" s="733">
        <f t="shared" si="35"/>
        <v>222172</v>
      </c>
      <c r="M56" s="733">
        <f t="shared" si="36"/>
        <v>222172</v>
      </c>
      <c r="N56" s="733">
        <f t="shared" si="37"/>
        <v>26662</v>
      </c>
      <c r="O56" s="733">
        <f t="shared" si="38"/>
        <v>0</v>
      </c>
      <c r="P56" s="733">
        <f t="shared" si="39"/>
        <v>287658</v>
      </c>
      <c r="Q56" s="734">
        <v>2.436E-2</v>
      </c>
      <c r="R56" s="733">
        <f t="shared" si="40"/>
        <v>58395</v>
      </c>
      <c r="S56" s="733">
        <f t="shared" si="41"/>
        <v>0</v>
      </c>
      <c r="T56" s="733">
        <f t="shared" si="42"/>
        <v>0</v>
      </c>
      <c r="U56" s="733">
        <f t="shared" si="43"/>
        <v>95886</v>
      </c>
      <c r="V56" s="732">
        <f t="shared" si="44"/>
        <v>3679006</v>
      </c>
      <c r="W56" s="735">
        <f t="shared" si="45"/>
        <v>294320</v>
      </c>
      <c r="X56" s="732">
        <f>IFERROR(ROUND(V56*10%,0),"")</f>
        <v>367901</v>
      </c>
      <c r="Y56" s="732"/>
      <c r="Z56" s="732">
        <f>IFERROR(V56-X56+W56,"")</f>
        <v>3605425</v>
      </c>
      <c r="AA56" s="723">
        <f t="shared" si="47"/>
        <v>3973326</v>
      </c>
      <c r="AB56" s="736">
        <f>ROUND(X56*$AB$48,0)</f>
        <v>69901</v>
      </c>
      <c r="AC56" s="732">
        <f t="shared" si="49"/>
        <v>4043227</v>
      </c>
      <c r="AD56" s="765" t="s">
        <v>95</v>
      </c>
    </row>
    <row r="57" spans="1:30" s="10" customFormat="1" ht="24.95" customHeight="1" outlineLevel="1">
      <c r="B57" s="592" t="s">
        <v>191</v>
      </c>
      <c r="C57" s="593"/>
      <c r="D57" s="848"/>
      <c r="E57" s="766"/>
      <c r="F57" s="767"/>
      <c r="G57" s="767"/>
      <c r="H57" s="767"/>
      <c r="I57" s="767"/>
      <c r="J57" s="767"/>
      <c r="K57" s="767"/>
      <c r="L57" s="767"/>
      <c r="M57" s="767"/>
      <c r="N57" s="767"/>
      <c r="O57" s="767"/>
      <c r="P57" s="767"/>
      <c r="Q57" s="767"/>
      <c r="R57" s="767"/>
      <c r="S57" s="767"/>
      <c r="T57" s="767"/>
      <c r="U57" s="767"/>
      <c r="V57" s="767"/>
      <c r="W57" s="767"/>
      <c r="X57" s="767"/>
      <c r="Y57" s="767"/>
      <c r="Z57" s="767"/>
      <c r="AA57" s="768"/>
      <c r="AB57" s="767"/>
      <c r="AC57" s="767"/>
      <c r="AD57" s="769"/>
    </row>
    <row r="58" spans="1:30" s="64" customFormat="1" ht="24.95" customHeight="1" outlineLevel="1">
      <c r="B58" s="54" t="s">
        <v>213</v>
      </c>
      <c r="C58" s="81" t="s">
        <v>195</v>
      </c>
      <c r="D58" s="849">
        <v>1</v>
      </c>
      <c r="E58" s="712">
        <f>E55</f>
        <v>2070621</v>
      </c>
      <c r="F58" s="719">
        <f>E58*D58</f>
        <v>2070621</v>
      </c>
      <c r="G58" s="712">
        <f>IFERROR(ROUND(($F58/(42*30/6)*7)*$G$12*$G$48/$D$61,0),"")</f>
        <v>0</v>
      </c>
      <c r="H58" s="712">
        <f>IFERROR(ROUND(($F58/(42*30/6)*7)*$H$12*$H$48/$D$61,0),"")</f>
        <v>0</v>
      </c>
      <c r="I58" s="712">
        <f>IF(E58&gt;(1750905*2),0,$I$48*D58)</f>
        <v>269023</v>
      </c>
      <c r="J58" s="719">
        <f>IFERROR(SUM(F58:I58),"")</f>
        <v>2339644</v>
      </c>
      <c r="K58" s="712">
        <f>IFERROR(ROUND((J58-I58)*$K$48,0),"")</f>
        <v>86283</v>
      </c>
      <c r="L58" s="712">
        <f>IFERROR(ROUND((J58)*$L$48,0),"")</f>
        <v>194963</v>
      </c>
      <c r="M58" s="712">
        <f>IFERROR(ROUND((J58)*$M$48,0),"")</f>
        <v>194963</v>
      </c>
      <c r="N58" s="712">
        <f>IFERROR(ROUND((J58)*$N$48,0),"")</f>
        <v>23396</v>
      </c>
      <c r="O58" s="712">
        <f>IFERROR(ROUND((J58-I58)*$O$48,0),"")</f>
        <v>0</v>
      </c>
      <c r="P58" s="712">
        <f>IFERROR(ROUND((J58-I58)*$P$48,0),"")</f>
        <v>248475</v>
      </c>
      <c r="Q58" s="724">
        <v>1.044E-2</v>
      </c>
      <c r="R58" s="712">
        <f>ROUND((J58-I58)*Q58,0)</f>
        <v>21617</v>
      </c>
      <c r="S58" s="712">
        <f>IFERROR(ROUND((J58-I58)*$S$48,0),"")</f>
        <v>0</v>
      </c>
      <c r="T58" s="712">
        <f>IFERROR(ROUND((J58-I58)*$T$48,0),"")</f>
        <v>0</v>
      </c>
      <c r="U58" s="712">
        <f>ROUND((J58-I58)*$U$48,0)</f>
        <v>82825</v>
      </c>
      <c r="V58" s="719">
        <f>IFERROR(+J58+K58+L58+M58+N58+O58+P58+R58+S58+T58+U58,"")</f>
        <v>3192166</v>
      </c>
      <c r="W58" s="722">
        <f>IFERROR(ROUND(V58*$W$48,0),"")</f>
        <v>255373</v>
      </c>
      <c r="X58" s="719">
        <f>IFERROR(ROUND(V58*10%,0),"")</f>
        <v>319217</v>
      </c>
      <c r="Y58" s="719"/>
      <c r="Z58" s="719">
        <f>IFERROR(V58-X58+W58,"")</f>
        <v>3128322</v>
      </c>
      <c r="AA58" s="723">
        <f>IFERROR(V58+W58,"")</f>
        <v>3447539</v>
      </c>
      <c r="AB58" s="725">
        <f>IFERROR(ROUND(X58*$AB$48,0),"")</f>
        <v>60651</v>
      </c>
      <c r="AC58" s="719">
        <f>IFERROR(+AA58+AB58,"")</f>
        <v>3508190</v>
      </c>
      <c r="AD58" s="770" t="s">
        <v>13</v>
      </c>
    </row>
    <row r="59" spans="1:30" s="10" customFormat="1" ht="24.95" customHeight="1" outlineLevel="1">
      <c r="B59" s="594" t="s">
        <v>214</v>
      </c>
      <c r="C59" s="82" t="s">
        <v>197</v>
      </c>
      <c r="D59" s="850">
        <v>2</v>
      </c>
      <c r="E59" s="721">
        <f>E53</f>
        <v>2397149</v>
      </c>
      <c r="F59" s="727">
        <f>E59*D59</f>
        <v>4794298</v>
      </c>
      <c r="G59" s="721">
        <f>IFERROR(ROUND(($F59/(42*30/6)*7)*$G$12*$G$48/$D$61,0),"")</f>
        <v>0</v>
      </c>
      <c r="H59" s="721">
        <f>IFERROR(ROUND(($F59/(42*30/6)*7)*$H$12*$H$48/$D$61,0),"")</f>
        <v>0</v>
      </c>
      <c r="I59" s="721">
        <f>IF(E59&gt;(1750905*2),0,$I$48*D59)</f>
        <v>538046</v>
      </c>
      <c r="J59" s="727">
        <f>IFERROR(SUM(F59:I59),"")</f>
        <v>5332344</v>
      </c>
      <c r="K59" s="721">
        <f>IFERROR(ROUND((J59-I59)*$K$48,0),"")</f>
        <v>199778</v>
      </c>
      <c r="L59" s="721">
        <f>IFERROR(ROUND((J59)*$L$48,0),"")</f>
        <v>444344</v>
      </c>
      <c r="M59" s="721">
        <f>IFERROR(ROUND((J59)*$M$48,0),"")</f>
        <v>444344</v>
      </c>
      <c r="N59" s="721">
        <f>IFERROR(ROUND((J59)*$N$48,0),"")</f>
        <v>53323</v>
      </c>
      <c r="O59" s="721">
        <f>IFERROR(ROUND((J59-I59)*$O$48,0),"")</f>
        <v>0</v>
      </c>
      <c r="P59" s="721">
        <f>IFERROR(ROUND((J59-I59)*$P$48,0),"")</f>
        <v>575316</v>
      </c>
      <c r="Q59" s="720">
        <v>1.044E-2</v>
      </c>
      <c r="R59" s="721">
        <f>ROUND((J59-I59)*Q59,0)</f>
        <v>50052</v>
      </c>
      <c r="S59" s="721">
        <f>IFERROR(ROUND((J59-I59)*$S$48,0),"")</f>
        <v>0</v>
      </c>
      <c r="T59" s="721">
        <f>IFERROR(ROUND((J59-I59)*$T$48,0),"")</f>
        <v>0</v>
      </c>
      <c r="U59" s="721">
        <f>ROUND((J59-I59)*$U$48,0)</f>
        <v>191772</v>
      </c>
      <c r="V59" s="727">
        <f>IFERROR(+J59+K59+L59+M59+N59+O59+P59+R59+S59+T59+U59,"")</f>
        <v>7291273</v>
      </c>
      <c r="W59" s="722">
        <f>IFERROR(ROUND(V59*$W$48,0),"")</f>
        <v>583302</v>
      </c>
      <c r="X59" s="727"/>
      <c r="Y59" s="719">
        <f>IFERROR(V59+W59,"")</f>
        <v>7874575</v>
      </c>
      <c r="Z59" s="727"/>
      <c r="AA59" s="737">
        <f>IFERROR(V59+W59,"")</f>
        <v>7874575</v>
      </c>
      <c r="AB59" s="738">
        <f>IFERROR(ROUND((V59*10%)*$AB$48,0),"")</f>
        <v>138534</v>
      </c>
      <c r="AC59" s="727">
        <f>IFERROR(+AA59+AB59,"")</f>
        <v>8013109</v>
      </c>
      <c r="AD59" s="762" t="s">
        <v>13</v>
      </c>
    </row>
    <row r="60" spans="1:30" s="10" customFormat="1" ht="43.5" customHeight="1">
      <c r="B60" s="83" t="s">
        <v>200</v>
      </c>
      <c r="C60" s="771" t="s">
        <v>215</v>
      </c>
      <c r="D60" s="739">
        <f t="shared" ref="D60:P60" si="50">SUM(D49:D59)</f>
        <v>30</v>
      </c>
      <c r="E60" s="740">
        <f t="shared" si="50"/>
        <v>30576061</v>
      </c>
      <c r="F60" s="741">
        <f t="shared" si="50"/>
        <v>72641537</v>
      </c>
      <c r="G60" s="741">
        <f t="shared" si="50"/>
        <v>0</v>
      </c>
      <c r="H60" s="741">
        <f t="shared" si="50"/>
        <v>0</v>
      </c>
      <c r="I60" s="741">
        <f t="shared" si="50"/>
        <v>6994598</v>
      </c>
      <c r="J60" s="741">
        <f>SUM(J49:J59)</f>
        <v>79636135</v>
      </c>
      <c r="K60" s="741">
        <f t="shared" si="50"/>
        <v>3026971</v>
      </c>
      <c r="L60" s="741">
        <f t="shared" si="50"/>
        <v>6636078</v>
      </c>
      <c r="M60" s="741">
        <f t="shared" si="50"/>
        <v>6636078</v>
      </c>
      <c r="N60" s="741">
        <f t="shared" si="50"/>
        <v>796361</v>
      </c>
      <c r="O60" s="741">
        <f t="shared" si="50"/>
        <v>0</v>
      </c>
      <c r="P60" s="741">
        <f t="shared" si="50"/>
        <v>8716985</v>
      </c>
      <c r="Q60" s="741"/>
      <c r="R60" s="741">
        <f t="shared" ref="R60:AC60" si="51">SUM(R49:R59)</f>
        <v>1680873</v>
      </c>
      <c r="S60" s="741">
        <f t="shared" si="51"/>
        <v>0</v>
      </c>
      <c r="T60" s="741">
        <f t="shared" si="51"/>
        <v>0</v>
      </c>
      <c r="U60" s="741">
        <f t="shared" si="51"/>
        <v>2905663</v>
      </c>
      <c r="V60" s="741">
        <f t="shared" si="51"/>
        <v>110035144</v>
      </c>
      <c r="W60" s="741">
        <f t="shared" si="51"/>
        <v>8802811</v>
      </c>
      <c r="X60" s="741">
        <f t="shared" si="51"/>
        <v>6752231</v>
      </c>
      <c r="Y60" s="741">
        <f t="shared" si="51"/>
        <v>45913866</v>
      </c>
      <c r="Z60" s="741">
        <f t="shared" si="51"/>
        <v>66171858</v>
      </c>
      <c r="AA60" s="743">
        <f t="shared" si="51"/>
        <v>118837955</v>
      </c>
      <c r="AB60" s="741">
        <f t="shared" si="51"/>
        <v>8648921</v>
      </c>
      <c r="AC60" s="741">
        <f t="shared" si="51"/>
        <v>127486876</v>
      </c>
      <c r="AD60" s="772" t="s">
        <v>95</v>
      </c>
    </row>
    <row r="61" spans="1:30" s="10" customFormat="1" ht="48.75" customHeight="1">
      <c r="B61" s="85" t="s">
        <v>200</v>
      </c>
      <c r="C61" s="773" t="s">
        <v>216</v>
      </c>
      <c r="D61" s="748">
        <v>6</v>
      </c>
      <c r="E61" s="749">
        <f>+E60*$D$61</f>
        <v>183456366</v>
      </c>
      <c r="F61" s="750">
        <f t="shared" ref="F61:P61" si="52">ROUND(+F60*$D$61,0)</f>
        <v>435849222</v>
      </c>
      <c r="G61" s="750">
        <f t="shared" si="52"/>
        <v>0</v>
      </c>
      <c r="H61" s="750">
        <f t="shared" si="52"/>
        <v>0</v>
      </c>
      <c r="I61" s="750">
        <f t="shared" si="52"/>
        <v>41967588</v>
      </c>
      <c r="J61" s="750">
        <f t="shared" si="52"/>
        <v>477816810</v>
      </c>
      <c r="K61" s="750">
        <f t="shared" si="52"/>
        <v>18161826</v>
      </c>
      <c r="L61" s="750">
        <f t="shared" si="52"/>
        <v>39816468</v>
      </c>
      <c r="M61" s="750">
        <f t="shared" si="52"/>
        <v>39816468</v>
      </c>
      <c r="N61" s="750">
        <f t="shared" si="52"/>
        <v>4778166</v>
      </c>
      <c r="O61" s="750">
        <f t="shared" si="52"/>
        <v>0</v>
      </c>
      <c r="P61" s="750">
        <f t="shared" si="52"/>
        <v>52301910</v>
      </c>
      <c r="Q61" s="750"/>
      <c r="R61" s="750">
        <f t="shared" ref="R61:AC61" si="53">ROUND(+R60*$D$61,0)</f>
        <v>10085238</v>
      </c>
      <c r="S61" s="750">
        <f t="shared" si="53"/>
        <v>0</v>
      </c>
      <c r="T61" s="750">
        <f t="shared" si="53"/>
        <v>0</v>
      </c>
      <c r="U61" s="750">
        <f t="shared" si="53"/>
        <v>17433978</v>
      </c>
      <c r="V61" s="774">
        <f t="shared" si="53"/>
        <v>660210864</v>
      </c>
      <c r="W61" s="750">
        <f t="shared" si="53"/>
        <v>52816866</v>
      </c>
      <c r="X61" s="750">
        <f t="shared" si="53"/>
        <v>40513386</v>
      </c>
      <c r="Y61" s="750">
        <f t="shared" si="53"/>
        <v>275483196</v>
      </c>
      <c r="Z61" s="750">
        <f t="shared" si="53"/>
        <v>397031148</v>
      </c>
      <c r="AA61" s="752">
        <f t="shared" si="53"/>
        <v>713027730</v>
      </c>
      <c r="AB61" s="750">
        <f t="shared" si="53"/>
        <v>51893526</v>
      </c>
      <c r="AC61" s="750">
        <f t="shared" si="53"/>
        <v>764921256</v>
      </c>
      <c r="AD61" s="775" t="s">
        <v>95</v>
      </c>
    </row>
    <row r="62" spans="1:30" s="10" customFormat="1" ht="21" customHeight="1">
      <c r="A62" s="64"/>
      <c r="B62" s="64"/>
      <c r="C62" s="64"/>
      <c r="D62" s="64"/>
      <c r="E62" s="776"/>
      <c r="F62" s="777"/>
      <c r="G62" s="777"/>
      <c r="H62" s="778"/>
      <c r="I62" s="777"/>
      <c r="J62" s="779"/>
      <c r="K62" s="779"/>
      <c r="L62" s="779"/>
      <c r="M62" s="776"/>
      <c r="N62" s="776"/>
      <c r="O62" s="776"/>
      <c r="P62" s="780"/>
      <c r="Q62" s="780"/>
      <c r="R62" s="776"/>
      <c r="S62" s="776"/>
      <c r="T62" s="776"/>
      <c r="U62" s="776"/>
      <c r="V62" s="776"/>
      <c r="W62" s="777"/>
      <c r="X62" s="776"/>
      <c r="Y62" s="777"/>
      <c r="Z62" s="777"/>
      <c r="AA62" s="781" t="s">
        <v>649</v>
      </c>
      <c r="AB62" s="782"/>
      <c r="AC62" s="782"/>
    </row>
    <row r="63" spans="1:30" s="10" customFormat="1" ht="96" customHeight="1">
      <c r="A63" s="64"/>
      <c r="B63" s="622">
        <v>1</v>
      </c>
      <c r="C63" s="248" t="s">
        <v>217</v>
      </c>
      <c r="D63" s="23">
        <f>+D60+D42</f>
        <v>131</v>
      </c>
      <c r="E63" s="783">
        <f t="shared" ref="E63:P63" si="54">+E61+E44</f>
        <v>712766722.55999994</v>
      </c>
      <c r="F63" s="784">
        <f t="shared" si="54"/>
        <v>2065687450.5599999</v>
      </c>
      <c r="G63" s="784">
        <f t="shared" si="54"/>
        <v>211878966</v>
      </c>
      <c r="H63" s="784">
        <f t="shared" si="54"/>
        <v>154834650</v>
      </c>
      <c r="I63" s="784">
        <f t="shared" si="54"/>
        <v>192082422</v>
      </c>
      <c r="J63" s="784">
        <f t="shared" si="54"/>
        <v>2624483488.5599999</v>
      </c>
      <c r="K63" s="784">
        <f t="shared" si="54"/>
        <v>101358126</v>
      </c>
      <c r="L63" s="784">
        <f t="shared" si="54"/>
        <v>218698200</v>
      </c>
      <c r="M63" s="784">
        <f t="shared" si="54"/>
        <v>218698200</v>
      </c>
      <c r="N63" s="784">
        <f t="shared" si="54"/>
        <v>26244828</v>
      </c>
      <c r="O63" s="784">
        <f t="shared" si="54"/>
        <v>0</v>
      </c>
      <c r="P63" s="784">
        <f t="shared" si="54"/>
        <v>291888132</v>
      </c>
      <c r="Q63" s="784"/>
      <c r="R63" s="784">
        <f t="shared" ref="R63:AC63" si="55">+R61+R44</f>
        <v>83294922</v>
      </c>
      <c r="S63" s="784">
        <f t="shared" si="55"/>
        <v>0</v>
      </c>
      <c r="T63" s="784">
        <f t="shared" si="55"/>
        <v>0</v>
      </c>
      <c r="U63" s="784">
        <f t="shared" si="55"/>
        <v>97296042</v>
      </c>
      <c r="V63" s="785">
        <f t="shared" si="55"/>
        <v>3661961938.5599999</v>
      </c>
      <c r="W63" s="784">
        <f t="shared" si="55"/>
        <v>292956954</v>
      </c>
      <c r="X63" s="784">
        <f t="shared" si="55"/>
        <v>160006896</v>
      </c>
      <c r="Y63" s="784">
        <f t="shared" si="55"/>
        <v>2226844426.5599999</v>
      </c>
      <c r="Z63" s="784">
        <f t="shared" si="55"/>
        <v>1568067570</v>
      </c>
      <c r="AA63" s="786">
        <f t="shared" si="55"/>
        <v>3954918892.5599999</v>
      </c>
      <c r="AB63" s="787">
        <f t="shared" si="55"/>
        <v>445355910</v>
      </c>
      <c r="AC63" s="787">
        <f t="shared" si="55"/>
        <v>4400274802.5599995</v>
      </c>
      <c r="AD63" s="60" t="s">
        <v>95</v>
      </c>
    </row>
    <row r="64" spans="1:30" s="10" customFormat="1" ht="10.5" customHeight="1">
      <c r="A64" s="64"/>
      <c r="B64" s="64"/>
      <c r="C64" s="64"/>
      <c r="D64" s="64"/>
      <c r="E64" s="776"/>
      <c r="F64" s="777"/>
      <c r="G64" s="777"/>
      <c r="H64" s="778"/>
      <c r="I64" s="777"/>
      <c r="J64" s="779"/>
      <c r="K64" s="779"/>
      <c r="L64" s="779"/>
      <c r="M64" s="776"/>
      <c r="N64" s="776"/>
      <c r="O64" s="776"/>
      <c r="P64" s="780"/>
      <c r="Q64" s="780"/>
      <c r="R64" s="776"/>
      <c r="S64" s="776"/>
      <c r="T64" s="776"/>
      <c r="U64" s="776"/>
      <c r="V64" s="776"/>
      <c r="W64" s="777"/>
      <c r="X64" s="776"/>
      <c r="Y64" s="777"/>
      <c r="Z64" s="777"/>
      <c r="AA64" s="781"/>
      <c r="AB64" s="782"/>
      <c r="AC64" s="782"/>
    </row>
    <row r="65" spans="1:30" ht="36" customHeight="1">
      <c r="B65" s="73">
        <v>2</v>
      </c>
      <c r="C65" s="121" t="s">
        <v>218</v>
      </c>
      <c r="D65" s="122"/>
      <c r="E65" s="122"/>
      <c r="F65" s="122"/>
      <c r="G65" s="122"/>
      <c r="H65" s="122"/>
      <c r="I65" s="122"/>
      <c r="J65" s="122"/>
      <c r="K65" s="122"/>
      <c r="L65" s="122"/>
      <c r="M65" s="122"/>
      <c r="N65" s="122"/>
      <c r="O65" s="122"/>
      <c r="P65" s="122"/>
      <c r="Q65" s="122"/>
      <c r="R65" s="122"/>
      <c r="S65" s="122"/>
      <c r="T65" s="122"/>
      <c r="U65" s="122"/>
      <c r="V65" s="123"/>
      <c r="AC65" s="1"/>
      <c r="AD65" s="1"/>
    </row>
    <row r="66" spans="1:30" ht="17.25" customHeight="1">
      <c r="B66" s="51" t="s">
        <v>219</v>
      </c>
      <c r="C66" s="48" t="s">
        <v>220</v>
      </c>
      <c r="D66" s="49"/>
      <c r="E66" s="49"/>
      <c r="F66" s="49"/>
      <c r="G66" s="49"/>
      <c r="H66" s="49"/>
      <c r="I66" s="49"/>
      <c r="J66" s="49"/>
      <c r="K66" s="49"/>
      <c r="L66" s="49"/>
      <c r="M66" s="49"/>
      <c r="N66" s="49"/>
      <c r="O66" s="49"/>
      <c r="P66" s="49"/>
      <c r="Q66" s="49"/>
      <c r="R66" s="49"/>
      <c r="S66" s="49"/>
      <c r="T66" s="49"/>
      <c r="U66" s="49"/>
      <c r="V66" s="50"/>
      <c r="AC66" s="1"/>
      <c r="AD66" s="1"/>
    </row>
    <row r="67" spans="1:30" ht="40.5" customHeight="1">
      <c r="B67" s="961" t="s">
        <v>29</v>
      </c>
      <c r="C67" s="124" t="s">
        <v>221</v>
      </c>
      <c r="D67" s="125"/>
      <c r="E67" s="125"/>
      <c r="F67" s="125"/>
      <c r="G67" s="125"/>
      <c r="H67" s="126"/>
      <c r="I67" s="22" t="s">
        <v>222</v>
      </c>
      <c r="J67" s="22" t="s">
        <v>223</v>
      </c>
      <c r="K67" s="22" t="s">
        <v>224</v>
      </c>
      <c r="L67" s="22" t="s">
        <v>224</v>
      </c>
      <c r="M67" s="5" t="s">
        <v>225</v>
      </c>
      <c r="N67" s="89" t="s">
        <v>226</v>
      </c>
      <c r="O67" s="89" t="s">
        <v>227</v>
      </c>
      <c r="P67" s="89" t="s">
        <v>134</v>
      </c>
      <c r="Q67" s="89" t="s">
        <v>135</v>
      </c>
      <c r="R67" s="89" t="s">
        <v>136</v>
      </c>
      <c r="S67" s="89" t="s">
        <v>228</v>
      </c>
      <c r="T67" s="5" t="s">
        <v>229</v>
      </c>
      <c r="U67" s="5" t="s">
        <v>230</v>
      </c>
      <c r="V67" s="962" t="s">
        <v>9</v>
      </c>
      <c r="AC67" s="1"/>
      <c r="AD67" s="1"/>
    </row>
    <row r="68" spans="1:30" ht="17.25" customHeight="1">
      <c r="B68" s="961"/>
      <c r="C68" s="127"/>
      <c r="D68" s="128"/>
      <c r="E68" s="128"/>
      <c r="F68" s="128"/>
      <c r="G68" s="128"/>
      <c r="H68" s="129"/>
      <c r="I68" s="22" t="s">
        <v>231</v>
      </c>
      <c r="J68" s="22" t="s">
        <v>232</v>
      </c>
      <c r="K68" s="22" t="s">
        <v>233</v>
      </c>
      <c r="L68" s="23" t="s">
        <v>234</v>
      </c>
      <c r="M68" s="801">
        <f>8%</f>
        <v>0.08</v>
      </c>
      <c r="N68" s="23" t="s">
        <v>235</v>
      </c>
      <c r="O68" s="14">
        <v>0.19</v>
      </c>
      <c r="P68" s="14"/>
      <c r="Q68" s="14"/>
      <c r="R68" s="14"/>
      <c r="S68" s="14">
        <v>0.19</v>
      </c>
      <c r="T68" s="23" t="s">
        <v>236</v>
      </c>
      <c r="U68" s="23" t="s">
        <v>237</v>
      </c>
      <c r="V68" s="962"/>
      <c r="AC68" s="1"/>
      <c r="AD68" s="1"/>
    </row>
    <row r="69" spans="1:30" ht="17.25" customHeight="1">
      <c r="B69" s="75" t="s">
        <v>238</v>
      </c>
      <c r="C69" s="802" t="s">
        <v>239</v>
      </c>
      <c r="D69" s="803"/>
      <c r="E69" s="58"/>
      <c r="F69" s="58"/>
      <c r="G69" s="58"/>
      <c r="H69" s="58"/>
      <c r="I69" s="58"/>
      <c r="J69" s="58"/>
      <c r="K69" s="58"/>
      <c r="L69" s="58"/>
      <c r="M69" s="58"/>
      <c r="N69" s="58"/>
      <c r="O69" s="58"/>
      <c r="P69" s="58"/>
      <c r="Q69" s="58"/>
      <c r="R69" s="58"/>
      <c r="S69" s="58"/>
      <c r="T69" s="58"/>
      <c r="U69" s="58"/>
      <c r="V69" s="76"/>
      <c r="AC69" s="1"/>
      <c r="AD69" s="1"/>
    </row>
    <row r="70" spans="1:30" ht="12.75" outlineLevel="1">
      <c r="A70" s="1">
        <v>3</v>
      </c>
      <c r="B70" s="57" t="s">
        <v>240</v>
      </c>
      <c r="C70" s="130" t="s">
        <v>241</v>
      </c>
      <c r="D70" s="131"/>
      <c r="E70" s="131"/>
      <c r="F70" s="131"/>
      <c r="G70" s="131"/>
      <c r="H70" s="132"/>
      <c r="I70" s="706">
        <v>1</v>
      </c>
      <c r="J70" s="852"/>
      <c r="K70" s="804">
        <f t="shared" ref="K70:K74" si="56">ROUND(I70*J70,0)</f>
        <v>0</v>
      </c>
      <c r="L70" s="805">
        <f t="shared" ref="L70:L78" si="57">+K70</f>
        <v>0</v>
      </c>
      <c r="M70" s="805">
        <f>ROUND(L70*$M$68,0)</f>
        <v>0</v>
      </c>
      <c r="N70" s="737">
        <f t="shared" ref="N70:N78" si="58">+L70+M70</f>
        <v>0</v>
      </c>
      <c r="O70" s="721">
        <f>ROUND(L70*$O$68,0)</f>
        <v>0</v>
      </c>
      <c r="P70" s="721"/>
      <c r="Q70" s="719">
        <f>IFERROR(L70+M70,"")</f>
        <v>0</v>
      </c>
      <c r="R70" s="806"/>
      <c r="S70" s="721">
        <f>ROUND(M70*$S$68,0)</f>
        <v>0</v>
      </c>
      <c r="T70" s="807">
        <f>+O70+S70</f>
        <v>0</v>
      </c>
      <c r="U70" s="807">
        <f t="shared" ref="U70:U78" si="59">+N70+T70</f>
        <v>0</v>
      </c>
      <c r="V70" s="7" t="s">
        <v>16</v>
      </c>
      <c r="X70" s="808"/>
      <c r="AC70" s="1"/>
      <c r="AD70" s="1"/>
    </row>
    <row r="71" spans="1:30" s="3" customFormat="1" ht="12.75" outlineLevel="1">
      <c r="A71" s="3">
        <v>5</v>
      </c>
      <c r="B71" s="809" t="s">
        <v>242</v>
      </c>
      <c r="C71" s="810" t="s">
        <v>243</v>
      </c>
      <c r="D71" s="811"/>
      <c r="E71" s="811"/>
      <c r="F71" s="811"/>
      <c r="G71" s="811"/>
      <c r="H71" s="812"/>
      <c r="I71" s="706">
        <v>6</v>
      </c>
      <c r="J71" s="852"/>
      <c r="K71" s="813">
        <f t="shared" si="56"/>
        <v>0</v>
      </c>
      <c r="L71" s="814">
        <f t="shared" si="57"/>
        <v>0</v>
      </c>
      <c r="M71" s="805">
        <f t="shared" ref="M71:M78" si="60">ROUND(L71*$M$68,0)</f>
        <v>0</v>
      </c>
      <c r="N71" s="723">
        <f t="shared" si="58"/>
        <v>0</v>
      </c>
      <c r="O71" s="721">
        <f>ROUND(L71*10%*$O$68,0)</f>
        <v>0</v>
      </c>
      <c r="P71" s="719">
        <f>ROUND(N71*10%,0)</f>
        <v>0</v>
      </c>
      <c r="Q71" s="719"/>
      <c r="R71" s="815">
        <f>IFERROR(N71-P71,"")</f>
        <v>0</v>
      </c>
      <c r="S71" s="721">
        <f>ROUND(M71*10%*$S$68,0)</f>
        <v>0</v>
      </c>
      <c r="T71" s="816">
        <f t="shared" ref="T71:T74" si="61">+O71+S71</f>
        <v>0</v>
      </c>
      <c r="U71" s="816">
        <f t="shared" si="59"/>
        <v>0</v>
      </c>
      <c r="V71" s="726" t="s">
        <v>16</v>
      </c>
      <c r="X71" s="808"/>
    </row>
    <row r="72" spans="1:30" s="3" customFormat="1" ht="12.75" outlineLevel="1">
      <c r="A72" s="3">
        <v>7</v>
      </c>
      <c r="B72" s="809" t="s">
        <v>245</v>
      </c>
      <c r="C72" s="810" t="s">
        <v>244</v>
      </c>
      <c r="D72" s="811"/>
      <c r="E72" s="811"/>
      <c r="F72" s="811"/>
      <c r="G72" s="811"/>
      <c r="H72" s="812"/>
      <c r="I72" s="706">
        <v>6</v>
      </c>
      <c r="J72" s="852"/>
      <c r="K72" s="813">
        <f t="shared" si="56"/>
        <v>0</v>
      </c>
      <c r="L72" s="814">
        <f t="shared" si="57"/>
        <v>0</v>
      </c>
      <c r="M72" s="805">
        <f t="shared" si="60"/>
        <v>0</v>
      </c>
      <c r="N72" s="723">
        <f t="shared" si="58"/>
        <v>0</v>
      </c>
      <c r="O72" s="721">
        <f>ROUND(L72*10%*$O$68,0)</f>
        <v>0</v>
      </c>
      <c r="P72" s="719">
        <f>ROUND(N72*10%,0)</f>
        <v>0</v>
      </c>
      <c r="Q72" s="719"/>
      <c r="R72" s="815">
        <f>IFERROR(N72-P72,"")</f>
        <v>0</v>
      </c>
      <c r="S72" s="721">
        <f>ROUND(M72*10%*$S$68,0)</f>
        <v>0</v>
      </c>
      <c r="T72" s="816">
        <f t="shared" si="61"/>
        <v>0</v>
      </c>
      <c r="U72" s="816">
        <f t="shared" si="59"/>
        <v>0</v>
      </c>
      <c r="V72" s="726" t="s">
        <v>21</v>
      </c>
      <c r="X72" s="808"/>
    </row>
    <row r="73" spans="1:30" s="3" customFormat="1" ht="12.75" outlineLevel="1">
      <c r="A73" s="3">
        <v>7</v>
      </c>
      <c r="B73" s="809" t="s">
        <v>247</v>
      </c>
      <c r="C73" s="810" t="s">
        <v>246</v>
      </c>
      <c r="D73" s="811"/>
      <c r="E73" s="811"/>
      <c r="F73" s="811"/>
      <c r="G73" s="811"/>
      <c r="H73" s="812"/>
      <c r="I73" s="706">
        <v>0</v>
      </c>
      <c r="J73" s="852"/>
      <c r="K73" s="813">
        <f t="shared" si="56"/>
        <v>0</v>
      </c>
      <c r="L73" s="814">
        <f t="shared" si="57"/>
        <v>0</v>
      </c>
      <c r="M73" s="805">
        <f t="shared" si="60"/>
        <v>0</v>
      </c>
      <c r="N73" s="723">
        <f t="shared" si="58"/>
        <v>0</v>
      </c>
      <c r="O73" s="721">
        <f t="shared" ref="O73:O78" si="62">ROUND(L73*$O$68,0)</f>
        <v>0</v>
      </c>
      <c r="P73" s="719">
        <f>ROUND(N73*10%,0)</f>
        <v>0</v>
      </c>
      <c r="Q73" s="719"/>
      <c r="R73" s="815">
        <f>IFERROR(N73-P73,"")</f>
        <v>0</v>
      </c>
      <c r="S73" s="721">
        <f t="shared" ref="S73:S78" si="63">ROUND(M73*$S$68,0)</f>
        <v>0</v>
      </c>
      <c r="T73" s="816">
        <f t="shared" si="61"/>
        <v>0</v>
      </c>
      <c r="U73" s="816">
        <f>+N73+T73</f>
        <v>0</v>
      </c>
      <c r="V73" s="726" t="s">
        <v>21</v>
      </c>
      <c r="X73" s="808"/>
    </row>
    <row r="74" spans="1:30" s="3" customFormat="1" ht="12.75" outlineLevel="1">
      <c r="A74" s="3">
        <v>7</v>
      </c>
      <c r="B74" s="809" t="s">
        <v>252</v>
      </c>
      <c r="C74" s="810" t="s">
        <v>248</v>
      </c>
      <c r="D74" s="811"/>
      <c r="E74" s="811"/>
      <c r="F74" s="811"/>
      <c r="G74" s="811"/>
      <c r="H74" s="812"/>
      <c r="I74" s="706">
        <v>0</v>
      </c>
      <c r="J74" s="852"/>
      <c r="K74" s="813">
        <f t="shared" si="56"/>
        <v>0</v>
      </c>
      <c r="L74" s="814">
        <f t="shared" si="57"/>
        <v>0</v>
      </c>
      <c r="M74" s="805">
        <f t="shared" si="60"/>
        <v>0</v>
      </c>
      <c r="N74" s="723">
        <f t="shared" si="58"/>
        <v>0</v>
      </c>
      <c r="O74" s="721">
        <f t="shared" si="62"/>
        <v>0</v>
      </c>
      <c r="P74" s="719">
        <f>ROUND(N74*10%,0)</f>
        <v>0</v>
      </c>
      <c r="Q74" s="719"/>
      <c r="R74" s="815">
        <f>IFERROR(N74-P74,"")</f>
        <v>0</v>
      </c>
      <c r="S74" s="721">
        <f t="shared" si="63"/>
        <v>0</v>
      </c>
      <c r="T74" s="816">
        <f t="shared" si="61"/>
        <v>0</v>
      </c>
      <c r="U74" s="816">
        <f t="shared" si="59"/>
        <v>0</v>
      </c>
      <c r="V74" s="726" t="s">
        <v>21</v>
      </c>
      <c r="X74" s="808"/>
    </row>
    <row r="75" spans="1:30" ht="12.75" outlineLevel="1">
      <c r="A75" s="1">
        <v>7</v>
      </c>
      <c r="B75" s="57" t="s">
        <v>651</v>
      </c>
      <c r="C75" s="130" t="s">
        <v>250</v>
      </c>
      <c r="D75" s="131"/>
      <c r="E75" s="131"/>
      <c r="F75" s="131"/>
      <c r="G75" s="131"/>
      <c r="H75" s="132"/>
      <c r="I75" s="706">
        <v>6</v>
      </c>
      <c r="J75" s="852"/>
      <c r="K75" s="804">
        <f>ROUND(I75*J75,0)</f>
        <v>0</v>
      </c>
      <c r="L75" s="805">
        <f t="shared" si="57"/>
        <v>0</v>
      </c>
      <c r="M75" s="805">
        <f t="shared" si="60"/>
        <v>0</v>
      </c>
      <c r="N75" s="737">
        <f t="shared" si="58"/>
        <v>0</v>
      </c>
      <c r="O75" s="721">
        <f t="shared" si="62"/>
        <v>0</v>
      </c>
      <c r="P75" s="721"/>
      <c r="Q75" s="719">
        <f>IFERROR(L75+M75,"")</f>
        <v>0</v>
      </c>
      <c r="R75" s="806"/>
      <c r="S75" s="721">
        <f t="shared" si="63"/>
        <v>0</v>
      </c>
      <c r="T75" s="807">
        <f>+O75+S75</f>
        <v>0</v>
      </c>
      <c r="U75" s="807">
        <f t="shared" si="59"/>
        <v>0</v>
      </c>
      <c r="V75" s="7" t="s">
        <v>21</v>
      </c>
      <c r="X75" s="808"/>
      <c r="AC75" s="1"/>
      <c r="AD75" s="1"/>
    </row>
    <row r="76" spans="1:30" ht="12.75" outlineLevel="1">
      <c r="A76" s="1">
        <v>7</v>
      </c>
      <c r="B76" s="57" t="s">
        <v>653</v>
      </c>
      <c r="C76" s="130" t="s">
        <v>251</v>
      </c>
      <c r="D76" s="131"/>
      <c r="E76" s="131"/>
      <c r="F76" s="131"/>
      <c r="G76" s="131"/>
      <c r="H76" s="132"/>
      <c r="I76" s="706">
        <v>0</v>
      </c>
      <c r="J76" s="852"/>
      <c r="K76" s="804">
        <f>ROUND(I76*J76,0)</f>
        <v>0</v>
      </c>
      <c r="L76" s="805">
        <f t="shared" si="57"/>
        <v>0</v>
      </c>
      <c r="M76" s="805">
        <f t="shared" si="60"/>
        <v>0</v>
      </c>
      <c r="N76" s="737">
        <f t="shared" si="58"/>
        <v>0</v>
      </c>
      <c r="O76" s="721">
        <f t="shared" si="62"/>
        <v>0</v>
      </c>
      <c r="P76" s="721"/>
      <c r="Q76" s="719">
        <f>IFERROR(L76+M76,"")</f>
        <v>0</v>
      </c>
      <c r="R76" s="806"/>
      <c r="S76" s="721">
        <f t="shared" si="63"/>
        <v>0</v>
      </c>
      <c r="T76" s="807">
        <f>+O76+S76</f>
        <v>0</v>
      </c>
      <c r="U76" s="807">
        <f>+N76+T76</f>
        <v>0</v>
      </c>
      <c r="V76" s="7" t="s">
        <v>21</v>
      </c>
      <c r="X76" s="808"/>
      <c r="AC76" s="1"/>
      <c r="AD76" s="1"/>
    </row>
    <row r="77" spans="1:30" ht="12.75" outlineLevel="1">
      <c r="A77" s="1">
        <v>7</v>
      </c>
      <c r="B77" s="57" t="s">
        <v>655</v>
      </c>
      <c r="C77" s="130" t="s">
        <v>253</v>
      </c>
      <c r="D77" s="131"/>
      <c r="E77" s="131"/>
      <c r="F77" s="131"/>
      <c r="G77" s="131"/>
      <c r="H77" s="132"/>
      <c r="I77" s="706">
        <v>6</v>
      </c>
      <c r="J77" s="852"/>
      <c r="K77" s="804">
        <f>ROUND(I77*J77,0)</f>
        <v>0</v>
      </c>
      <c r="L77" s="805">
        <f t="shared" si="57"/>
        <v>0</v>
      </c>
      <c r="M77" s="805">
        <f t="shared" si="60"/>
        <v>0</v>
      </c>
      <c r="N77" s="737">
        <f t="shared" si="58"/>
        <v>0</v>
      </c>
      <c r="O77" s="721">
        <f t="shared" si="62"/>
        <v>0</v>
      </c>
      <c r="P77" s="721"/>
      <c r="Q77" s="719">
        <f>IFERROR(L77+M77,"")</f>
        <v>0</v>
      </c>
      <c r="R77" s="806"/>
      <c r="S77" s="721">
        <f t="shared" si="63"/>
        <v>0</v>
      </c>
      <c r="T77" s="807">
        <f>+O77+S77</f>
        <v>0</v>
      </c>
      <c r="U77" s="807">
        <f t="shared" si="59"/>
        <v>0</v>
      </c>
      <c r="V77" s="7" t="s">
        <v>21</v>
      </c>
      <c r="X77" s="808"/>
      <c r="AC77" s="1"/>
      <c r="AD77" s="1"/>
    </row>
    <row r="78" spans="1:30" ht="12.75" outlineLevel="1">
      <c r="A78" s="1">
        <v>7</v>
      </c>
      <c r="B78" s="57" t="s">
        <v>799</v>
      </c>
      <c r="C78" s="130" t="s">
        <v>254</v>
      </c>
      <c r="D78" s="131"/>
      <c r="E78" s="131"/>
      <c r="F78" s="131"/>
      <c r="G78" s="131"/>
      <c r="H78" s="132"/>
      <c r="I78" s="706">
        <v>0</v>
      </c>
      <c r="J78" s="852"/>
      <c r="K78" s="804">
        <f>ROUND(I78*J78,0)</f>
        <v>0</v>
      </c>
      <c r="L78" s="805">
        <f t="shared" si="57"/>
        <v>0</v>
      </c>
      <c r="M78" s="805">
        <f t="shared" si="60"/>
        <v>0</v>
      </c>
      <c r="N78" s="737">
        <f t="shared" si="58"/>
        <v>0</v>
      </c>
      <c r="O78" s="721">
        <f t="shared" si="62"/>
        <v>0</v>
      </c>
      <c r="P78" s="721"/>
      <c r="Q78" s="719">
        <f>IFERROR(L78+M78,"")</f>
        <v>0</v>
      </c>
      <c r="R78" s="806"/>
      <c r="S78" s="721">
        <f t="shared" si="63"/>
        <v>0</v>
      </c>
      <c r="T78" s="807">
        <f>+O78+S78</f>
        <v>0</v>
      </c>
      <c r="U78" s="807">
        <f t="shared" si="59"/>
        <v>0</v>
      </c>
      <c r="V78" s="7" t="s">
        <v>21</v>
      </c>
      <c r="X78" s="808"/>
      <c r="AC78" s="1"/>
      <c r="AD78" s="1"/>
    </row>
    <row r="79" spans="1:30" ht="12.75" outlineLevel="1">
      <c r="B79" s="74" t="s">
        <v>238</v>
      </c>
      <c r="C79" s="963" t="s">
        <v>255</v>
      </c>
      <c r="D79" s="964"/>
      <c r="E79" s="964"/>
      <c r="F79" s="964"/>
      <c r="G79" s="964"/>
      <c r="H79" s="964"/>
      <c r="I79" s="964"/>
      <c r="J79" s="965"/>
      <c r="K79" s="817">
        <f>SUM(K70:K78)</f>
        <v>0</v>
      </c>
      <c r="L79" s="818">
        <f>SUM(L70:L78)</f>
        <v>0</v>
      </c>
      <c r="M79" s="818">
        <f>SUM(M70:M77)</f>
        <v>0</v>
      </c>
      <c r="N79" s="819">
        <f>SUM(N70:N78)</f>
        <v>0</v>
      </c>
      <c r="O79" s="817">
        <f>SUM(O70:O77)</f>
        <v>0</v>
      </c>
      <c r="P79" s="817">
        <f>SUM(P70:P77)</f>
        <v>0</v>
      </c>
      <c r="Q79" s="817">
        <f>SUM(Q70:Q77)</f>
        <v>0</v>
      </c>
      <c r="R79" s="709">
        <f>SUM(R70:R77)</f>
        <v>0</v>
      </c>
      <c r="S79" s="817">
        <f>SUM(S70:S77)</f>
        <v>0</v>
      </c>
      <c r="T79" s="817">
        <f>SUM(T70:T78)</f>
        <v>0</v>
      </c>
      <c r="U79" s="817">
        <f>SUM(U70:U78)</f>
        <v>0</v>
      </c>
      <c r="V79" s="60" t="s">
        <v>256</v>
      </c>
      <c r="AC79" s="1"/>
      <c r="AD79" s="1"/>
    </row>
    <row r="80" spans="1:30" ht="24.95" customHeight="1" outlineLevel="1">
      <c r="B80" s="75" t="s">
        <v>257</v>
      </c>
      <c r="C80" s="802" t="s">
        <v>258</v>
      </c>
      <c r="D80" s="803"/>
      <c r="E80" s="77"/>
      <c r="F80" s="77"/>
      <c r="G80" s="77"/>
      <c r="H80" s="77"/>
      <c r="I80" s="78"/>
      <c r="J80" s="78"/>
      <c r="K80" s="78"/>
      <c r="L80" s="78"/>
      <c r="M80" s="78"/>
      <c r="N80" s="820"/>
      <c r="O80" s="79"/>
      <c r="P80" s="79"/>
      <c r="Q80" s="79"/>
      <c r="R80" s="79"/>
      <c r="S80" s="79"/>
      <c r="T80" s="78"/>
      <c r="U80" s="78"/>
      <c r="V80" s="80"/>
      <c r="AC80" s="1"/>
      <c r="AD80" s="1"/>
    </row>
    <row r="81" spans="1:30" s="821" customFormat="1" ht="31.5" customHeight="1" outlineLevel="1">
      <c r="A81" s="821">
        <v>9</v>
      </c>
      <c r="B81" s="822" t="s">
        <v>259</v>
      </c>
      <c r="C81" s="823" t="str">
        <f>CONCATENATE("Conservación de Zonas Verdes (",IF(I81=1,"1 Vez ",I81&amp; " veces " ),"durante el plazo del Contrato en la vigencia 2027, previa coordinación con la Supervisión)")</f>
        <v>Conservación de Zonas Verdes (2 veces durante el plazo del Contrato en la vigencia 2027, previa coordinación con la Supervisión)</v>
      </c>
      <c r="D81" s="824"/>
      <c r="E81" s="824"/>
      <c r="F81" s="824"/>
      <c r="G81" s="824"/>
      <c r="H81" s="825"/>
      <c r="I81" s="706">
        <v>2</v>
      </c>
      <c r="J81" s="852"/>
      <c r="K81" s="826">
        <f t="shared" ref="K81:K87" si="64">ROUND(I81*J81,0)</f>
        <v>0</v>
      </c>
      <c r="L81" s="732">
        <f t="shared" ref="L81:L87" si="65">+K81</f>
        <v>0</v>
      </c>
      <c r="M81" s="732">
        <f>ROUND(L81*$M$68,0)</f>
        <v>0</v>
      </c>
      <c r="N81" s="723">
        <f t="shared" ref="N81:N87" si="66">+L81+M81</f>
        <v>0</v>
      </c>
      <c r="O81" s="733">
        <f>ROUND(L81*10%*$O$68,0)</f>
        <v>0</v>
      </c>
      <c r="P81" s="732">
        <f>ROUND(N81*10%,0)</f>
        <v>0</v>
      </c>
      <c r="Q81" s="732"/>
      <c r="R81" s="732">
        <f>IFERROR(N81-P81,"")</f>
        <v>0</v>
      </c>
      <c r="S81" s="736">
        <f>ROUND(M81*10%*$S$68,0)</f>
        <v>0</v>
      </c>
      <c r="T81" s="734">
        <f t="shared" ref="T81:T82" si="67">+O81+S81</f>
        <v>0</v>
      </c>
      <c r="U81" s="734">
        <f t="shared" ref="U81:U87" si="68">+N81+T81</f>
        <v>0</v>
      </c>
      <c r="V81" s="706" t="s">
        <v>13</v>
      </c>
      <c r="X81" s="808"/>
    </row>
    <row r="82" spans="1:30" s="821" customFormat="1" ht="39" customHeight="1" outlineLevel="1">
      <c r="A82" s="821">
        <v>9</v>
      </c>
      <c r="B82" s="822" t="s">
        <v>261</v>
      </c>
      <c r="C82" s="823" t="str">
        <f>CONCATENATE("Servicios de Recolección de Residuos Peligrosos (",IF(I82=1,"1 Vez ",I82&amp; " veces " ),"durante el plazo del Contrato en la vigencia 2027, previa coordinación con la Supervisión)")</f>
        <v>Servicios de Recolección de Residuos Peligrosos (3 veces durante el plazo del Contrato en la vigencia 2027, previa coordinación con la Supervisión)</v>
      </c>
      <c r="D82" s="824"/>
      <c r="E82" s="824"/>
      <c r="F82" s="824"/>
      <c r="G82" s="824"/>
      <c r="H82" s="825"/>
      <c r="I82" s="706">
        <v>3</v>
      </c>
      <c r="J82" s="852"/>
      <c r="K82" s="826">
        <f t="shared" si="64"/>
        <v>0</v>
      </c>
      <c r="L82" s="732">
        <f t="shared" si="65"/>
        <v>0</v>
      </c>
      <c r="M82" s="732">
        <f t="shared" ref="M82:M87" si="69">ROUND(L82*$M$68,0)</f>
        <v>0</v>
      </c>
      <c r="N82" s="723">
        <f t="shared" si="66"/>
        <v>0</v>
      </c>
      <c r="O82" s="733">
        <f t="shared" ref="O82" si="70">ROUND(L82*10%*$O$68,0)</f>
        <v>0</v>
      </c>
      <c r="P82" s="732">
        <f>ROUND(N82*10%,0)</f>
        <v>0</v>
      </c>
      <c r="Q82" s="732"/>
      <c r="R82" s="732">
        <f>IFERROR(N82-P82,"")</f>
        <v>0</v>
      </c>
      <c r="S82" s="736">
        <f t="shared" ref="S82" si="71">ROUND(M82*10%*$S$68,0)</f>
        <v>0</v>
      </c>
      <c r="T82" s="734">
        <f t="shared" si="67"/>
        <v>0</v>
      </c>
      <c r="U82" s="734">
        <f t="shared" si="68"/>
        <v>0</v>
      </c>
      <c r="V82" s="706" t="s">
        <v>13</v>
      </c>
      <c r="X82" s="808"/>
    </row>
    <row r="83" spans="1:30" s="821" customFormat="1" ht="12.75" outlineLevel="1">
      <c r="A83" s="821">
        <v>9</v>
      </c>
      <c r="B83" s="822" t="s">
        <v>263</v>
      </c>
      <c r="C83" s="823" t="s">
        <v>264</v>
      </c>
      <c r="D83" s="824"/>
      <c r="E83" s="824"/>
      <c r="F83" s="824"/>
      <c r="G83" s="824"/>
      <c r="H83" s="825"/>
      <c r="I83" s="706">
        <v>3</v>
      </c>
      <c r="J83" s="852"/>
      <c r="K83" s="826">
        <f t="shared" si="64"/>
        <v>0</v>
      </c>
      <c r="L83" s="732">
        <f t="shared" si="65"/>
        <v>0</v>
      </c>
      <c r="M83" s="732">
        <f t="shared" si="69"/>
        <v>0</v>
      </c>
      <c r="N83" s="723">
        <f t="shared" si="66"/>
        <v>0</v>
      </c>
      <c r="O83" s="733">
        <f>ROUND(L83*$O$68,0)</f>
        <v>0</v>
      </c>
      <c r="P83" s="733"/>
      <c r="Q83" s="732">
        <f>IFERROR(L83+M83,"")</f>
        <v>0</v>
      </c>
      <c r="R83" s="733"/>
      <c r="S83" s="736">
        <f>ROUND(M83*$S$68,0)</f>
        <v>0</v>
      </c>
      <c r="T83" s="734">
        <f>+O83+S83</f>
        <v>0</v>
      </c>
      <c r="U83" s="734">
        <f t="shared" si="68"/>
        <v>0</v>
      </c>
      <c r="V83" s="706" t="s">
        <v>13</v>
      </c>
      <c r="X83" s="808"/>
    </row>
    <row r="84" spans="1:30" s="821" customFormat="1" ht="12.75" outlineLevel="1">
      <c r="A84" s="821">
        <v>9</v>
      </c>
      <c r="B84" s="822" t="s">
        <v>265</v>
      </c>
      <c r="C84" s="823" t="s">
        <v>266</v>
      </c>
      <c r="D84" s="824"/>
      <c r="E84" s="824"/>
      <c r="F84" s="824"/>
      <c r="G84" s="824"/>
      <c r="H84" s="825"/>
      <c r="I84" s="706" t="s">
        <v>297</v>
      </c>
      <c r="J84" s="852"/>
      <c r="K84" s="826">
        <f>J84</f>
        <v>0</v>
      </c>
      <c r="L84" s="732">
        <f t="shared" si="65"/>
        <v>0</v>
      </c>
      <c r="M84" s="732">
        <f t="shared" si="69"/>
        <v>0</v>
      </c>
      <c r="N84" s="723">
        <f t="shared" si="66"/>
        <v>0</v>
      </c>
      <c r="O84" s="733">
        <f t="shared" ref="O84:O87" si="72">ROUND(L84*$O$68,0)</f>
        <v>0</v>
      </c>
      <c r="P84" s="733"/>
      <c r="Q84" s="732">
        <f>IFERROR(L84+M84,"")</f>
        <v>0</v>
      </c>
      <c r="R84" s="733"/>
      <c r="S84" s="736">
        <f t="shared" ref="S84:S87" si="73">ROUND(M84*$S$68,0)</f>
        <v>0</v>
      </c>
      <c r="T84" s="734">
        <f>+O84+S84</f>
        <v>0</v>
      </c>
      <c r="U84" s="734">
        <f t="shared" si="68"/>
        <v>0</v>
      </c>
      <c r="V84" s="706" t="s">
        <v>13</v>
      </c>
      <c r="X84" s="808"/>
    </row>
    <row r="85" spans="1:30" s="821" customFormat="1" ht="19.5" customHeight="1" outlineLevel="1">
      <c r="A85" s="821">
        <v>9</v>
      </c>
      <c r="B85" s="822" t="s">
        <v>267</v>
      </c>
      <c r="C85" s="823" t="s">
        <v>268</v>
      </c>
      <c r="D85" s="824"/>
      <c r="E85" s="824"/>
      <c r="F85" s="824"/>
      <c r="G85" s="824"/>
      <c r="H85" s="825"/>
      <c r="I85" s="706" t="s">
        <v>297</v>
      </c>
      <c r="J85" s="852"/>
      <c r="K85" s="826">
        <f t="shared" ref="K85:K86" si="74">J85</f>
        <v>0</v>
      </c>
      <c r="L85" s="732">
        <f t="shared" si="65"/>
        <v>0</v>
      </c>
      <c r="M85" s="732">
        <f t="shared" si="69"/>
        <v>0</v>
      </c>
      <c r="N85" s="723">
        <f t="shared" si="66"/>
        <v>0</v>
      </c>
      <c r="O85" s="733">
        <f t="shared" si="72"/>
        <v>0</v>
      </c>
      <c r="P85" s="733"/>
      <c r="Q85" s="732">
        <f>IFERROR(L85+M85,"")</f>
        <v>0</v>
      </c>
      <c r="R85" s="733"/>
      <c r="S85" s="736">
        <f t="shared" si="73"/>
        <v>0</v>
      </c>
      <c r="T85" s="734">
        <f>+O85+S85</f>
        <v>0</v>
      </c>
      <c r="U85" s="734">
        <f t="shared" si="68"/>
        <v>0</v>
      </c>
      <c r="V85" s="706" t="s">
        <v>13</v>
      </c>
      <c r="X85" s="808"/>
    </row>
    <row r="86" spans="1:30" s="821" customFormat="1" ht="12.75" outlineLevel="1">
      <c r="A86" s="821">
        <v>9</v>
      </c>
      <c r="B86" s="823" t="s">
        <v>269</v>
      </c>
      <c r="C86" s="823" t="s">
        <v>270</v>
      </c>
      <c r="D86" s="824"/>
      <c r="E86" s="824"/>
      <c r="F86" s="824"/>
      <c r="G86" s="824"/>
      <c r="H86" s="825"/>
      <c r="I86" s="706" t="s">
        <v>297</v>
      </c>
      <c r="J86" s="853">
        <v>18335711.195999999</v>
      </c>
      <c r="K86" s="826">
        <f t="shared" si="74"/>
        <v>18335711.195999999</v>
      </c>
      <c r="L86" s="732">
        <f t="shared" si="65"/>
        <v>18335711.195999999</v>
      </c>
      <c r="M86" s="732">
        <f t="shared" si="69"/>
        <v>1466857</v>
      </c>
      <c r="N86" s="723">
        <f t="shared" si="66"/>
        <v>19802568.195999999</v>
      </c>
      <c r="O86" s="733">
        <f t="shared" si="72"/>
        <v>3483785</v>
      </c>
      <c r="P86" s="733"/>
      <c r="Q86" s="732">
        <f>IFERROR(L86+M86,"")</f>
        <v>19802568.195999999</v>
      </c>
      <c r="R86" s="733"/>
      <c r="S86" s="736">
        <f t="shared" si="73"/>
        <v>278703</v>
      </c>
      <c r="T86" s="734">
        <f>+O86+S86</f>
        <v>3762488</v>
      </c>
      <c r="U86" s="734">
        <f t="shared" si="68"/>
        <v>23565056.195999999</v>
      </c>
      <c r="V86" s="706" t="s">
        <v>13</v>
      </c>
      <c r="X86" s="808"/>
    </row>
    <row r="87" spans="1:30" s="821" customFormat="1" ht="12.75" outlineLevel="1">
      <c r="A87" s="821">
        <v>9</v>
      </c>
      <c r="B87" s="822" t="s">
        <v>800</v>
      </c>
      <c r="C87" s="823" t="s">
        <v>271</v>
      </c>
      <c r="D87" s="824"/>
      <c r="E87" s="824"/>
      <c r="F87" s="824"/>
      <c r="G87" s="824"/>
      <c r="H87" s="825"/>
      <c r="I87" s="706">
        <v>6</v>
      </c>
      <c r="J87" s="853">
        <v>8505151</v>
      </c>
      <c r="K87" s="826">
        <f t="shared" si="64"/>
        <v>51030906</v>
      </c>
      <c r="L87" s="732">
        <f t="shared" si="65"/>
        <v>51030906</v>
      </c>
      <c r="M87" s="732">
        <f t="shared" si="69"/>
        <v>4082472</v>
      </c>
      <c r="N87" s="723">
        <f t="shared" si="66"/>
        <v>55113378</v>
      </c>
      <c r="O87" s="733">
        <f t="shared" si="72"/>
        <v>9695872</v>
      </c>
      <c r="P87" s="733"/>
      <c r="Q87" s="732">
        <f>IFERROR(L87+M87,"")</f>
        <v>55113378</v>
      </c>
      <c r="R87" s="733"/>
      <c r="S87" s="736">
        <f t="shared" si="73"/>
        <v>775670</v>
      </c>
      <c r="T87" s="734">
        <f>+O87+S87</f>
        <v>10471542</v>
      </c>
      <c r="U87" s="734">
        <f t="shared" si="68"/>
        <v>65584920</v>
      </c>
      <c r="V87" s="706" t="s">
        <v>13</v>
      </c>
      <c r="X87" s="808"/>
    </row>
    <row r="88" spans="1:30">
      <c r="B88" s="85" t="s">
        <v>257</v>
      </c>
      <c r="C88" s="963" t="s">
        <v>272</v>
      </c>
      <c r="D88" s="964"/>
      <c r="E88" s="964"/>
      <c r="F88" s="964"/>
      <c r="G88" s="964"/>
      <c r="H88" s="964"/>
      <c r="I88" s="964"/>
      <c r="J88" s="965"/>
      <c r="K88" s="817">
        <f>SUM(K81:K87)</f>
        <v>69366617.195999995</v>
      </c>
      <c r="L88" s="827">
        <f>SUM(L81:L87)</f>
        <v>69366617.195999995</v>
      </c>
      <c r="M88" s="817">
        <f t="shared" ref="M88:S88" si="75">SUM(M81:M87)</f>
        <v>5549329</v>
      </c>
      <c r="N88" s="819">
        <f>SUM(N81:N87)</f>
        <v>74915946.195999995</v>
      </c>
      <c r="O88" s="817">
        <f t="shared" si="75"/>
        <v>13179657</v>
      </c>
      <c r="P88" s="817">
        <f t="shared" si="75"/>
        <v>0</v>
      </c>
      <c r="Q88" s="817">
        <f t="shared" si="75"/>
        <v>74915946.195999995</v>
      </c>
      <c r="R88" s="817">
        <f t="shared" si="75"/>
        <v>0</v>
      </c>
      <c r="S88" s="817">
        <f t="shared" si="75"/>
        <v>1054373</v>
      </c>
      <c r="T88" s="817">
        <f>SUM(T81:T87)</f>
        <v>14234030</v>
      </c>
      <c r="U88" s="817">
        <f>SUM(U81:U87)</f>
        <v>89149976.195999995</v>
      </c>
      <c r="V88" s="60" t="s">
        <v>13</v>
      </c>
      <c r="AC88" s="1"/>
      <c r="AD88" s="1"/>
    </row>
    <row r="89" spans="1:30" ht="26.1" customHeight="1">
      <c r="B89" s="87" t="s">
        <v>219</v>
      </c>
      <c r="C89" s="947" t="s">
        <v>273</v>
      </c>
      <c r="D89" s="948"/>
      <c r="E89" s="948"/>
      <c r="F89" s="948"/>
      <c r="G89" s="948"/>
      <c r="H89" s="948"/>
      <c r="I89" s="948"/>
      <c r="J89" s="949"/>
      <c r="K89" s="828">
        <f>+K79+K88</f>
        <v>69366617.195999995</v>
      </c>
      <c r="L89" s="828">
        <f>+L79+L88</f>
        <v>69366617.195999995</v>
      </c>
      <c r="M89" s="829">
        <f>+M79+M88</f>
        <v>5549329</v>
      </c>
      <c r="N89" s="830">
        <f>+N79+N88</f>
        <v>74915946.195999995</v>
      </c>
      <c r="O89" s="829"/>
      <c r="P89" s="829"/>
      <c r="Q89" s="829">
        <f>IFERROR(N89+O89,"")</f>
        <v>74915946.195999995</v>
      </c>
      <c r="R89" s="829"/>
      <c r="S89" s="829"/>
      <c r="T89" s="829">
        <f>+T79+T88</f>
        <v>14234030</v>
      </c>
      <c r="U89" s="831">
        <f>+U79+U88</f>
        <v>89149976.195999995</v>
      </c>
      <c r="V89" s="53"/>
      <c r="X89" s="808"/>
      <c r="AC89" s="1"/>
      <c r="AD89" s="1"/>
    </row>
    <row r="90" spans="1:30" ht="20.100000000000001" customHeight="1">
      <c r="B90" s="64"/>
      <c r="C90" s="64"/>
      <c r="D90" s="64"/>
      <c r="E90" s="64"/>
      <c r="F90" s="65"/>
      <c r="G90" s="64"/>
      <c r="H90" s="64"/>
      <c r="I90" s="66"/>
      <c r="J90" s="64"/>
      <c r="K90" s="67"/>
      <c r="L90" s="11"/>
      <c r="M90" s="11"/>
      <c r="N90" s="832"/>
      <c r="O90" s="11"/>
      <c r="P90" s="11"/>
      <c r="Q90" s="11"/>
      <c r="R90" s="11"/>
      <c r="S90" s="11"/>
      <c r="T90" s="11"/>
      <c r="U90" s="11" t="s">
        <v>649</v>
      </c>
      <c r="V90" s="11"/>
      <c r="X90" s="808"/>
      <c r="AC90" s="1"/>
      <c r="AD90" s="1"/>
    </row>
    <row r="91" spans="1:30" ht="26.25" customHeight="1">
      <c r="B91" s="51" t="s">
        <v>274</v>
      </c>
      <c r="C91" s="48" t="s">
        <v>275</v>
      </c>
      <c r="D91" s="49"/>
      <c r="E91" s="49"/>
      <c r="F91" s="49"/>
      <c r="G91" s="49"/>
      <c r="H91" s="49"/>
      <c r="I91" s="49"/>
      <c r="J91" s="49"/>
      <c r="K91" s="49"/>
      <c r="L91" s="49"/>
      <c r="M91" s="49"/>
      <c r="N91" s="833"/>
      <c r="O91" s="49"/>
      <c r="P91" s="49"/>
      <c r="Q91" s="49"/>
      <c r="R91" s="49"/>
      <c r="S91" s="49"/>
      <c r="T91" s="49"/>
      <c r="U91" s="49"/>
      <c r="V91" s="50"/>
      <c r="AC91" s="1"/>
      <c r="AD91" s="1"/>
    </row>
    <row r="92" spans="1:30" ht="62.25" customHeight="1">
      <c r="B92" s="961" t="s">
        <v>29</v>
      </c>
      <c r="C92" s="966" t="s">
        <v>221</v>
      </c>
      <c r="D92" s="967"/>
      <c r="E92" s="967"/>
      <c r="F92" s="967"/>
      <c r="G92" s="967"/>
      <c r="H92" s="968"/>
      <c r="I92" s="22" t="s">
        <v>276</v>
      </c>
      <c r="J92" s="22" t="s">
        <v>223</v>
      </c>
      <c r="K92" s="22" t="s">
        <v>224</v>
      </c>
      <c r="L92" s="22" t="s">
        <v>224</v>
      </c>
      <c r="M92" s="5" t="s">
        <v>225</v>
      </c>
      <c r="N92" s="834" t="s">
        <v>226</v>
      </c>
      <c r="O92" s="185" t="s">
        <v>277</v>
      </c>
      <c r="P92" s="89" t="s">
        <v>134</v>
      </c>
      <c r="Q92" s="89" t="s">
        <v>135</v>
      </c>
      <c r="R92" s="89" t="s">
        <v>136</v>
      </c>
      <c r="S92" s="185" t="s">
        <v>278</v>
      </c>
      <c r="T92" s="5" t="s">
        <v>279</v>
      </c>
      <c r="U92" s="5" t="s">
        <v>230</v>
      </c>
      <c r="V92" s="962" t="s">
        <v>9</v>
      </c>
      <c r="AC92" s="1"/>
      <c r="AD92" s="1"/>
    </row>
    <row r="93" spans="1:30" ht="24.95" customHeight="1">
      <c r="B93" s="961"/>
      <c r="C93" s="969"/>
      <c r="D93" s="970"/>
      <c r="E93" s="970"/>
      <c r="F93" s="970"/>
      <c r="G93" s="970"/>
      <c r="H93" s="971"/>
      <c r="I93" s="22" t="s">
        <v>231</v>
      </c>
      <c r="J93" s="22" t="s">
        <v>232</v>
      </c>
      <c r="K93" s="22" t="s">
        <v>233</v>
      </c>
      <c r="L93" s="23" t="s">
        <v>234</v>
      </c>
      <c r="M93" s="801">
        <f>M68</f>
        <v>0.08</v>
      </c>
      <c r="N93" s="835" t="s">
        <v>235</v>
      </c>
      <c r="O93" s="14">
        <v>0.19</v>
      </c>
      <c r="P93" s="14"/>
      <c r="Q93" s="14"/>
      <c r="R93" s="14"/>
      <c r="S93" s="14">
        <v>0.19</v>
      </c>
      <c r="T93" s="23" t="s">
        <v>236</v>
      </c>
      <c r="U93" s="23" t="s">
        <v>237</v>
      </c>
      <c r="V93" s="962"/>
      <c r="AC93" s="1"/>
      <c r="AD93" s="1"/>
    </row>
    <row r="94" spans="1:30" ht="24.95" customHeight="1">
      <c r="B94" s="75" t="s">
        <v>280</v>
      </c>
      <c r="C94" s="802" t="s">
        <v>281</v>
      </c>
      <c r="D94" s="803"/>
      <c r="E94" s="58"/>
      <c r="F94" s="58"/>
      <c r="G94" s="58"/>
      <c r="H94" s="58"/>
      <c r="I94" s="58"/>
      <c r="J94" s="58"/>
      <c r="K94" s="58"/>
      <c r="L94" s="58"/>
      <c r="M94" s="58"/>
      <c r="N94" s="836"/>
      <c r="O94" s="58"/>
      <c r="P94" s="58"/>
      <c r="Q94" s="58"/>
      <c r="R94" s="58"/>
      <c r="S94" s="58"/>
      <c r="T94" s="58"/>
      <c r="U94" s="58"/>
      <c r="V94" s="58"/>
      <c r="AC94" s="1"/>
      <c r="AD94" s="1"/>
    </row>
    <row r="95" spans="1:30" ht="24.95" customHeight="1" outlineLevel="1">
      <c r="A95" s="1">
        <v>4</v>
      </c>
      <c r="B95" s="57" t="s">
        <v>282</v>
      </c>
      <c r="C95" s="955" t="s">
        <v>241</v>
      </c>
      <c r="D95" s="956"/>
      <c r="E95" s="956"/>
      <c r="F95" s="956"/>
      <c r="G95" s="956"/>
      <c r="H95" s="957"/>
      <c r="I95" s="706">
        <v>1</v>
      </c>
      <c r="J95" s="852"/>
      <c r="K95" s="804">
        <f>ROUND(I95*J95,0)</f>
        <v>0</v>
      </c>
      <c r="L95" s="727">
        <f>+K95</f>
        <v>0</v>
      </c>
      <c r="M95" s="727">
        <f>ROUND(L95*$M$93,0)</f>
        <v>0</v>
      </c>
      <c r="N95" s="737">
        <f>+L95+M95</f>
        <v>0</v>
      </c>
      <c r="O95" s="721">
        <f>ROUND(L95*$O$93,0)</f>
        <v>0</v>
      </c>
      <c r="P95" s="721"/>
      <c r="Q95" s="719">
        <f>IFERROR(L95+M95,"")</f>
        <v>0</v>
      </c>
      <c r="R95" s="721"/>
      <c r="S95" s="721">
        <f>ROUND(M95*$S$93,0)</f>
        <v>0</v>
      </c>
      <c r="T95" s="807">
        <f>+O95+S95</f>
        <v>0</v>
      </c>
      <c r="U95" s="807">
        <f>+N95+T95</f>
        <v>0</v>
      </c>
      <c r="V95" s="7" t="s">
        <v>97</v>
      </c>
      <c r="AC95" s="1"/>
      <c r="AD95" s="1"/>
    </row>
    <row r="96" spans="1:30" s="3" customFormat="1" ht="24.95" customHeight="1" outlineLevel="1">
      <c r="A96" s="3">
        <v>6</v>
      </c>
      <c r="B96" s="57" t="s">
        <v>283</v>
      </c>
      <c r="C96" s="958" t="s">
        <v>243</v>
      </c>
      <c r="D96" s="959"/>
      <c r="E96" s="959"/>
      <c r="F96" s="959"/>
      <c r="G96" s="959"/>
      <c r="H96" s="960"/>
      <c r="I96" s="706">
        <v>6</v>
      </c>
      <c r="J96" s="852"/>
      <c r="K96" s="813">
        <f>ROUND(I96*J96,0)</f>
        <v>0</v>
      </c>
      <c r="L96" s="719">
        <f>+K96</f>
        <v>0</v>
      </c>
      <c r="M96" s="727">
        <f t="shared" ref="M96:M97" si="76">ROUND(L96*$M$93,0)</f>
        <v>0</v>
      </c>
      <c r="N96" s="723">
        <f>+L96+M96</f>
        <v>0</v>
      </c>
      <c r="O96" s="721">
        <f>ROUND(L96*10%*$O$93,0)</f>
        <v>0</v>
      </c>
      <c r="P96" s="719">
        <f>ROUND(N96*10%,0)</f>
        <v>0</v>
      </c>
      <c r="Q96" s="719"/>
      <c r="R96" s="719">
        <f>IFERROR(N96-P96,"")</f>
        <v>0</v>
      </c>
      <c r="S96" s="721">
        <f>ROUND(M96*10%*$S$93,0)</f>
        <v>0</v>
      </c>
      <c r="T96" s="816">
        <f t="shared" ref="T96:T97" si="77">+O96+S96</f>
        <v>0</v>
      </c>
      <c r="U96" s="816">
        <f>+N96+T96</f>
        <v>0</v>
      </c>
      <c r="V96" s="726" t="s">
        <v>97</v>
      </c>
    </row>
    <row r="97" spans="1:30" s="3" customFormat="1" ht="24.95" customHeight="1" outlineLevel="1">
      <c r="A97" s="3">
        <v>8</v>
      </c>
      <c r="B97" s="57" t="s">
        <v>284</v>
      </c>
      <c r="C97" s="837" t="s">
        <v>801</v>
      </c>
      <c r="D97" s="838"/>
      <c r="E97" s="838"/>
      <c r="F97" s="838"/>
      <c r="G97" s="838"/>
      <c r="H97" s="839"/>
      <c r="I97" s="706">
        <v>6</v>
      </c>
      <c r="J97" s="852"/>
      <c r="K97" s="813">
        <f>ROUND(I97*J97,0)</f>
        <v>0</v>
      </c>
      <c r="L97" s="719">
        <f>+K97</f>
        <v>0</v>
      </c>
      <c r="M97" s="727">
        <f t="shared" si="76"/>
        <v>0</v>
      </c>
      <c r="N97" s="723">
        <f>+L97+M97</f>
        <v>0</v>
      </c>
      <c r="O97" s="721">
        <f>ROUND(L97*10%*$O$93,0)</f>
        <v>0</v>
      </c>
      <c r="P97" s="719">
        <f>ROUND(N97*10%,0)</f>
        <v>0</v>
      </c>
      <c r="Q97" s="719">
        <f t="shared" ref="Q97" si="78">IFERROR(L97+M97,"")</f>
        <v>0</v>
      </c>
      <c r="R97" s="719">
        <f>IFERROR(N97-P97,"")</f>
        <v>0</v>
      </c>
      <c r="S97" s="721">
        <f>ROUND(M97*10%*$S$93,0)</f>
        <v>0</v>
      </c>
      <c r="T97" s="816">
        <f t="shared" si="77"/>
        <v>0</v>
      </c>
      <c r="U97" s="816">
        <f>+N97+T97</f>
        <v>0</v>
      </c>
      <c r="V97" s="726" t="s">
        <v>100</v>
      </c>
    </row>
    <row r="98" spans="1:30" ht="24.95" customHeight="1" outlineLevel="1">
      <c r="B98" s="74" t="s">
        <v>280</v>
      </c>
      <c r="C98" s="954" t="s">
        <v>285</v>
      </c>
      <c r="D98" s="954"/>
      <c r="E98" s="954"/>
      <c r="F98" s="954"/>
      <c r="G98" s="954"/>
      <c r="H98" s="954"/>
      <c r="I98" s="954"/>
      <c r="J98" s="954"/>
      <c r="K98" s="59">
        <f>SUM(K95:K97)</f>
        <v>0</v>
      </c>
      <c r="L98" s="827">
        <f>SUM(L95:L97)</f>
        <v>0</v>
      </c>
      <c r="M98" s="817">
        <f t="shared" ref="M98:S98" si="79">SUM(M95:M96)</f>
        <v>0</v>
      </c>
      <c r="N98" s="819">
        <f>SUM(N95:N97)</f>
        <v>0</v>
      </c>
      <c r="O98" s="817">
        <f t="shared" si="79"/>
        <v>0</v>
      </c>
      <c r="P98" s="817">
        <f t="shared" si="79"/>
        <v>0</v>
      </c>
      <c r="Q98" s="817">
        <f t="shared" si="79"/>
        <v>0</v>
      </c>
      <c r="R98" s="817">
        <f t="shared" si="79"/>
        <v>0</v>
      </c>
      <c r="S98" s="817">
        <f t="shared" si="79"/>
        <v>0</v>
      </c>
      <c r="T98" s="817">
        <f>SUM(T95:T97)</f>
        <v>0</v>
      </c>
      <c r="U98" s="817">
        <f>SUM(U95:U97)</f>
        <v>0</v>
      </c>
      <c r="V98" s="60" t="s">
        <v>286</v>
      </c>
      <c r="AC98" s="1"/>
      <c r="AD98" s="1"/>
    </row>
    <row r="99" spans="1:30" ht="24.95" customHeight="1" outlineLevel="1">
      <c r="B99" s="75" t="s">
        <v>287</v>
      </c>
      <c r="C99" s="802" t="s">
        <v>288</v>
      </c>
      <c r="D99" s="803"/>
      <c r="E99" s="77"/>
      <c r="F99" s="77"/>
      <c r="G99" s="77"/>
      <c r="H99" s="77"/>
      <c r="I99" s="78"/>
      <c r="J99" s="78"/>
      <c r="K99" s="78"/>
      <c r="L99" s="78"/>
      <c r="M99" s="78"/>
      <c r="N99" s="820"/>
      <c r="O99" s="79"/>
      <c r="P99" s="79"/>
      <c r="Q99" s="79"/>
      <c r="R99" s="79"/>
      <c r="S99" s="79"/>
      <c r="T99" s="78"/>
      <c r="U99" s="78"/>
      <c r="V99" s="80"/>
      <c r="AC99" s="1"/>
      <c r="AD99" s="1"/>
    </row>
    <row r="100" spans="1:30" s="821" customFormat="1" ht="24.95" customHeight="1" outlineLevel="1">
      <c r="A100" s="821">
        <v>10</v>
      </c>
      <c r="B100" s="822" t="s">
        <v>289</v>
      </c>
      <c r="C100" s="944" t="s">
        <v>290</v>
      </c>
      <c r="D100" s="945"/>
      <c r="E100" s="945"/>
      <c r="F100" s="945"/>
      <c r="G100" s="945"/>
      <c r="H100" s="946"/>
      <c r="I100" s="706">
        <v>6</v>
      </c>
      <c r="J100" s="852"/>
      <c r="K100" s="826">
        <f>ROUND(I100*J100,0)</f>
        <v>0</v>
      </c>
      <c r="L100" s="732">
        <f t="shared" ref="L100:L113" si="80">+K100</f>
        <v>0</v>
      </c>
      <c r="M100" s="732">
        <f>ROUND(L100*$M$93,0)</f>
        <v>0</v>
      </c>
      <c r="N100" s="723">
        <f>+L100+M100</f>
        <v>0</v>
      </c>
      <c r="O100" s="733">
        <f>ROUND(L100*$O$93,0)</f>
        <v>0</v>
      </c>
      <c r="P100" s="733"/>
      <c r="Q100" s="732">
        <f>IFERROR(L100+M100,"")</f>
        <v>0</v>
      </c>
      <c r="R100" s="733"/>
      <c r="S100" s="733">
        <f>ROUND(M100*$S$93,0)</f>
        <v>0</v>
      </c>
      <c r="T100" s="734">
        <f>+O100+S100</f>
        <v>0</v>
      </c>
      <c r="U100" s="734">
        <f t="shared" ref="U100:U113" si="81">+N100+T100</f>
        <v>0</v>
      </c>
      <c r="V100" s="706" t="s">
        <v>95</v>
      </c>
    </row>
    <row r="101" spans="1:30" s="821" customFormat="1" ht="24.95" customHeight="1" outlineLevel="1">
      <c r="A101" s="821">
        <v>10</v>
      </c>
      <c r="B101" s="822" t="s">
        <v>291</v>
      </c>
      <c r="C101" s="944" t="s">
        <v>292</v>
      </c>
      <c r="D101" s="945"/>
      <c r="E101" s="945"/>
      <c r="F101" s="945"/>
      <c r="G101" s="945"/>
      <c r="H101" s="946"/>
      <c r="I101" s="706">
        <v>6</v>
      </c>
      <c r="J101" s="852"/>
      <c r="K101" s="826">
        <f>ROUND(I101*J101,0)</f>
        <v>0</v>
      </c>
      <c r="L101" s="732">
        <f t="shared" si="80"/>
        <v>0</v>
      </c>
      <c r="M101" s="732">
        <f t="shared" ref="M101:M113" si="82">ROUND(L101*$M$93,0)</f>
        <v>0</v>
      </c>
      <c r="N101" s="723">
        <f t="shared" ref="N101:N111" si="83">+L101+M101</f>
        <v>0</v>
      </c>
      <c r="O101" s="733">
        <f>ROUND(L101*10%*$O$93,0)</f>
        <v>0</v>
      </c>
      <c r="P101" s="732">
        <f>ROUND(N101*10%,0)</f>
        <v>0</v>
      </c>
      <c r="Q101" s="732"/>
      <c r="R101" s="732">
        <f>IFERROR(N101-P101,"")</f>
        <v>0</v>
      </c>
      <c r="S101" s="733">
        <f>ROUND(M101*10%*$S$93,0)</f>
        <v>0</v>
      </c>
      <c r="T101" s="734">
        <f>+O101+S101</f>
        <v>0</v>
      </c>
      <c r="U101" s="734">
        <f t="shared" si="81"/>
        <v>0</v>
      </c>
      <c r="V101" s="706" t="s">
        <v>95</v>
      </c>
    </row>
    <row r="102" spans="1:30" s="821" customFormat="1" ht="24.95" customHeight="1" outlineLevel="1">
      <c r="A102" s="821">
        <v>10</v>
      </c>
      <c r="B102" s="822" t="s">
        <v>293</v>
      </c>
      <c r="C102" s="944" t="s">
        <v>294</v>
      </c>
      <c r="D102" s="945"/>
      <c r="E102" s="945"/>
      <c r="F102" s="945"/>
      <c r="G102" s="945"/>
      <c r="H102" s="946"/>
      <c r="I102" s="706">
        <v>6</v>
      </c>
      <c r="J102" s="852"/>
      <c r="K102" s="826">
        <f>ROUND(I102*J102,0)</f>
        <v>0</v>
      </c>
      <c r="L102" s="732">
        <f t="shared" si="80"/>
        <v>0</v>
      </c>
      <c r="M102" s="732">
        <f t="shared" si="82"/>
        <v>0</v>
      </c>
      <c r="N102" s="723">
        <f t="shared" si="83"/>
        <v>0</v>
      </c>
      <c r="O102" s="733">
        <f t="shared" ref="O102:O105" si="84">ROUND(L102*10%*$O$93,0)</f>
        <v>0</v>
      </c>
      <c r="P102" s="732">
        <f>ROUND(N102*10%,0)</f>
        <v>0</v>
      </c>
      <c r="Q102" s="732"/>
      <c r="R102" s="732">
        <f>IFERROR(N102-P102,"")</f>
        <v>0</v>
      </c>
      <c r="S102" s="733">
        <f t="shared" ref="S102:S105" si="85">ROUND(M102*10%*$S$93,0)</f>
        <v>0</v>
      </c>
      <c r="T102" s="734">
        <f t="shared" ref="T102:T104" si="86">+O102+S102</f>
        <v>0</v>
      </c>
      <c r="U102" s="734">
        <f t="shared" si="81"/>
        <v>0</v>
      </c>
      <c r="V102" s="706" t="s">
        <v>95</v>
      </c>
    </row>
    <row r="103" spans="1:30" s="821" customFormat="1" ht="24.95" customHeight="1" outlineLevel="1">
      <c r="A103" s="821">
        <v>10</v>
      </c>
      <c r="B103" s="822" t="s">
        <v>295</v>
      </c>
      <c r="C103" s="944" t="s">
        <v>296</v>
      </c>
      <c r="D103" s="945"/>
      <c r="E103" s="945"/>
      <c r="F103" s="945"/>
      <c r="G103" s="945"/>
      <c r="H103" s="946"/>
      <c r="I103" s="706" t="s">
        <v>297</v>
      </c>
      <c r="J103" s="852"/>
      <c r="K103" s="826">
        <f>+J103</f>
        <v>0</v>
      </c>
      <c r="L103" s="732">
        <f t="shared" si="80"/>
        <v>0</v>
      </c>
      <c r="M103" s="732">
        <f t="shared" si="82"/>
        <v>0</v>
      </c>
      <c r="N103" s="723">
        <f t="shared" si="83"/>
        <v>0</v>
      </c>
      <c r="O103" s="733">
        <f t="shared" si="84"/>
        <v>0</v>
      </c>
      <c r="P103" s="732">
        <f>ROUND(N103*10%,0)</f>
        <v>0</v>
      </c>
      <c r="Q103" s="732"/>
      <c r="R103" s="732">
        <f>IFERROR(N103-P103,"")</f>
        <v>0</v>
      </c>
      <c r="S103" s="733">
        <f t="shared" si="85"/>
        <v>0</v>
      </c>
      <c r="T103" s="734">
        <f>+O103+S103</f>
        <v>0</v>
      </c>
      <c r="U103" s="734">
        <f t="shared" si="81"/>
        <v>0</v>
      </c>
      <c r="V103" s="706" t="s">
        <v>95</v>
      </c>
    </row>
    <row r="104" spans="1:30" s="821" customFormat="1" ht="24.95" customHeight="1" outlineLevel="1">
      <c r="A104" s="821">
        <v>10</v>
      </c>
      <c r="B104" s="822" t="s">
        <v>298</v>
      </c>
      <c r="C104" s="944" t="s">
        <v>299</v>
      </c>
      <c r="D104" s="945"/>
      <c r="E104" s="945"/>
      <c r="F104" s="945"/>
      <c r="G104" s="945"/>
      <c r="H104" s="946"/>
      <c r="I104" s="706" t="s">
        <v>297</v>
      </c>
      <c r="J104" s="852"/>
      <c r="K104" s="826">
        <f>+J104</f>
        <v>0</v>
      </c>
      <c r="L104" s="732">
        <f t="shared" si="80"/>
        <v>0</v>
      </c>
      <c r="M104" s="732">
        <f t="shared" si="82"/>
        <v>0</v>
      </c>
      <c r="N104" s="723">
        <f t="shared" si="83"/>
        <v>0</v>
      </c>
      <c r="O104" s="733">
        <f t="shared" si="84"/>
        <v>0</v>
      </c>
      <c r="P104" s="732">
        <f>ROUND(N104*10%,0)</f>
        <v>0</v>
      </c>
      <c r="Q104" s="732"/>
      <c r="R104" s="732">
        <f>IFERROR(N104-P104,"")</f>
        <v>0</v>
      </c>
      <c r="S104" s="733">
        <f t="shared" si="85"/>
        <v>0</v>
      </c>
      <c r="T104" s="734">
        <f t="shared" si="86"/>
        <v>0</v>
      </c>
      <c r="U104" s="734">
        <f t="shared" si="81"/>
        <v>0</v>
      </c>
      <c r="V104" s="706" t="s">
        <v>95</v>
      </c>
    </row>
    <row r="105" spans="1:30" s="821" customFormat="1" ht="24.95" customHeight="1" outlineLevel="1">
      <c r="A105" s="821">
        <v>10</v>
      </c>
      <c r="B105" s="822" t="s">
        <v>301</v>
      </c>
      <c r="C105" s="944" t="s">
        <v>300</v>
      </c>
      <c r="D105" s="945"/>
      <c r="E105" s="945"/>
      <c r="F105" s="945"/>
      <c r="G105" s="945"/>
      <c r="H105" s="946"/>
      <c r="I105" s="706">
        <v>6</v>
      </c>
      <c r="J105" s="852"/>
      <c r="K105" s="826">
        <f>ROUND(I105*J105,0)</f>
        <v>0</v>
      </c>
      <c r="L105" s="732">
        <f t="shared" si="80"/>
        <v>0</v>
      </c>
      <c r="M105" s="732">
        <f t="shared" si="82"/>
        <v>0</v>
      </c>
      <c r="N105" s="723">
        <f t="shared" si="83"/>
        <v>0</v>
      </c>
      <c r="O105" s="733">
        <f t="shared" si="84"/>
        <v>0</v>
      </c>
      <c r="P105" s="732">
        <f>ROUND(N105*10%,0)</f>
        <v>0</v>
      </c>
      <c r="Q105" s="732"/>
      <c r="R105" s="732">
        <f>IFERROR(N105-P105,"")</f>
        <v>0</v>
      </c>
      <c r="S105" s="733">
        <f t="shared" si="85"/>
        <v>0</v>
      </c>
      <c r="T105" s="734">
        <f>+O105+S105</f>
        <v>0</v>
      </c>
      <c r="U105" s="734">
        <f t="shared" si="81"/>
        <v>0</v>
      </c>
      <c r="V105" s="706" t="s">
        <v>95</v>
      </c>
    </row>
    <row r="106" spans="1:30" s="821" customFormat="1" ht="24.95" customHeight="1" outlineLevel="1">
      <c r="A106" s="821">
        <v>10</v>
      </c>
      <c r="B106" s="822" t="s">
        <v>303</v>
      </c>
      <c r="C106" s="944" t="s">
        <v>302</v>
      </c>
      <c r="D106" s="945"/>
      <c r="E106" s="945"/>
      <c r="F106" s="945"/>
      <c r="G106" s="945"/>
      <c r="H106" s="946"/>
      <c r="I106" s="706">
        <v>6</v>
      </c>
      <c r="J106" s="852"/>
      <c r="K106" s="826">
        <f>ROUND(I106*J106,0)</f>
        <v>0</v>
      </c>
      <c r="L106" s="732">
        <f t="shared" si="80"/>
        <v>0</v>
      </c>
      <c r="M106" s="732">
        <f t="shared" si="82"/>
        <v>0</v>
      </c>
      <c r="N106" s="723">
        <f t="shared" si="83"/>
        <v>0</v>
      </c>
      <c r="O106" s="733">
        <f t="shared" ref="O106:O113" si="87">ROUND(L106*$O$93,0)</f>
        <v>0</v>
      </c>
      <c r="P106" s="733"/>
      <c r="Q106" s="732">
        <f t="shared" ref="Q106:Q112" si="88">IFERROR(L106+M106,"")</f>
        <v>0</v>
      </c>
      <c r="R106" s="733"/>
      <c r="S106" s="733">
        <f t="shared" ref="S106:S113" si="89">ROUND(M106*$S$93,0)</f>
        <v>0</v>
      </c>
      <c r="T106" s="734">
        <f t="shared" ref="T106:T113" si="90">+O106+S106</f>
        <v>0</v>
      </c>
      <c r="U106" s="734">
        <f t="shared" si="81"/>
        <v>0</v>
      </c>
      <c r="V106" s="706" t="s">
        <v>95</v>
      </c>
    </row>
    <row r="107" spans="1:30" s="821" customFormat="1" ht="24.95" customHeight="1" outlineLevel="1">
      <c r="A107" s="821">
        <v>10</v>
      </c>
      <c r="B107" s="822" t="s">
        <v>305</v>
      </c>
      <c r="C107" s="944" t="s">
        <v>304</v>
      </c>
      <c r="D107" s="945"/>
      <c r="E107" s="945"/>
      <c r="F107" s="945"/>
      <c r="G107" s="945"/>
      <c r="H107" s="946"/>
      <c r="I107" s="706">
        <v>6</v>
      </c>
      <c r="J107" s="852"/>
      <c r="K107" s="826">
        <f>ROUND(I107*J107,0)</f>
        <v>0</v>
      </c>
      <c r="L107" s="732">
        <f t="shared" si="80"/>
        <v>0</v>
      </c>
      <c r="M107" s="732">
        <f t="shared" si="82"/>
        <v>0</v>
      </c>
      <c r="N107" s="723">
        <f t="shared" si="83"/>
        <v>0</v>
      </c>
      <c r="O107" s="733">
        <f t="shared" si="87"/>
        <v>0</v>
      </c>
      <c r="P107" s="733"/>
      <c r="Q107" s="732">
        <f t="shared" si="88"/>
        <v>0</v>
      </c>
      <c r="R107" s="733"/>
      <c r="S107" s="733">
        <f t="shared" si="89"/>
        <v>0</v>
      </c>
      <c r="T107" s="734">
        <f t="shared" si="90"/>
        <v>0</v>
      </c>
      <c r="U107" s="734">
        <f t="shared" si="81"/>
        <v>0</v>
      </c>
      <c r="V107" s="706" t="s">
        <v>95</v>
      </c>
    </row>
    <row r="108" spans="1:30" s="821" customFormat="1" ht="12.75" outlineLevel="1">
      <c r="B108" s="822" t="s">
        <v>307</v>
      </c>
      <c r="C108" s="977" t="s">
        <v>802</v>
      </c>
      <c r="D108" s="978"/>
      <c r="E108" s="978"/>
      <c r="F108" s="978"/>
      <c r="G108" s="978"/>
      <c r="H108" s="979"/>
      <c r="I108" s="706">
        <v>6</v>
      </c>
      <c r="J108" s="852"/>
      <c r="K108" s="826">
        <f>ROUND(I108*J108,0)</f>
        <v>0</v>
      </c>
      <c r="L108" s="732">
        <f t="shared" si="80"/>
        <v>0</v>
      </c>
      <c r="M108" s="732">
        <f t="shared" si="82"/>
        <v>0</v>
      </c>
      <c r="N108" s="723">
        <f t="shared" si="83"/>
        <v>0</v>
      </c>
      <c r="O108" s="733">
        <f t="shared" si="87"/>
        <v>0</v>
      </c>
      <c r="P108" s="733"/>
      <c r="Q108" s="732">
        <f t="shared" si="88"/>
        <v>0</v>
      </c>
      <c r="R108" s="733"/>
      <c r="S108" s="733">
        <f t="shared" si="89"/>
        <v>0</v>
      </c>
      <c r="T108" s="734">
        <f t="shared" si="90"/>
        <v>0</v>
      </c>
      <c r="U108" s="734">
        <f t="shared" si="81"/>
        <v>0</v>
      </c>
      <c r="V108" s="706" t="s">
        <v>95</v>
      </c>
    </row>
    <row r="109" spans="1:30" s="821" customFormat="1" ht="24.95" customHeight="1" outlineLevel="1">
      <c r="A109" s="821">
        <v>10</v>
      </c>
      <c r="B109" s="822" t="s">
        <v>309</v>
      </c>
      <c r="C109" s="944" t="s">
        <v>306</v>
      </c>
      <c r="D109" s="945"/>
      <c r="E109" s="945"/>
      <c r="F109" s="945"/>
      <c r="G109" s="945"/>
      <c r="H109" s="946"/>
      <c r="I109" s="706" t="s">
        <v>297</v>
      </c>
      <c r="J109" s="852"/>
      <c r="K109" s="826">
        <f>+J109</f>
        <v>0</v>
      </c>
      <c r="L109" s="732">
        <f t="shared" si="80"/>
        <v>0</v>
      </c>
      <c r="M109" s="732">
        <f t="shared" si="82"/>
        <v>0</v>
      </c>
      <c r="N109" s="723">
        <f t="shared" si="83"/>
        <v>0</v>
      </c>
      <c r="O109" s="733">
        <f t="shared" si="87"/>
        <v>0</v>
      </c>
      <c r="P109" s="733"/>
      <c r="Q109" s="732">
        <f t="shared" si="88"/>
        <v>0</v>
      </c>
      <c r="R109" s="733"/>
      <c r="S109" s="733">
        <f t="shared" si="89"/>
        <v>0</v>
      </c>
      <c r="T109" s="734">
        <f t="shared" si="90"/>
        <v>0</v>
      </c>
      <c r="U109" s="734">
        <f t="shared" si="81"/>
        <v>0</v>
      </c>
      <c r="V109" s="706" t="s">
        <v>95</v>
      </c>
    </row>
    <row r="110" spans="1:30" s="821" customFormat="1" ht="24.95" customHeight="1" outlineLevel="1">
      <c r="A110" s="821">
        <v>10</v>
      </c>
      <c r="B110" s="822" t="s">
        <v>803</v>
      </c>
      <c r="C110" s="944" t="s">
        <v>308</v>
      </c>
      <c r="D110" s="945"/>
      <c r="E110" s="945"/>
      <c r="F110" s="945"/>
      <c r="G110" s="945"/>
      <c r="H110" s="946"/>
      <c r="I110" s="706" t="s">
        <v>297</v>
      </c>
      <c r="J110" s="852"/>
      <c r="K110" s="826">
        <f>+J110</f>
        <v>0</v>
      </c>
      <c r="L110" s="732">
        <f t="shared" si="80"/>
        <v>0</v>
      </c>
      <c r="M110" s="732">
        <f t="shared" si="82"/>
        <v>0</v>
      </c>
      <c r="N110" s="723">
        <f t="shared" si="83"/>
        <v>0</v>
      </c>
      <c r="O110" s="733">
        <f t="shared" si="87"/>
        <v>0</v>
      </c>
      <c r="P110" s="733"/>
      <c r="Q110" s="732">
        <f t="shared" si="88"/>
        <v>0</v>
      </c>
      <c r="R110" s="733"/>
      <c r="S110" s="733">
        <f t="shared" si="89"/>
        <v>0</v>
      </c>
      <c r="T110" s="734">
        <f t="shared" si="90"/>
        <v>0</v>
      </c>
      <c r="U110" s="734">
        <f t="shared" si="81"/>
        <v>0</v>
      </c>
      <c r="V110" s="706" t="s">
        <v>95</v>
      </c>
    </row>
    <row r="111" spans="1:30" s="821" customFormat="1" ht="24.95" customHeight="1" outlineLevel="1">
      <c r="A111" s="821">
        <v>10</v>
      </c>
      <c r="B111" s="822" t="s">
        <v>311</v>
      </c>
      <c r="C111" s="944" t="s">
        <v>310</v>
      </c>
      <c r="D111" s="945"/>
      <c r="E111" s="945"/>
      <c r="F111" s="945"/>
      <c r="G111" s="945"/>
      <c r="H111" s="946"/>
      <c r="I111" s="706" t="s">
        <v>297</v>
      </c>
      <c r="J111" s="852"/>
      <c r="K111" s="826">
        <f>+J111</f>
        <v>0</v>
      </c>
      <c r="L111" s="732">
        <f t="shared" si="80"/>
        <v>0</v>
      </c>
      <c r="M111" s="732">
        <f t="shared" si="82"/>
        <v>0</v>
      </c>
      <c r="N111" s="723">
        <f t="shared" si="83"/>
        <v>0</v>
      </c>
      <c r="O111" s="733">
        <f t="shared" si="87"/>
        <v>0</v>
      </c>
      <c r="P111" s="733"/>
      <c r="Q111" s="732">
        <f t="shared" si="88"/>
        <v>0</v>
      </c>
      <c r="R111" s="733"/>
      <c r="S111" s="733">
        <f t="shared" si="89"/>
        <v>0</v>
      </c>
      <c r="T111" s="734">
        <f t="shared" si="90"/>
        <v>0</v>
      </c>
      <c r="U111" s="734">
        <f t="shared" si="81"/>
        <v>0</v>
      </c>
      <c r="V111" s="706" t="s">
        <v>95</v>
      </c>
    </row>
    <row r="112" spans="1:30" s="821" customFormat="1" ht="24.95" customHeight="1" outlineLevel="1">
      <c r="A112" s="821">
        <v>10</v>
      </c>
      <c r="B112" s="822" t="s">
        <v>809</v>
      </c>
      <c r="C112" s="944" t="s">
        <v>804</v>
      </c>
      <c r="D112" s="945"/>
      <c r="E112" s="945"/>
      <c r="F112" s="945"/>
      <c r="G112" s="945"/>
      <c r="H112" s="946"/>
      <c r="I112" s="706" t="s">
        <v>297</v>
      </c>
      <c r="J112" s="853">
        <v>179820000</v>
      </c>
      <c r="K112" s="826">
        <f>+J112</f>
        <v>179820000</v>
      </c>
      <c r="L112" s="719">
        <f t="shared" si="80"/>
        <v>179820000</v>
      </c>
      <c r="M112" s="732">
        <f t="shared" si="82"/>
        <v>14385600</v>
      </c>
      <c r="N112" s="723">
        <f>+L112+M112</f>
        <v>194205600</v>
      </c>
      <c r="O112" s="733">
        <f>ROUND(L112*10%*$O$93,0)</f>
        <v>3416580</v>
      </c>
      <c r="P112" s="732">
        <f>ROUND(N112*10%,0)</f>
        <v>19420560</v>
      </c>
      <c r="Q112" s="719">
        <f t="shared" si="88"/>
        <v>194205600</v>
      </c>
      <c r="R112" s="732">
        <f>IFERROR(N112-P112,"")</f>
        <v>174785040</v>
      </c>
      <c r="S112" s="733">
        <f>ROUND(M112*10%*$S$93,0)</f>
        <v>273326</v>
      </c>
      <c r="T112" s="734">
        <f>+O112+S112</f>
        <v>3689906</v>
      </c>
      <c r="U112" s="734">
        <f t="shared" si="81"/>
        <v>197895506</v>
      </c>
      <c r="V112" s="706" t="s">
        <v>100</v>
      </c>
    </row>
    <row r="113" spans="2:30" s="821" customFormat="1" ht="24.95" customHeight="1" outlineLevel="1">
      <c r="B113" s="822" t="s">
        <v>810</v>
      </c>
      <c r="C113" s="944" t="s">
        <v>805</v>
      </c>
      <c r="D113" s="945"/>
      <c r="E113" s="945"/>
      <c r="F113" s="945"/>
      <c r="G113" s="945"/>
      <c r="H113" s="946"/>
      <c r="I113" s="706" t="s">
        <v>297</v>
      </c>
      <c r="J113" s="853">
        <v>162000000</v>
      </c>
      <c r="K113" s="826">
        <f>J113</f>
        <v>162000000</v>
      </c>
      <c r="L113" s="732">
        <f t="shared" si="80"/>
        <v>162000000</v>
      </c>
      <c r="M113" s="732">
        <f t="shared" si="82"/>
        <v>12960000</v>
      </c>
      <c r="N113" s="723">
        <f t="shared" ref="N113" si="91">+L113+M113</f>
        <v>174960000</v>
      </c>
      <c r="O113" s="733">
        <f t="shared" si="87"/>
        <v>30780000</v>
      </c>
      <c r="P113" s="733"/>
      <c r="Q113" s="732">
        <f>IFERROR(L113+M113,"")</f>
        <v>174960000</v>
      </c>
      <c r="R113" s="733"/>
      <c r="S113" s="733">
        <f t="shared" si="89"/>
        <v>2462400</v>
      </c>
      <c r="T113" s="734">
        <f t="shared" si="90"/>
        <v>33242400</v>
      </c>
      <c r="U113" s="734">
        <f t="shared" si="81"/>
        <v>208202400</v>
      </c>
      <c r="V113" s="706" t="s">
        <v>95</v>
      </c>
    </row>
    <row r="114" spans="2:30" ht="24.95" customHeight="1">
      <c r="B114" s="85" t="s">
        <v>287</v>
      </c>
      <c r="C114" s="954" t="s">
        <v>312</v>
      </c>
      <c r="D114" s="954"/>
      <c r="E114" s="954"/>
      <c r="F114" s="954"/>
      <c r="G114" s="954"/>
      <c r="H114" s="954"/>
      <c r="I114" s="954"/>
      <c r="J114" s="954"/>
      <c r="K114" s="817">
        <f t="shared" ref="K114:U114" si="92">SUM(K100:K113)</f>
        <v>341820000</v>
      </c>
      <c r="L114" s="827">
        <f t="shared" si="92"/>
        <v>341820000</v>
      </c>
      <c r="M114" s="817">
        <f t="shared" si="92"/>
        <v>27345600</v>
      </c>
      <c r="N114" s="840">
        <f t="shared" si="92"/>
        <v>369165600</v>
      </c>
      <c r="O114" s="817">
        <f t="shared" si="92"/>
        <v>34196580</v>
      </c>
      <c r="P114" s="817">
        <f t="shared" si="92"/>
        <v>19420560</v>
      </c>
      <c r="Q114" s="817">
        <f t="shared" si="92"/>
        <v>369165600</v>
      </c>
      <c r="R114" s="817">
        <f t="shared" si="92"/>
        <v>174785040</v>
      </c>
      <c r="S114" s="817">
        <f t="shared" si="92"/>
        <v>2735726</v>
      </c>
      <c r="T114" s="817">
        <f t="shared" si="92"/>
        <v>36932306</v>
      </c>
      <c r="U114" s="817">
        <f t="shared" si="92"/>
        <v>406097906</v>
      </c>
      <c r="V114" s="60" t="s">
        <v>313</v>
      </c>
      <c r="AC114" s="1"/>
      <c r="AD114" s="1"/>
    </row>
    <row r="115" spans="2:30" ht="24.95" customHeight="1">
      <c r="B115" s="87" t="s">
        <v>274</v>
      </c>
      <c r="C115" s="947" t="s">
        <v>314</v>
      </c>
      <c r="D115" s="948"/>
      <c r="E115" s="948"/>
      <c r="F115" s="948"/>
      <c r="G115" s="948"/>
      <c r="H115" s="948"/>
      <c r="I115" s="948"/>
      <c r="J115" s="949"/>
      <c r="K115" s="829">
        <f>K98+K114</f>
        <v>341820000</v>
      </c>
      <c r="L115" s="828">
        <f>L98+L114</f>
        <v>341820000</v>
      </c>
      <c r="M115" s="829">
        <f t="shared" ref="M115:U115" si="93">+M98+M114</f>
        <v>27345600</v>
      </c>
      <c r="N115" s="830">
        <f t="shared" si="93"/>
        <v>369165600</v>
      </c>
      <c r="O115" s="829">
        <f t="shared" si="93"/>
        <v>34196580</v>
      </c>
      <c r="P115" s="829">
        <f t="shared" si="93"/>
        <v>19420560</v>
      </c>
      <c r="Q115" s="829">
        <f t="shared" si="93"/>
        <v>369165600</v>
      </c>
      <c r="R115" s="829">
        <f t="shared" si="93"/>
        <v>174785040</v>
      </c>
      <c r="S115" s="829">
        <f t="shared" si="93"/>
        <v>2735726</v>
      </c>
      <c r="T115" s="829">
        <f>+T98+T114</f>
        <v>36932306</v>
      </c>
      <c r="U115" s="831">
        <f t="shared" si="93"/>
        <v>406097906</v>
      </c>
      <c r="V115" s="53"/>
      <c r="X115" s="808"/>
      <c r="AC115" s="1"/>
      <c r="AD115" s="1"/>
    </row>
    <row r="116" spans="2:30" ht="14.25" customHeight="1">
      <c r="J116" s="2"/>
      <c r="L116" s="788"/>
      <c r="M116" s="788"/>
      <c r="N116" s="791"/>
      <c r="O116" s="788"/>
      <c r="P116" s="788"/>
      <c r="Q116" s="788"/>
      <c r="R116" s="788"/>
      <c r="S116" s="788"/>
      <c r="T116" s="788"/>
      <c r="U116" s="790" t="s">
        <v>649</v>
      </c>
      <c r="V116" s="3"/>
      <c r="X116" s="808"/>
      <c r="AC116" s="1"/>
      <c r="AD116" s="1"/>
    </row>
    <row r="117" spans="2:30" ht="24.95" customHeight="1">
      <c r="B117" s="88">
        <v>2</v>
      </c>
      <c r="C117" s="950" t="s">
        <v>315</v>
      </c>
      <c r="D117" s="951"/>
      <c r="E117" s="951"/>
      <c r="F117" s="951"/>
      <c r="G117" s="951"/>
      <c r="H117" s="951"/>
      <c r="I117" s="951"/>
      <c r="J117" s="952"/>
      <c r="K117" s="784">
        <f>+K89+K115</f>
        <v>411186617.19599998</v>
      </c>
      <c r="L117" s="841">
        <f t="shared" ref="L117:S117" si="94">+L89+L115</f>
        <v>411186617.19599998</v>
      </c>
      <c r="M117" s="784">
        <f>+M89+M115</f>
        <v>32894929</v>
      </c>
      <c r="N117" s="842">
        <f t="shared" si="94"/>
        <v>444081546.19599998</v>
      </c>
      <c r="O117" s="784">
        <f t="shared" si="94"/>
        <v>34196580</v>
      </c>
      <c r="P117" s="784">
        <f t="shared" si="94"/>
        <v>19420560</v>
      </c>
      <c r="Q117" s="784">
        <f t="shared" si="94"/>
        <v>444081546.19599998</v>
      </c>
      <c r="R117" s="784">
        <f t="shared" si="94"/>
        <v>174785040</v>
      </c>
      <c r="S117" s="784">
        <f t="shared" si="94"/>
        <v>2735726</v>
      </c>
      <c r="T117" s="784">
        <f>+T89+T115</f>
        <v>51166336</v>
      </c>
      <c r="U117" s="843">
        <f>+U89+U115</f>
        <v>495247882.19599998</v>
      </c>
      <c r="V117" s="23"/>
      <c r="X117" s="808"/>
      <c r="AC117" s="1"/>
      <c r="AD117" s="1"/>
    </row>
    <row r="118" spans="2:30" ht="44.25" customHeight="1">
      <c r="E118" s="788"/>
      <c r="F118" s="788"/>
      <c r="G118" s="788"/>
      <c r="H118" s="788"/>
      <c r="I118" s="788"/>
      <c r="J118" s="788"/>
      <c r="K118" s="788"/>
      <c r="L118" s="789"/>
      <c r="M118" s="789"/>
      <c r="N118" s="788" t="s">
        <v>316</v>
      </c>
      <c r="O118" s="789"/>
      <c r="P118" s="788"/>
      <c r="Q118" s="788"/>
      <c r="R118" s="788"/>
      <c r="S118" s="788"/>
      <c r="T118" s="790"/>
      <c r="U118" s="790"/>
      <c r="V118" s="790"/>
      <c r="W118" s="788"/>
      <c r="X118" s="788"/>
      <c r="Y118" s="788"/>
      <c r="Z118" s="788"/>
      <c r="AA118" s="791"/>
      <c r="AB118" s="790"/>
      <c r="AC118" s="790"/>
    </row>
    <row r="119" spans="2:30" ht="27" customHeight="1" thickBot="1">
      <c r="B119" s="133"/>
      <c r="C119" s="133"/>
      <c r="D119" s="133"/>
      <c r="E119" s="133"/>
      <c r="F119" s="133"/>
      <c r="G119" s="133"/>
      <c r="H119" s="133"/>
      <c r="I119" s="133"/>
      <c r="J119" s="133"/>
      <c r="K119" s="133"/>
      <c r="L119" s="133"/>
      <c r="M119" s="133"/>
      <c r="N119" s="133"/>
      <c r="O119" s="133"/>
      <c r="P119" s="133"/>
      <c r="Q119" s="133"/>
      <c r="R119" s="133"/>
      <c r="S119" s="133"/>
      <c r="T119" s="133"/>
      <c r="U119" s="133"/>
      <c r="V119" s="792"/>
      <c r="W119" s="133"/>
      <c r="X119" s="133"/>
      <c r="Y119" s="133"/>
      <c r="Z119" s="133"/>
      <c r="AA119" s="793" t="s">
        <v>649</v>
      </c>
      <c r="AB119" s="133"/>
      <c r="AC119" s="792"/>
      <c r="AD119" s="794"/>
    </row>
    <row r="120" spans="2:30" s="97" customFormat="1" ht="26.25" customHeight="1" thickTop="1" thickBot="1">
      <c r="B120" s="892" t="s">
        <v>2</v>
      </c>
      <c r="C120" s="892"/>
      <c r="D120" s="973" t="s">
        <v>2</v>
      </c>
      <c r="E120" s="973"/>
      <c r="F120" s="973"/>
      <c r="G120" s="973"/>
      <c r="H120" s="973"/>
      <c r="I120" s="973"/>
      <c r="J120" s="973"/>
      <c r="L120" s="974" t="s">
        <v>317</v>
      </c>
      <c r="M120" s="974"/>
      <c r="N120" s="975" t="s">
        <v>6</v>
      </c>
      <c r="O120" s="975"/>
      <c r="P120" s="975"/>
      <c r="Q120" s="975"/>
      <c r="R120" s="975"/>
      <c r="S120" s="975"/>
      <c r="T120" s="976" t="s">
        <v>5</v>
      </c>
      <c r="V120" s="795" t="s">
        <v>649</v>
      </c>
      <c r="AB120" s="796"/>
      <c r="AC120" s="796"/>
      <c r="AD120" s="797"/>
    </row>
    <row r="121" spans="2:30" s="97" customFormat="1" ht="59.25" customHeight="1" thickTop="1" thickBot="1">
      <c r="B121" s="892"/>
      <c r="C121" s="892"/>
      <c r="D121" s="972" t="s">
        <v>6</v>
      </c>
      <c r="E121" s="894" t="s">
        <v>7</v>
      </c>
      <c r="F121" s="894"/>
      <c r="G121" s="894"/>
      <c r="H121" s="894"/>
      <c r="I121" s="98" t="s">
        <v>8</v>
      </c>
      <c r="J121" s="96" t="s">
        <v>9</v>
      </c>
      <c r="L121" s="974"/>
      <c r="M121" s="974"/>
      <c r="N121" s="972" t="s">
        <v>6</v>
      </c>
      <c r="O121" s="861" t="s">
        <v>10</v>
      </c>
      <c r="P121" s="861"/>
      <c r="Q121" s="861"/>
      <c r="R121" s="861"/>
      <c r="S121" s="94" t="s">
        <v>318</v>
      </c>
      <c r="T121" s="976"/>
      <c r="AC121" s="170" t="s">
        <v>649</v>
      </c>
      <c r="AD121" s="171"/>
    </row>
    <row r="122" spans="2:30" s="97" customFormat="1" ht="26.25" customHeight="1" thickTop="1" thickBot="1">
      <c r="B122" s="892"/>
      <c r="C122" s="892"/>
      <c r="D122" s="972"/>
      <c r="E122" s="953" t="s">
        <v>12</v>
      </c>
      <c r="F122" s="953"/>
      <c r="G122" s="953"/>
      <c r="H122" s="953"/>
      <c r="I122" s="107">
        <f>+AC44</f>
        <v>3635353546.5599999</v>
      </c>
      <c r="J122" s="99" t="s">
        <v>13</v>
      </c>
      <c r="L122" s="974"/>
      <c r="M122" s="974"/>
      <c r="N122" s="972"/>
      <c r="O122" s="953" t="s">
        <v>14</v>
      </c>
      <c r="P122" s="953"/>
      <c r="Q122" s="953"/>
      <c r="R122" s="953"/>
      <c r="S122" s="93">
        <f>+I122+I131</f>
        <v>3724503522.756</v>
      </c>
      <c r="T122" s="93">
        <v>1324301528</v>
      </c>
      <c r="W122" s="982"/>
      <c r="X122" s="982"/>
      <c r="Y122" s="982"/>
      <c r="Z122" s="982"/>
      <c r="AA122" s="982"/>
      <c r="AB122" s="982"/>
      <c r="AC122" s="982"/>
      <c r="AD122" s="982"/>
    </row>
    <row r="123" spans="2:30" s="97" customFormat="1" ht="26.25" customHeight="1" thickTop="1" thickBot="1">
      <c r="B123" s="892"/>
      <c r="C123" s="892"/>
      <c r="D123" s="972"/>
      <c r="E123" s="953" t="s">
        <v>94</v>
      </c>
      <c r="F123" s="953"/>
      <c r="G123" s="953"/>
      <c r="H123" s="953"/>
      <c r="I123" s="91">
        <f>AC61</f>
        <v>764921256</v>
      </c>
      <c r="J123" s="99" t="s">
        <v>95</v>
      </c>
      <c r="L123" s="974"/>
      <c r="M123" s="974"/>
      <c r="N123" s="972"/>
      <c r="O123" s="953" t="s">
        <v>88</v>
      </c>
      <c r="P123" s="953"/>
      <c r="Q123" s="953"/>
      <c r="R123" s="953"/>
      <c r="S123" s="93">
        <f>+I123+I132</f>
        <v>973123656</v>
      </c>
      <c r="T123" s="93">
        <v>446394854</v>
      </c>
    </row>
    <row r="124" spans="2:30" s="97" customFormat="1" ht="26.25" customHeight="1" thickTop="1" thickBot="1">
      <c r="B124" s="892"/>
      <c r="C124" s="892"/>
      <c r="D124" s="972"/>
      <c r="E124" s="953" t="s">
        <v>15</v>
      </c>
      <c r="F124" s="953"/>
      <c r="G124" s="953"/>
      <c r="H124" s="953"/>
      <c r="I124" s="107">
        <f>U70</f>
        <v>0</v>
      </c>
      <c r="J124" s="99" t="s">
        <v>16</v>
      </c>
      <c r="L124" s="974"/>
      <c r="M124" s="974"/>
      <c r="N124" s="972"/>
      <c r="O124" s="953" t="s">
        <v>17</v>
      </c>
      <c r="P124" s="953"/>
      <c r="Q124" s="953"/>
      <c r="R124" s="953"/>
      <c r="S124" s="93">
        <f>+I124+I126</f>
        <v>0</v>
      </c>
      <c r="T124" s="93">
        <v>92529562</v>
      </c>
    </row>
    <row r="125" spans="2:30" s="97" customFormat="1" ht="26.25" customHeight="1" thickTop="1" thickBot="1">
      <c r="B125" s="892"/>
      <c r="C125" s="892"/>
      <c r="D125" s="972"/>
      <c r="E125" s="953" t="s">
        <v>96</v>
      </c>
      <c r="F125" s="953"/>
      <c r="G125" s="953"/>
      <c r="H125" s="953"/>
      <c r="I125" s="91">
        <f>U95</f>
        <v>0</v>
      </c>
      <c r="J125" s="99" t="s">
        <v>97</v>
      </c>
      <c r="L125" s="974"/>
      <c r="M125" s="974"/>
      <c r="N125" s="972"/>
      <c r="O125" s="953" t="s">
        <v>89</v>
      </c>
      <c r="P125" s="953"/>
      <c r="Q125" s="953"/>
      <c r="R125" s="953"/>
      <c r="S125" s="93">
        <f>+I125+I127</f>
        <v>0</v>
      </c>
      <c r="T125" s="93">
        <v>32573369</v>
      </c>
    </row>
    <row r="126" spans="2:30" s="97" customFormat="1" ht="26.25" customHeight="1" thickTop="1" thickBot="1">
      <c r="B126" s="892"/>
      <c r="C126" s="892"/>
      <c r="D126" s="972"/>
      <c r="E126" s="953" t="s">
        <v>18</v>
      </c>
      <c r="F126" s="953"/>
      <c r="G126" s="953"/>
      <c r="H126" s="953"/>
      <c r="I126" s="107">
        <f>U71</f>
        <v>0</v>
      </c>
      <c r="J126" s="99" t="s">
        <v>16</v>
      </c>
      <c r="L126" s="974"/>
      <c r="M126" s="974"/>
      <c r="N126" s="972"/>
      <c r="O126" s="953" t="s">
        <v>19</v>
      </c>
      <c r="P126" s="953"/>
      <c r="Q126" s="953"/>
      <c r="R126" s="953"/>
      <c r="S126" s="93">
        <f>+I128</f>
        <v>0</v>
      </c>
      <c r="T126" s="93">
        <v>139823033</v>
      </c>
    </row>
    <row r="127" spans="2:30" s="97" customFormat="1" ht="26.25" customHeight="1" thickTop="1" thickBot="1">
      <c r="B127" s="892"/>
      <c r="C127" s="892"/>
      <c r="D127" s="972"/>
      <c r="E127" s="953" t="s">
        <v>98</v>
      </c>
      <c r="F127" s="953"/>
      <c r="G127" s="953"/>
      <c r="H127" s="953"/>
      <c r="I127" s="91">
        <f>U96</f>
        <v>0</v>
      </c>
      <c r="J127" s="99" t="s">
        <v>97</v>
      </c>
      <c r="L127" s="974"/>
      <c r="M127" s="974"/>
      <c r="N127" s="972"/>
      <c r="O127" s="953" t="s">
        <v>90</v>
      </c>
      <c r="P127" s="953"/>
      <c r="Q127" s="953"/>
      <c r="R127" s="953"/>
      <c r="S127" s="851">
        <f>+I129+I130</f>
        <v>197895506</v>
      </c>
      <c r="T127" s="93">
        <v>32310600</v>
      </c>
    </row>
    <row r="128" spans="2:30" s="97" customFormat="1" ht="36" customHeight="1" thickTop="1" thickBot="1">
      <c r="B128" s="892"/>
      <c r="C128" s="892"/>
      <c r="D128" s="972"/>
      <c r="E128" s="953" t="s">
        <v>20</v>
      </c>
      <c r="F128" s="953"/>
      <c r="G128" s="953"/>
      <c r="H128" s="953"/>
      <c r="I128" s="107">
        <f>SUM(U72:U78)</f>
        <v>0</v>
      </c>
      <c r="J128" s="99" t="s">
        <v>21</v>
      </c>
      <c r="L128" s="974"/>
      <c r="M128" s="974"/>
      <c r="N128" s="972"/>
      <c r="O128" s="861" t="s">
        <v>22</v>
      </c>
      <c r="P128" s="861"/>
      <c r="Q128" s="861"/>
      <c r="R128" s="861"/>
      <c r="S128" s="95">
        <f>SUM(S122:S127)</f>
        <v>4895522684.7560005</v>
      </c>
      <c r="T128" s="95">
        <f>SUM(T122:T127)</f>
        <v>2067932946</v>
      </c>
    </row>
    <row r="129" spans="2:30" s="97" customFormat="1" ht="26.25" customHeight="1" thickTop="1" thickBot="1">
      <c r="B129" s="892"/>
      <c r="C129" s="892"/>
      <c r="D129" s="972"/>
      <c r="E129" s="953" t="s">
        <v>99</v>
      </c>
      <c r="F129" s="953"/>
      <c r="G129" s="953"/>
      <c r="H129" s="953"/>
      <c r="I129" s="91">
        <f>U97</f>
        <v>0</v>
      </c>
      <c r="J129" s="99" t="s">
        <v>100</v>
      </c>
    </row>
    <row r="130" spans="2:30" s="97" customFormat="1" ht="26.25" customHeight="1" thickTop="1" thickBot="1">
      <c r="B130" s="892"/>
      <c r="C130" s="892"/>
      <c r="D130" s="972"/>
      <c r="E130" s="953" t="s">
        <v>806</v>
      </c>
      <c r="F130" s="953"/>
      <c r="G130" s="953"/>
      <c r="H130" s="953"/>
      <c r="I130" s="107">
        <f>U112</f>
        <v>197895506</v>
      </c>
      <c r="J130" s="99" t="s">
        <v>100</v>
      </c>
    </row>
    <row r="131" spans="2:30" s="97" customFormat="1" ht="26.25" customHeight="1" thickTop="1" thickBot="1">
      <c r="B131" s="892"/>
      <c r="C131" s="892"/>
      <c r="D131" s="972"/>
      <c r="E131" s="953" t="s">
        <v>23</v>
      </c>
      <c r="F131" s="953"/>
      <c r="G131" s="953"/>
      <c r="H131" s="953"/>
      <c r="I131" s="91">
        <f>SUM(U81:U87)</f>
        <v>89149976.195999995</v>
      </c>
      <c r="J131" s="99" t="s">
        <v>13</v>
      </c>
    </row>
    <row r="132" spans="2:30" s="97" customFormat="1" ht="26.25" customHeight="1" thickTop="1" thickBot="1">
      <c r="B132" s="892"/>
      <c r="C132" s="892"/>
      <c r="D132" s="972"/>
      <c r="E132" s="953" t="s">
        <v>101</v>
      </c>
      <c r="F132" s="953"/>
      <c r="G132" s="953"/>
      <c r="H132" s="953"/>
      <c r="I132" s="107">
        <f>SUM(U100:U111)+U113</f>
        <v>208202400</v>
      </c>
      <c r="J132" s="99" t="s">
        <v>95</v>
      </c>
    </row>
    <row r="133" spans="2:30" s="97" customFormat="1" ht="26.25" customHeight="1" thickTop="1" thickBot="1">
      <c r="B133" s="892"/>
      <c r="C133" s="892"/>
      <c r="D133" s="972"/>
      <c r="E133" s="861" t="s">
        <v>22</v>
      </c>
      <c r="F133" s="861"/>
      <c r="G133" s="861"/>
      <c r="H133" s="861"/>
      <c r="I133" s="92">
        <f>ROUND((SUM(I122:I132)),0)</f>
        <v>4895522685</v>
      </c>
      <c r="J133" s="100"/>
    </row>
    <row r="134" spans="2:30" ht="9.75" customHeight="1" thickTop="1">
      <c r="B134" s="134"/>
      <c r="C134" s="134"/>
      <c r="D134" s="134"/>
      <c r="E134" s="134"/>
      <c r="F134" s="134"/>
      <c r="G134" s="134"/>
      <c r="H134" s="134"/>
      <c r="I134" s="134"/>
      <c r="J134" s="134"/>
      <c r="K134" s="134"/>
      <c r="L134" s="134"/>
      <c r="M134" s="134"/>
      <c r="N134" s="134"/>
      <c r="O134" s="134"/>
      <c r="P134" s="134"/>
      <c r="Q134" s="134"/>
      <c r="R134" s="134"/>
      <c r="S134" s="134"/>
      <c r="T134" s="134"/>
      <c r="U134" s="134"/>
      <c r="V134" s="134"/>
      <c r="W134" s="134"/>
      <c r="X134" s="134"/>
      <c r="Y134" s="134"/>
      <c r="Z134" s="134"/>
      <c r="AA134" s="134"/>
      <c r="AB134" s="134"/>
      <c r="AC134" s="134"/>
      <c r="AD134" s="134"/>
    </row>
    <row r="135" spans="2:30" ht="43.5" customHeight="1">
      <c r="B135" s="135" t="s">
        <v>319</v>
      </c>
      <c r="C135" s="135"/>
      <c r="D135" s="135"/>
      <c r="E135" s="135"/>
      <c r="F135" s="135"/>
      <c r="G135" s="135"/>
      <c r="H135" s="135"/>
      <c r="I135" s="135"/>
      <c r="J135" s="135"/>
      <c r="K135" s="135"/>
      <c r="L135" s="135"/>
      <c r="M135" s="135"/>
      <c r="N135" s="135"/>
      <c r="O135" s="135"/>
      <c r="P135" s="135"/>
      <c r="Q135" s="135"/>
      <c r="R135" s="135"/>
      <c r="S135" s="135"/>
      <c r="T135" s="135"/>
      <c r="U135" s="135"/>
      <c r="V135" s="135"/>
      <c r="W135" s="135"/>
      <c r="X135" s="135"/>
      <c r="Y135" s="135"/>
      <c r="Z135" s="135"/>
      <c r="AA135" s="135"/>
      <c r="AB135" s="135"/>
      <c r="AC135" s="135"/>
      <c r="AD135" s="135"/>
    </row>
    <row r="136" spans="2:30" ht="33" customHeight="1">
      <c r="B136" s="136" t="s">
        <v>320</v>
      </c>
      <c r="C136" s="136"/>
      <c r="D136" s="136"/>
      <c r="E136" s="136"/>
      <c r="F136" s="136"/>
      <c r="G136" s="136"/>
      <c r="H136" s="136"/>
      <c r="I136" s="136"/>
      <c r="J136" s="136"/>
      <c r="K136" s="136"/>
      <c r="L136" s="136"/>
      <c r="M136" s="136"/>
      <c r="N136" s="136"/>
      <c r="O136" s="136"/>
      <c r="P136" s="136"/>
      <c r="Q136" s="136"/>
      <c r="R136" s="136"/>
      <c r="S136" s="136"/>
      <c r="T136" s="136"/>
      <c r="U136" s="136"/>
      <c r="V136" s="136"/>
      <c r="W136" s="136"/>
      <c r="X136" s="136"/>
      <c r="Y136" s="136"/>
      <c r="Z136" s="136"/>
      <c r="AA136" s="136"/>
      <c r="AB136" s="136"/>
      <c r="AC136" s="136"/>
      <c r="AD136" s="136"/>
    </row>
    <row r="137" spans="2:30">
      <c r="T137" s="13"/>
      <c r="U137" s="13"/>
      <c r="AB137" s="13"/>
    </row>
    <row r="138" spans="2:30" s="97" customFormat="1" ht="41.25" customHeight="1">
      <c r="B138" s="101" t="s">
        <v>333</v>
      </c>
      <c r="C138" s="101"/>
      <c r="D138" s="101"/>
      <c r="E138" s="101"/>
      <c r="F138" s="102"/>
      <c r="G138" s="103"/>
      <c r="H138" s="104"/>
      <c r="I138" s="104"/>
      <c r="J138" s="105"/>
      <c r="L138" s="19"/>
      <c r="M138" s="20"/>
      <c r="N138" s="20"/>
      <c r="O138" s="20"/>
      <c r="P138" s="20"/>
      <c r="Q138" s="20"/>
      <c r="R138" s="20"/>
      <c r="S138" s="20"/>
    </row>
    <row r="139" spans="2:30" s="97" customFormat="1" ht="33.75" customHeight="1">
      <c r="B139" s="101" t="s">
        <v>334</v>
      </c>
      <c r="C139" s="798"/>
      <c r="D139" s="101"/>
      <c r="E139" s="101"/>
      <c r="F139" s="102"/>
      <c r="G139" s="103"/>
      <c r="H139" s="104"/>
      <c r="I139" s="104"/>
      <c r="J139" s="105"/>
    </row>
    <row r="140" spans="2:30" s="97" customFormat="1" ht="33.75" customHeight="1">
      <c r="B140" s="101"/>
      <c r="C140" s="101"/>
      <c r="D140" s="101"/>
      <c r="E140" s="101"/>
      <c r="F140" s="102"/>
      <c r="G140" s="103"/>
      <c r="H140" s="104"/>
      <c r="I140" s="104"/>
      <c r="J140" s="105"/>
    </row>
    <row r="141" spans="2:30" s="97" customFormat="1" ht="26.25" customHeight="1">
      <c r="B141" s="19" t="s">
        <v>335</v>
      </c>
      <c r="C141" s="101"/>
      <c r="D141" s="101"/>
      <c r="E141" s="101"/>
      <c r="F141" s="102"/>
      <c r="G141" s="103"/>
      <c r="H141" s="104"/>
      <c r="I141" s="104"/>
      <c r="J141" s="105"/>
    </row>
    <row r="142" spans="2:30" s="97" customFormat="1" ht="26.25" customHeight="1">
      <c r="B142" s="137" t="s">
        <v>321</v>
      </c>
      <c r="C142" s="137"/>
      <c r="D142" s="137"/>
      <c r="E142" s="137"/>
      <c r="F142" s="137"/>
      <c r="G142" s="137"/>
      <c r="H142" s="137"/>
      <c r="I142" s="137"/>
      <c r="J142" s="137"/>
    </row>
    <row r="143" spans="2:30" s="97" customFormat="1" ht="26.25" customHeight="1">
      <c r="B143" s="138" t="s">
        <v>322</v>
      </c>
      <c r="C143" s="138"/>
      <c r="D143" s="138"/>
      <c r="E143" s="138"/>
      <c r="F143" s="138"/>
      <c r="G143" s="138"/>
      <c r="H143" s="138"/>
      <c r="I143" s="138"/>
      <c r="J143" s="105"/>
    </row>
    <row r="144" spans="2:30" s="97" customFormat="1" ht="26.25" customHeight="1">
      <c r="B144" s="101" t="s">
        <v>323</v>
      </c>
      <c r="C144" s="101"/>
      <c r="D144" s="101"/>
      <c r="E144" s="101"/>
      <c r="F144" s="102"/>
      <c r="G144" s="103"/>
      <c r="H144" s="104"/>
      <c r="I144" s="104"/>
      <c r="J144" s="105"/>
    </row>
    <row r="145" spans="2:30" s="97" customFormat="1" ht="42" customHeight="1">
      <c r="B145" s="139" t="s">
        <v>324</v>
      </c>
      <c r="C145" s="139"/>
      <c r="D145" s="139"/>
      <c r="E145" s="139"/>
      <c r="F145" s="139"/>
      <c r="G145" s="139"/>
      <c r="H145" s="139"/>
      <c r="I145" s="139"/>
      <c r="J145" s="105"/>
    </row>
    <row r="146" spans="2:30" s="97" customFormat="1" ht="69.75" customHeight="1">
      <c r="B146" s="139" t="s">
        <v>325</v>
      </c>
      <c r="C146" s="139"/>
      <c r="D146" s="139"/>
      <c r="E146" s="139"/>
      <c r="F146" s="139"/>
      <c r="G146" s="139"/>
      <c r="H146" s="139"/>
      <c r="I146" s="139"/>
      <c r="J146" s="105"/>
    </row>
    <row r="147" spans="2:30" s="97" customFormat="1" ht="32.25" customHeight="1">
      <c r="B147" s="139" t="s">
        <v>326</v>
      </c>
      <c r="C147" s="139"/>
      <c r="D147" s="139"/>
      <c r="E147" s="139"/>
      <c r="F147" s="139"/>
      <c r="G147" s="139"/>
      <c r="H147" s="139"/>
      <c r="I147" s="139"/>
      <c r="J147" s="105"/>
    </row>
    <row r="148" spans="2:30" s="97" customFormat="1" ht="54.75" customHeight="1">
      <c r="B148" s="139" t="s">
        <v>327</v>
      </c>
      <c r="C148" s="139"/>
      <c r="D148" s="139"/>
      <c r="E148" s="139"/>
      <c r="F148" s="139"/>
      <c r="G148" s="139"/>
      <c r="H148" s="139"/>
      <c r="I148" s="139"/>
      <c r="J148" s="105"/>
    </row>
    <row r="149" spans="2:30" s="97" customFormat="1" ht="114" customHeight="1">
      <c r="B149" s="139" t="s">
        <v>328</v>
      </c>
      <c r="C149" s="139"/>
      <c r="D149" s="139"/>
      <c r="E149" s="139"/>
      <c r="F149" s="139"/>
      <c r="G149" s="139"/>
      <c r="H149" s="139"/>
      <c r="I149" s="139"/>
      <c r="J149" s="105"/>
    </row>
    <row r="150" spans="2:30" s="97" customFormat="1" ht="26.25" customHeight="1">
      <c r="B150" s="139" t="s">
        <v>329</v>
      </c>
      <c r="C150" s="139"/>
      <c r="D150" s="139"/>
      <c r="E150" s="139"/>
      <c r="F150" s="139"/>
      <c r="G150" s="139"/>
      <c r="H150" s="139"/>
      <c r="I150" s="139"/>
      <c r="J150" s="105"/>
    </row>
    <row r="151" spans="2:30" s="800" customFormat="1" ht="34.5" customHeight="1">
      <c r="B151" s="139" t="s">
        <v>330</v>
      </c>
      <c r="C151" s="139"/>
      <c r="D151" s="139"/>
      <c r="E151" s="139"/>
      <c r="F151" s="139"/>
      <c r="G151" s="139"/>
      <c r="H151" s="139"/>
      <c r="I151" s="139"/>
      <c r="J151" s="799"/>
      <c r="K151" s="799"/>
      <c r="L151" s="799"/>
      <c r="M151" s="799"/>
      <c r="N151" s="799"/>
      <c r="O151" s="799"/>
      <c r="P151" s="799"/>
      <c r="Q151" s="799"/>
      <c r="R151" s="799"/>
      <c r="S151" s="799"/>
    </row>
    <row r="152" spans="2:30" s="800" customFormat="1" ht="39" customHeight="1">
      <c r="B152" s="139" t="s">
        <v>331</v>
      </c>
      <c r="C152" s="139"/>
      <c r="D152" s="139"/>
      <c r="E152" s="139"/>
      <c r="F152" s="139"/>
      <c r="G152" s="139"/>
      <c r="H152" s="139"/>
      <c r="I152" s="139"/>
      <c r="J152" s="799"/>
      <c r="K152" s="799"/>
      <c r="L152" s="799"/>
      <c r="M152" s="799"/>
      <c r="N152" s="799"/>
      <c r="O152" s="799"/>
      <c r="P152" s="799"/>
      <c r="Q152" s="799"/>
      <c r="R152" s="799"/>
      <c r="S152" s="799"/>
    </row>
    <row r="153" spans="2:30" s="800" customFormat="1" ht="75" customHeight="1">
      <c r="B153" s="139" t="s">
        <v>332</v>
      </c>
      <c r="C153" s="139"/>
      <c r="D153" s="139"/>
      <c r="E153" s="139"/>
      <c r="F153" s="139"/>
      <c r="G153" s="139"/>
      <c r="H153" s="139"/>
      <c r="I153" s="139"/>
      <c r="J153" s="799"/>
      <c r="K153" s="799"/>
      <c r="L153" s="799"/>
      <c r="M153" s="799"/>
      <c r="N153" s="799"/>
      <c r="O153" s="799"/>
      <c r="P153" s="799"/>
      <c r="Q153" s="799"/>
      <c r="R153" s="799"/>
      <c r="S153" s="799"/>
    </row>
    <row r="154" spans="2:30" s="3" customFormat="1" ht="27" customHeight="1">
      <c r="B154" s="16"/>
      <c r="C154" s="17"/>
      <c r="D154" s="12"/>
      <c r="E154" s="12"/>
      <c r="F154" s="12"/>
      <c r="G154" s="12"/>
      <c r="H154" s="12"/>
      <c r="I154" s="12"/>
      <c r="J154" s="12"/>
      <c r="K154" s="12"/>
      <c r="L154" s="15"/>
      <c r="M154" s="1"/>
      <c r="N154" s="1"/>
      <c r="O154" s="1"/>
      <c r="P154" s="1"/>
      <c r="Q154" s="1"/>
      <c r="R154" s="1"/>
      <c r="S154" s="1"/>
      <c r="T154" s="1"/>
      <c r="AB154" s="1"/>
      <c r="AC154" s="1"/>
      <c r="AD154" s="1"/>
    </row>
    <row r="155" spans="2:30" s="3" customFormat="1" ht="20.25" customHeight="1">
      <c r="B155" s="24"/>
      <c r="C155" s="17"/>
      <c r="D155" s="12"/>
      <c r="E155" s="12"/>
      <c r="F155" s="12"/>
      <c r="G155" s="12"/>
      <c r="H155" s="12"/>
      <c r="I155" s="12"/>
      <c r="J155" s="12"/>
      <c r="K155" s="12"/>
      <c r="L155" s="15"/>
      <c r="M155" s="1"/>
      <c r="N155" s="1"/>
      <c r="O155" s="1"/>
      <c r="P155" s="1"/>
      <c r="Q155" s="1"/>
      <c r="R155" s="1"/>
      <c r="S155" s="1"/>
      <c r="T155" s="1"/>
      <c r="AB155" s="1"/>
      <c r="AC155" s="1"/>
      <c r="AD155" s="1"/>
    </row>
    <row r="156" spans="2:30" s="3" customFormat="1" ht="24" customHeight="1">
      <c r="B156" s="24"/>
      <c r="C156" s="17"/>
      <c r="D156" s="12"/>
      <c r="E156" s="12"/>
      <c r="F156" s="12"/>
      <c r="G156" s="12"/>
      <c r="H156" s="12"/>
      <c r="I156" s="12"/>
      <c r="J156" s="12"/>
      <c r="K156" s="12"/>
      <c r="L156" s="15"/>
      <c r="M156" s="1"/>
      <c r="N156" s="1"/>
      <c r="O156" s="1"/>
      <c r="P156" s="1"/>
      <c r="Q156" s="1"/>
      <c r="R156" s="1"/>
      <c r="S156" s="1"/>
      <c r="T156" s="1"/>
      <c r="V156" s="1"/>
      <c r="W156" s="1"/>
      <c r="X156" s="1"/>
      <c r="Y156" s="1"/>
      <c r="Z156" s="1"/>
      <c r="AA156" s="1"/>
      <c r="AB156" s="1"/>
      <c r="AC156" s="1"/>
      <c r="AD156" s="1"/>
    </row>
    <row r="157" spans="2:30" s="3" customFormat="1" ht="12.75" customHeight="1">
      <c r="B157" s="24"/>
      <c r="C157" s="17"/>
      <c r="D157" s="12"/>
      <c r="E157" s="12"/>
      <c r="F157" s="12"/>
      <c r="G157" s="12"/>
      <c r="H157" s="12"/>
      <c r="I157" s="12"/>
      <c r="J157" s="12"/>
      <c r="K157" s="12"/>
      <c r="L157" s="15"/>
      <c r="M157" s="1"/>
      <c r="N157" s="1"/>
      <c r="O157" s="1"/>
      <c r="P157" s="1"/>
      <c r="Q157" s="1"/>
      <c r="R157" s="1"/>
      <c r="S157" s="1"/>
      <c r="T157" s="1"/>
      <c r="V157" s="1"/>
      <c r="W157" s="1"/>
      <c r="X157" s="1"/>
      <c r="Y157" s="1"/>
      <c r="Z157" s="1"/>
      <c r="AA157" s="1"/>
    </row>
    <row r="158" spans="2:30" s="3" customFormat="1" ht="12.75" customHeight="1">
      <c r="E158" s="12"/>
      <c r="F158" s="12"/>
      <c r="G158" s="12"/>
      <c r="H158" s="12"/>
      <c r="I158" s="12"/>
      <c r="J158" s="12"/>
      <c r="K158" s="12"/>
      <c r="L158" s="15"/>
      <c r="M158" s="1"/>
      <c r="N158" s="1"/>
      <c r="O158" s="1"/>
      <c r="P158" s="1"/>
      <c r="Q158" s="1"/>
      <c r="R158" s="1"/>
      <c r="S158" s="1"/>
      <c r="T158" s="1"/>
      <c r="V158" s="1"/>
      <c r="W158" s="1"/>
      <c r="X158" s="1"/>
      <c r="Y158" s="1"/>
      <c r="Z158" s="1"/>
      <c r="AA158" s="1"/>
      <c r="AB158" s="1"/>
    </row>
    <row r="159" spans="2:30" s="3" customFormat="1" ht="12.75">
      <c r="C159" s="16"/>
      <c r="D159" s="12"/>
      <c r="E159" s="12"/>
      <c r="F159" s="12"/>
      <c r="G159" s="12"/>
      <c r="H159" s="12"/>
      <c r="I159" s="12"/>
      <c r="J159" s="12"/>
      <c r="K159" s="12"/>
      <c r="L159" s="15"/>
      <c r="M159" s="1"/>
      <c r="N159" s="1"/>
      <c r="O159" s="1"/>
      <c r="P159" s="1"/>
      <c r="Q159" s="1"/>
      <c r="R159" s="1"/>
      <c r="S159" s="1"/>
      <c r="T159" s="1"/>
      <c r="AB159" s="1"/>
    </row>
    <row r="160" spans="2:30" s="3" customFormat="1" ht="15">
      <c r="B160" s="16"/>
      <c r="C160" s="21"/>
      <c r="D160" s="21"/>
      <c r="E160" s="21"/>
      <c r="F160" s="21"/>
      <c r="G160" s="21"/>
      <c r="H160" s="21"/>
      <c r="I160" s="21"/>
      <c r="J160" s="21"/>
      <c r="K160" s="12"/>
      <c r="L160" s="15"/>
      <c r="M160" s="1"/>
      <c r="N160" s="1"/>
      <c r="O160" s="1"/>
      <c r="P160" s="1"/>
      <c r="Q160" s="1"/>
      <c r="R160" s="1"/>
      <c r="S160" s="1"/>
      <c r="T160" s="1"/>
      <c r="AB160" s="1"/>
    </row>
    <row r="161" spans="2:28" s="3" customFormat="1" ht="12.75">
      <c r="B161" s="12"/>
      <c r="C161" s="17"/>
      <c r="D161" s="12"/>
      <c r="E161" s="12"/>
      <c r="F161" s="12"/>
      <c r="G161" s="12"/>
      <c r="H161" s="12"/>
      <c r="I161" s="12"/>
      <c r="J161" s="12"/>
      <c r="K161" s="12"/>
      <c r="L161" s="15"/>
      <c r="M161" s="1"/>
      <c r="N161" s="1"/>
      <c r="O161" s="1"/>
      <c r="P161" s="1"/>
      <c r="Q161" s="1"/>
      <c r="R161" s="1"/>
      <c r="S161" s="1"/>
      <c r="T161" s="1"/>
      <c r="U161" s="1"/>
      <c r="V161" s="1"/>
      <c r="W161" s="1"/>
      <c r="X161" s="1"/>
      <c r="Y161" s="1"/>
      <c r="Z161" s="1"/>
      <c r="AA161" s="1"/>
      <c r="AB161" s="1"/>
    </row>
    <row r="162" spans="2:28" s="3" customFormat="1" ht="12.75">
      <c r="B162" s="18"/>
      <c r="C162" s="17"/>
      <c r="D162" s="12"/>
      <c r="E162" s="12"/>
      <c r="F162" s="12"/>
      <c r="G162" s="12"/>
      <c r="H162" s="12"/>
      <c r="I162" s="12"/>
      <c r="J162" s="12"/>
      <c r="K162" s="12"/>
      <c r="L162" s="15"/>
      <c r="M162" s="1"/>
      <c r="N162" s="1"/>
      <c r="O162" s="1"/>
      <c r="P162" s="1"/>
      <c r="Q162" s="1"/>
      <c r="R162" s="1"/>
      <c r="S162" s="1"/>
      <c r="T162" s="1"/>
      <c r="U162" s="1"/>
      <c r="V162" s="1"/>
      <c r="W162" s="1"/>
      <c r="X162" s="1"/>
      <c r="Y162" s="1"/>
      <c r="Z162" s="1"/>
      <c r="AA162" s="1"/>
      <c r="AB162" s="1"/>
    </row>
  </sheetData>
  <autoFilter ref="B11:AE42" xr:uid="{00000000-0009-0000-0000-000004000000}"/>
  <mergeCells count="77">
    <mergeCell ref="B7:AD7"/>
    <mergeCell ref="B1:AD1"/>
    <mergeCell ref="B2:AD2"/>
    <mergeCell ref="B3:AD3"/>
    <mergeCell ref="B4:AD4"/>
    <mergeCell ref="B6:AD6"/>
    <mergeCell ref="C9:AD9"/>
    <mergeCell ref="B11:B12"/>
    <mergeCell ref="C11:C12"/>
    <mergeCell ref="D11:D12"/>
    <mergeCell ref="E11:E12"/>
    <mergeCell ref="F11:F12"/>
    <mergeCell ref="J11:J12"/>
    <mergeCell ref="Q11:Q12"/>
    <mergeCell ref="R11:R12"/>
    <mergeCell ref="V11:V12"/>
    <mergeCell ref="AA11:AA12"/>
    <mergeCell ref="AC11:AC12"/>
    <mergeCell ref="AD11:AD12"/>
    <mergeCell ref="B47:B48"/>
    <mergeCell ref="B120:C133"/>
    <mergeCell ref="D120:J120"/>
    <mergeCell ref="L120:M128"/>
    <mergeCell ref="N120:S120"/>
    <mergeCell ref="N121:N128"/>
    <mergeCell ref="O121:R121"/>
    <mergeCell ref="E122:H122"/>
    <mergeCell ref="O122:R122"/>
    <mergeCell ref="B92:B93"/>
    <mergeCell ref="C92:H93"/>
    <mergeCell ref="C103:H103"/>
    <mergeCell ref="C104:H104"/>
    <mergeCell ref="C105:H105"/>
    <mergeCell ref="C106:H106"/>
    <mergeCell ref="C107:H107"/>
    <mergeCell ref="T120:T121"/>
    <mergeCell ref="D121:D133"/>
    <mergeCell ref="W122:AD122"/>
    <mergeCell ref="E123:H123"/>
    <mergeCell ref="O123:R123"/>
    <mergeCell ref="E124:H124"/>
    <mergeCell ref="O124:R124"/>
    <mergeCell ref="E131:H131"/>
    <mergeCell ref="E132:H132"/>
    <mergeCell ref="E133:H133"/>
    <mergeCell ref="E125:H125"/>
    <mergeCell ref="O125:R125"/>
    <mergeCell ref="E126:H126"/>
    <mergeCell ref="O126:R126"/>
    <mergeCell ref="E127:H127"/>
    <mergeCell ref="O127:R127"/>
    <mergeCell ref="V92:V93"/>
    <mergeCell ref="E128:H128"/>
    <mergeCell ref="O128:R128"/>
    <mergeCell ref="E121:H121"/>
    <mergeCell ref="B67:B68"/>
    <mergeCell ref="V67:V68"/>
    <mergeCell ref="C79:J79"/>
    <mergeCell ref="C88:J88"/>
    <mergeCell ref="C89:J89"/>
    <mergeCell ref="C108:H108"/>
    <mergeCell ref="C95:H95"/>
    <mergeCell ref="C96:H96"/>
    <mergeCell ref="C98:J98"/>
    <mergeCell ref="C100:H100"/>
    <mergeCell ref="C101:H101"/>
    <mergeCell ref="C102:H102"/>
    <mergeCell ref="C115:J115"/>
    <mergeCell ref="C117:J117"/>
    <mergeCell ref="E130:H130"/>
    <mergeCell ref="C109:H109"/>
    <mergeCell ref="C110:H110"/>
    <mergeCell ref="C111:H111"/>
    <mergeCell ref="C112:H112"/>
    <mergeCell ref="C113:H113"/>
    <mergeCell ref="C114:J114"/>
    <mergeCell ref="E129:H129"/>
  </mergeCells>
  <phoneticPr fontId="91" type="noConversion"/>
  <pageMargins left="0.35433070866141736" right="0" top="0.19685039370078741" bottom="0.19685039370078741" header="0" footer="0"/>
  <pageSetup paperSize="5" scale="2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37CDF-B9F8-4CFB-BFE3-5366ADE1A132}">
  <dimension ref="A1:N159"/>
  <sheetViews>
    <sheetView showGridLines="0" workbookViewId="0"/>
  </sheetViews>
  <sheetFormatPr baseColWidth="10" defaultColWidth="11.42578125" defaultRowHeight="12.75"/>
  <cols>
    <col min="1" max="1" width="63.7109375" customWidth="1"/>
    <col min="2" max="2" width="14" customWidth="1"/>
    <col min="3" max="3" width="14.7109375" customWidth="1"/>
    <col min="4" max="4" width="13.42578125" customWidth="1"/>
    <col min="5" max="5" width="14.42578125" customWidth="1"/>
    <col min="6" max="6" width="25.42578125" customWidth="1"/>
    <col min="7" max="7" width="13.42578125" bestFit="1" customWidth="1"/>
    <col min="8" max="8" width="16.42578125" customWidth="1"/>
    <col min="9" max="9" width="14.7109375" customWidth="1"/>
    <col min="10" max="10" width="15.42578125" customWidth="1"/>
    <col min="11" max="12" width="13.42578125" bestFit="1" customWidth="1"/>
    <col min="13" max="13" width="27.140625" customWidth="1"/>
  </cols>
  <sheetData>
    <row r="1" spans="1:1">
      <c r="A1" t="s">
        <v>336</v>
      </c>
    </row>
    <row r="3" spans="1:1" ht="27.75">
      <c r="A3" s="623" t="s">
        <v>337</v>
      </c>
    </row>
    <row r="5" spans="1:1">
      <c r="A5" s="624" t="s">
        <v>338</v>
      </c>
    </row>
    <row r="6" spans="1:1" ht="14.25">
      <c r="A6" s="625"/>
    </row>
    <row r="7" spans="1:1" ht="14.25">
      <c r="A7" s="625" t="s">
        <v>339</v>
      </c>
    </row>
    <row r="8" spans="1:1" ht="14.25">
      <c r="A8" s="625"/>
    </row>
    <row r="9" spans="1:1" ht="14.25">
      <c r="A9" s="625" t="s">
        <v>340</v>
      </c>
    </row>
    <row r="10" spans="1:1" ht="14.25">
      <c r="A10" s="625"/>
    </row>
    <row r="11" spans="1:1" ht="14.25">
      <c r="A11" s="625" t="s">
        <v>341</v>
      </c>
    </row>
    <row r="12" spans="1:1" ht="14.25">
      <c r="A12" s="625"/>
    </row>
    <row r="13" spans="1:1" ht="14.25">
      <c r="A13" s="625" t="s">
        <v>342</v>
      </c>
    </row>
    <row r="14" spans="1:1" ht="14.25">
      <c r="A14" s="625"/>
    </row>
    <row r="15" spans="1:1" ht="14.25">
      <c r="A15" s="625" t="s">
        <v>343</v>
      </c>
    </row>
    <row r="16" spans="1:1" ht="14.25">
      <c r="A16" s="625"/>
    </row>
    <row r="17" spans="1:14" ht="14.25">
      <c r="A17" s="625" t="s">
        <v>344</v>
      </c>
    </row>
    <row r="18" spans="1:14" ht="14.25">
      <c r="A18" s="625"/>
    </row>
    <row r="19" spans="1:14" ht="15">
      <c r="A19" s="626" t="s">
        <v>345</v>
      </c>
    </row>
    <row r="20" spans="1:14" ht="14.25">
      <c r="A20" s="625" t="s">
        <v>346</v>
      </c>
    </row>
    <row r="21" spans="1:14" ht="14.25">
      <c r="A21" s="625"/>
    </row>
    <row r="22" spans="1:14" ht="14.25">
      <c r="A22" s="625" t="s">
        <v>347</v>
      </c>
    </row>
    <row r="23" spans="1:14" ht="14.25">
      <c r="A23" s="625"/>
    </row>
    <row r="24" spans="1:14" ht="15">
      <c r="A24" s="626" t="s">
        <v>348</v>
      </c>
    </row>
    <row r="25" spans="1:14" ht="36" customHeight="1">
      <c r="A25" s="998" t="s">
        <v>349</v>
      </c>
      <c r="B25" s="998"/>
      <c r="C25" s="998"/>
      <c r="D25" s="998"/>
      <c r="I25" s="999" t="s">
        <v>350</v>
      </c>
      <c r="J25" s="999"/>
      <c r="K25" s="999"/>
    </row>
    <row r="26" spans="1:14" ht="36" customHeight="1">
      <c r="A26" s="998" t="s">
        <v>351</v>
      </c>
      <c r="B26" s="998"/>
      <c r="C26" s="998"/>
      <c r="D26" s="998"/>
      <c r="I26" s="661"/>
      <c r="J26" s="661"/>
      <c r="K26" s="661"/>
    </row>
    <row r="27" spans="1:14" ht="51" customHeight="1">
      <c r="A27" s="1000" t="s">
        <v>352</v>
      </c>
      <c r="B27" s="1000" t="s">
        <v>353</v>
      </c>
      <c r="C27" s="1000" t="s">
        <v>354</v>
      </c>
      <c r="D27" s="1000" t="s">
        <v>355</v>
      </c>
      <c r="F27" s="628" t="s">
        <v>356</v>
      </c>
      <c r="G27" s="600">
        <f>42/6</f>
        <v>7</v>
      </c>
      <c r="I27" s="1000" t="s">
        <v>353</v>
      </c>
      <c r="J27" s="1000" t="s">
        <v>354</v>
      </c>
      <c r="K27" s="1000" t="s">
        <v>355</v>
      </c>
      <c r="M27" s="628" t="s">
        <v>356</v>
      </c>
      <c r="N27" s="600">
        <f>42/6</f>
        <v>7</v>
      </c>
    </row>
    <row r="28" spans="1:14">
      <c r="A28" s="1001"/>
      <c r="B28" s="1001"/>
      <c r="C28" s="1001"/>
      <c r="D28" s="1001"/>
      <c r="G28" s="629">
        <v>30</v>
      </c>
      <c r="I28" s="1001"/>
      <c r="J28" s="1001"/>
      <c r="K28" s="1001"/>
      <c r="N28" s="629">
        <v>30</v>
      </c>
    </row>
    <row r="29" spans="1:14" ht="36" customHeight="1">
      <c r="A29" s="630" t="s">
        <v>357</v>
      </c>
      <c r="B29" s="631" t="s">
        <v>358</v>
      </c>
      <c r="C29" s="630">
        <f>42/6*30/30</f>
        <v>7</v>
      </c>
      <c r="D29" s="630">
        <f>+C29*30</f>
        <v>210</v>
      </c>
      <c r="F29" s="628" t="s">
        <v>359</v>
      </c>
      <c r="G29" s="629">
        <f>+G27*30</f>
        <v>210</v>
      </c>
      <c r="I29" s="631" t="s">
        <v>360</v>
      </c>
      <c r="J29" s="630">
        <f>44/6*30/30</f>
        <v>7.333333333333333</v>
      </c>
      <c r="K29" s="630">
        <f>44/6*30</f>
        <v>220</v>
      </c>
      <c r="M29" s="628" t="s">
        <v>359</v>
      </c>
      <c r="N29" s="629">
        <f>+N27*30</f>
        <v>210</v>
      </c>
    </row>
    <row r="30" spans="1:14" ht="14.25">
      <c r="A30" s="625"/>
      <c r="D30" s="632">
        <f>+C65</f>
        <v>5238163</v>
      </c>
      <c r="E30" s="632">
        <f>ROUND(D30/30,0)</f>
        <v>174605</v>
      </c>
      <c r="F30" t="s">
        <v>361</v>
      </c>
      <c r="G30" s="632">
        <f>E30/C29</f>
        <v>24943.571428571428</v>
      </c>
      <c r="H30" s="632"/>
      <c r="K30" s="632">
        <f>+C65</f>
        <v>5238163</v>
      </c>
      <c r="L30" s="632">
        <f>ROUND(K30/30,0)</f>
        <v>174605</v>
      </c>
      <c r="M30" t="s">
        <v>361</v>
      </c>
      <c r="N30" s="632">
        <f>L30/J29</f>
        <v>23809.772727272728</v>
      </c>
    </row>
    <row r="31" spans="1:14" ht="68.25" customHeight="1">
      <c r="A31" s="998" t="s">
        <v>362</v>
      </c>
      <c r="B31" s="998"/>
      <c r="C31" s="998"/>
      <c r="D31" s="998"/>
      <c r="E31" s="652">
        <f>ROUND(E30*0.9,0)</f>
        <v>157145</v>
      </c>
      <c r="F31" s="600" t="s">
        <v>363</v>
      </c>
      <c r="G31" s="632"/>
      <c r="K31" s="632"/>
      <c r="L31" s="652">
        <f>ROUND(L30*0.8,0)</f>
        <v>139684</v>
      </c>
      <c r="M31" s="600" t="s">
        <v>363</v>
      </c>
      <c r="N31" s="632"/>
    </row>
    <row r="32" spans="1:14" ht="14.25">
      <c r="A32" s="625"/>
      <c r="D32" s="632"/>
      <c r="E32" s="633">
        <f>+E31*26</f>
        <v>4085770</v>
      </c>
      <c r="F32" t="s">
        <v>364</v>
      </c>
      <c r="G32" s="633"/>
      <c r="K32" s="632"/>
      <c r="L32" s="633">
        <f>+L31*9</f>
        <v>1257156</v>
      </c>
      <c r="M32" t="s">
        <v>365</v>
      </c>
      <c r="N32" s="633"/>
    </row>
    <row r="33" spans="1:14" ht="14.25">
      <c r="A33" s="625"/>
      <c r="D33" s="632"/>
      <c r="E33" s="635">
        <f>+E32/6</f>
        <v>680961.66666666663</v>
      </c>
      <c r="F33" t="s">
        <v>366</v>
      </c>
      <c r="G33" s="633"/>
      <c r="K33" s="632"/>
      <c r="L33" s="635">
        <f>+L32/2</f>
        <v>628578</v>
      </c>
      <c r="M33" t="s">
        <v>367</v>
      </c>
      <c r="N33" s="633"/>
    </row>
    <row r="34" spans="1:14" ht="15">
      <c r="A34" s="634" t="s">
        <v>368</v>
      </c>
    </row>
    <row r="35" spans="1:14" ht="14.25">
      <c r="A35" s="636"/>
    </row>
    <row r="36" spans="1:14" ht="14.25">
      <c r="A36" s="625" t="s">
        <v>369</v>
      </c>
      <c r="G36" s="687">
        <v>1750905</v>
      </c>
      <c r="H36" s="687"/>
    </row>
    <row r="38" spans="1:14" ht="14.25">
      <c r="A38" s="625" t="s">
        <v>370</v>
      </c>
      <c r="I38" s="637">
        <f>1750905/210</f>
        <v>8337.6428571428569</v>
      </c>
    </row>
    <row r="39" spans="1:14" ht="14.25">
      <c r="A39" s="625"/>
      <c r="I39" t="s">
        <v>371</v>
      </c>
    </row>
    <row r="40" spans="1:14" ht="51">
      <c r="A40" s="638" t="s">
        <v>372</v>
      </c>
      <c r="B40" s="638" t="s">
        <v>373</v>
      </c>
      <c r="C40" s="638" t="s">
        <v>374</v>
      </c>
      <c r="D40" s="627" t="s">
        <v>375</v>
      </c>
      <c r="E40" s="627" t="s">
        <v>376</v>
      </c>
    </row>
    <row r="41" spans="1:14">
      <c r="A41" s="639" t="s">
        <v>377</v>
      </c>
      <c r="B41" s="686">
        <v>220</v>
      </c>
      <c r="C41" s="688">
        <v>210</v>
      </c>
      <c r="D41" s="691">
        <f>$G$36/B41</f>
        <v>7958.659090909091</v>
      </c>
      <c r="E41" s="691">
        <f>$G$36/C41</f>
        <v>8337.6428571428569</v>
      </c>
    </row>
    <row r="42" spans="1:14">
      <c r="A42" s="639" t="s">
        <v>378</v>
      </c>
      <c r="B42" s="640">
        <v>1.25</v>
      </c>
      <c r="C42" s="689">
        <v>1.25</v>
      </c>
      <c r="D42" s="692">
        <f>B42*$D$41</f>
        <v>9948.323863636364</v>
      </c>
      <c r="E42" s="692">
        <f>C42*$E$41</f>
        <v>10422.053571428571</v>
      </c>
    </row>
    <row r="43" spans="1:14">
      <c r="A43" s="639" t="s">
        <v>379</v>
      </c>
      <c r="B43" s="640">
        <v>1.75</v>
      </c>
      <c r="C43" s="689">
        <v>1.75</v>
      </c>
      <c r="D43" s="692">
        <f t="shared" ref="D43:D53" si="0">B43*$D$41</f>
        <v>13927.65340909091</v>
      </c>
      <c r="E43" s="692">
        <f t="shared" ref="E43:E53" si="1">C43*$E$41</f>
        <v>14590.875</v>
      </c>
    </row>
    <row r="44" spans="1:14">
      <c r="A44" s="693" t="s">
        <v>380</v>
      </c>
      <c r="B44" s="694">
        <v>0.35</v>
      </c>
      <c r="C44" s="695">
        <v>0.35</v>
      </c>
      <c r="D44" s="692">
        <f t="shared" si="0"/>
        <v>2785.5306818181816</v>
      </c>
      <c r="E44" s="692">
        <f t="shared" si="1"/>
        <v>2918.1749999999997</v>
      </c>
    </row>
    <row r="45" spans="1:14">
      <c r="A45" s="693" t="s">
        <v>381</v>
      </c>
      <c r="B45" s="694">
        <f>1+0.8+0.25</f>
        <v>2.0499999999999998</v>
      </c>
      <c r="C45" s="695" t="s">
        <v>382</v>
      </c>
      <c r="D45" s="692">
        <f>B45*$D$41</f>
        <v>16315.251136363635</v>
      </c>
      <c r="E45" s="697" t="e">
        <f>C45*$E$41</f>
        <v>#VALUE!</v>
      </c>
    </row>
    <row r="46" spans="1:14">
      <c r="A46" s="693" t="s">
        <v>383</v>
      </c>
      <c r="B46" s="694">
        <f>1+0.9+0.25</f>
        <v>2.15</v>
      </c>
      <c r="C46" s="694">
        <f>1+0.9+0.25</f>
        <v>2.15</v>
      </c>
      <c r="D46" s="692">
        <f>B46*$D$41</f>
        <v>17111.117045454546</v>
      </c>
      <c r="E46" s="692">
        <f>C46*$E$41</f>
        <v>17925.932142857142</v>
      </c>
    </row>
    <row r="47" spans="1:14">
      <c r="A47" s="693" t="s">
        <v>384</v>
      </c>
      <c r="B47" s="694">
        <f>1+0.8+0.75</f>
        <v>2.5499999999999998</v>
      </c>
      <c r="C47" s="695" t="s">
        <v>382</v>
      </c>
      <c r="D47" s="692">
        <f t="shared" si="0"/>
        <v>20294.580681818181</v>
      </c>
      <c r="E47" s="697" t="e">
        <f>C47*$E$41</f>
        <v>#VALUE!</v>
      </c>
    </row>
    <row r="48" spans="1:14">
      <c r="A48" s="693" t="s">
        <v>385</v>
      </c>
      <c r="B48" s="694">
        <f>1+0.9+0.75</f>
        <v>2.65</v>
      </c>
      <c r="C48" s="695">
        <f>1+0.9+0.75</f>
        <v>2.65</v>
      </c>
      <c r="D48" s="692">
        <f t="shared" si="0"/>
        <v>21090.44659090909</v>
      </c>
      <c r="E48" s="692">
        <f>C48*$E$41</f>
        <v>22094.75357142857</v>
      </c>
    </row>
    <row r="49" spans="1:8">
      <c r="A49" s="641" t="s">
        <v>386</v>
      </c>
      <c r="B49" s="642">
        <v>0.8</v>
      </c>
      <c r="C49" s="690" t="s">
        <v>382</v>
      </c>
      <c r="D49" s="692">
        <f>B49*$D$41</f>
        <v>6366.9272727272728</v>
      </c>
      <c r="E49" s="692" t="e">
        <f t="shared" si="1"/>
        <v>#VALUE!</v>
      </c>
    </row>
    <row r="50" spans="1:8">
      <c r="A50" s="641" t="s">
        <v>387</v>
      </c>
      <c r="B50" s="642">
        <v>0.9</v>
      </c>
      <c r="C50" s="690">
        <v>0.9</v>
      </c>
      <c r="D50" s="692">
        <f>B50*$D$41</f>
        <v>7162.7931818181823</v>
      </c>
      <c r="E50" s="692">
        <f t="shared" ref="E50" si="2">C50*$E$41</f>
        <v>7503.8785714285714</v>
      </c>
    </row>
    <row r="51" spans="1:8">
      <c r="A51" s="693" t="s">
        <v>388</v>
      </c>
      <c r="B51" s="694">
        <v>1.8</v>
      </c>
      <c r="C51" s="695" t="s">
        <v>382</v>
      </c>
      <c r="D51" s="696">
        <f>B51*$D$41*8</f>
        <v>114604.69090909092</v>
      </c>
      <c r="E51" s="696" t="e">
        <f>C51*$E$41*8</f>
        <v>#VALUE!</v>
      </c>
      <c r="F51" t="s">
        <v>389</v>
      </c>
    </row>
    <row r="52" spans="1:8">
      <c r="A52" s="693" t="s">
        <v>390</v>
      </c>
      <c r="B52" s="694">
        <v>1.9</v>
      </c>
      <c r="C52" s="695">
        <v>1.9</v>
      </c>
      <c r="D52" s="696">
        <f>B52*$D$41*8</f>
        <v>120971.61818181818</v>
      </c>
      <c r="E52" s="696">
        <f>C52*$E$41*8</f>
        <v>126732.17142857141</v>
      </c>
      <c r="F52" t="s">
        <v>389</v>
      </c>
    </row>
    <row r="53" spans="1:8">
      <c r="A53" s="693" t="s">
        <v>391</v>
      </c>
      <c r="B53" s="694">
        <v>1.8</v>
      </c>
      <c r="C53" s="695" t="s">
        <v>382</v>
      </c>
      <c r="D53" s="692">
        <f t="shared" si="0"/>
        <v>14325.586363636365</v>
      </c>
      <c r="E53" s="692" t="e">
        <f t="shared" si="1"/>
        <v>#VALUE!</v>
      </c>
    </row>
    <row r="54" spans="1:8">
      <c r="A54" s="693" t="s">
        <v>392</v>
      </c>
      <c r="B54" s="694">
        <v>1.9</v>
      </c>
      <c r="C54" s="695">
        <v>1.9</v>
      </c>
      <c r="D54" s="692">
        <f t="shared" ref="D54" si="3">B54*$D$41</f>
        <v>15121.452272727272</v>
      </c>
      <c r="E54" s="692">
        <f t="shared" ref="E54" si="4">C54*$E$41</f>
        <v>15841.521428571426</v>
      </c>
      <c r="F54" s="687"/>
    </row>
    <row r="55" spans="1:8" ht="15.75" customHeight="1">
      <c r="A55" s="625"/>
    </row>
    <row r="56" spans="1:8" s="644" customFormat="1" ht="25.5" customHeight="1">
      <c r="A56" s="643" t="s">
        <v>393</v>
      </c>
      <c r="H56" s="645"/>
    </row>
    <row r="57" spans="1:8">
      <c r="A57" s="646" t="s">
        <v>394</v>
      </c>
      <c r="H57" s="647"/>
    </row>
    <row r="58" spans="1:8">
      <c r="A58" s="646" t="s">
        <v>395</v>
      </c>
      <c r="B58" t="s">
        <v>396</v>
      </c>
      <c r="H58" s="647"/>
    </row>
    <row r="59" spans="1:8">
      <c r="A59" t="s">
        <v>397</v>
      </c>
      <c r="B59" s="699">
        <v>7</v>
      </c>
      <c r="C59">
        <f>4*B59</f>
        <v>28</v>
      </c>
      <c r="H59" s="647"/>
    </row>
    <row r="60" spans="1:8">
      <c r="A60" s="646" t="s">
        <v>398</v>
      </c>
      <c r="B60" s="699">
        <v>7</v>
      </c>
      <c r="C60" s="698">
        <f>2*B60</f>
        <v>14</v>
      </c>
      <c r="H60" s="647"/>
    </row>
    <row r="61" spans="1:8">
      <c r="A61" s="646" t="s">
        <v>399</v>
      </c>
      <c r="C61" s="646">
        <f>+C59+C60</f>
        <v>42</v>
      </c>
      <c r="D61" s="646">
        <f>+C61/6*30</f>
        <v>210</v>
      </c>
      <c r="E61" t="s">
        <v>400</v>
      </c>
      <c r="H61" s="647"/>
    </row>
    <row r="62" spans="1:8">
      <c r="A62" s="646"/>
      <c r="H62" s="647"/>
    </row>
    <row r="63" spans="1:8" ht="46.5" customHeight="1">
      <c r="A63" s="648" t="s">
        <v>401</v>
      </c>
      <c r="B63" s="700" t="s">
        <v>402</v>
      </c>
      <c r="C63" s="701"/>
      <c r="D63" s="701"/>
      <c r="E63" s="701"/>
      <c r="F63" s="701"/>
      <c r="G63" s="701"/>
      <c r="H63" s="701"/>
    </row>
    <row r="64" spans="1:8">
      <c r="A64" s="649"/>
      <c r="B64" s="650"/>
    </row>
    <row r="65" spans="1:11">
      <c r="A65" s="646" t="s">
        <v>116</v>
      </c>
      <c r="C65" s="633">
        <v>5238163</v>
      </c>
    </row>
    <row r="66" spans="1:11" ht="25.5">
      <c r="A66" s="600" t="s">
        <v>403</v>
      </c>
      <c r="B66" s="651" t="s">
        <v>404</v>
      </c>
      <c r="C66" s="652">
        <f>+C65/210</f>
        <v>24943.633333333335</v>
      </c>
    </row>
    <row r="67" spans="1:11">
      <c r="A67" s="653" t="s">
        <v>405</v>
      </c>
      <c r="B67" s="653" t="s">
        <v>406</v>
      </c>
      <c r="C67" s="654">
        <f>+C66*0.9</f>
        <v>22449.27</v>
      </c>
      <c r="D67" s="633" t="s">
        <v>407</v>
      </c>
      <c r="G67" s="633"/>
      <c r="J67" s="655"/>
    </row>
    <row r="68" spans="1:11" ht="25.5">
      <c r="A68" s="656" t="s">
        <v>408</v>
      </c>
      <c r="B68" s="629">
        <v>7</v>
      </c>
      <c r="C68" s="657">
        <f>ROUND(B68*C67,0)</f>
        <v>157145</v>
      </c>
      <c r="D68" s="658" t="s">
        <v>409</v>
      </c>
      <c r="E68" s="659"/>
      <c r="F68" s="659"/>
      <c r="G68" s="633"/>
      <c r="J68" s="655"/>
    </row>
    <row r="69" spans="1:11">
      <c r="A69" s="660" t="s">
        <v>410</v>
      </c>
      <c r="B69" s="661">
        <v>26</v>
      </c>
      <c r="C69" s="635">
        <f>+C68*B69</f>
        <v>4085770</v>
      </c>
      <c r="G69" s="633"/>
      <c r="J69" s="655"/>
    </row>
    <row r="70" spans="1:11" ht="25.5">
      <c r="A70" s="649" t="s">
        <v>411</v>
      </c>
      <c r="B70" s="662">
        <v>6</v>
      </c>
      <c r="C70" s="663">
        <f>+ROUND(C69/B70,0)</f>
        <v>680962</v>
      </c>
      <c r="D70" s="664" t="s">
        <v>412</v>
      </c>
      <c r="G70" s="633"/>
      <c r="H70" s="663">
        <f>ROUND((C65/210*7*0.9*26)/6,0)</f>
        <v>680961</v>
      </c>
      <c r="J70" s="663" t="e">
        <f>IF(#REF!=H70,"correcto con presupuesto","revisar")</f>
        <v>#REF!</v>
      </c>
      <c r="K70" s="600"/>
    </row>
    <row r="71" spans="1:11">
      <c r="C71" s="632"/>
      <c r="D71" s="633"/>
      <c r="G71" s="633"/>
      <c r="J71" s="655"/>
    </row>
    <row r="72" spans="1:11" ht="25.5">
      <c r="A72" s="600" t="s">
        <v>403</v>
      </c>
      <c r="B72" s="651" t="s">
        <v>404</v>
      </c>
      <c r="C72" s="652">
        <f>+C65/210</f>
        <v>24943.633333333335</v>
      </c>
    </row>
    <row r="73" spans="1:11">
      <c r="A73" s="653" t="s">
        <v>405</v>
      </c>
      <c r="B73" s="653" t="s">
        <v>413</v>
      </c>
      <c r="C73" s="654">
        <f>+C72*1.9</f>
        <v>47392.903333333335</v>
      </c>
      <c r="D73" s="633" t="s">
        <v>414</v>
      </c>
      <c r="G73" s="633"/>
      <c r="J73" s="655"/>
    </row>
    <row r="74" spans="1:11" ht="25.5">
      <c r="A74" s="656" t="s">
        <v>408</v>
      </c>
      <c r="B74" s="629">
        <v>7</v>
      </c>
      <c r="C74" s="657">
        <f>ROUND(B74*C73,0)</f>
        <v>331750</v>
      </c>
      <c r="D74" s="658" t="s">
        <v>409</v>
      </c>
      <c r="E74" s="659"/>
      <c r="F74" s="659"/>
      <c r="G74" s="633"/>
      <c r="J74" s="655"/>
    </row>
    <row r="75" spans="1:11">
      <c r="A75" s="666" t="s">
        <v>415</v>
      </c>
      <c r="B75" s="667">
        <v>8</v>
      </c>
      <c r="C75" s="665">
        <f>+C74*B75</f>
        <v>2654000</v>
      </c>
      <c r="G75" s="633"/>
      <c r="J75" s="655"/>
    </row>
    <row r="76" spans="1:11" ht="25.5">
      <c r="A76" s="649" t="s">
        <v>416</v>
      </c>
      <c r="B76" s="662">
        <v>6</v>
      </c>
      <c r="C76" s="668">
        <f>+ROUND(C75/B76,0)</f>
        <v>442333</v>
      </c>
      <c r="D76" s="664" t="s">
        <v>417</v>
      </c>
      <c r="H76" s="668">
        <f>ROUND((C65/210*7*1.9*8)/6,0)</f>
        <v>442334</v>
      </c>
      <c r="J76" s="663" t="e">
        <f>IF(#REF!=H76,"correcto con presupuesto","revisar")</f>
        <v>#REF!</v>
      </c>
      <c r="K76" s="600"/>
    </row>
    <row r="78" spans="1:11" ht="18">
      <c r="H78" s="669"/>
      <c r="I78" s="670"/>
      <c r="J78" s="671"/>
    </row>
    <row r="79" spans="1:11" s="673" customFormat="1" ht="27" customHeight="1">
      <c r="A79" s="672" t="s">
        <v>418</v>
      </c>
      <c r="H79" s="674"/>
    </row>
    <row r="80" spans="1:11" ht="18">
      <c r="A80" s="650" t="s">
        <v>419</v>
      </c>
      <c r="H80" s="669"/>
      <c r="I80" s="670"/>
      <c r="J80" s="671"/>
    </row>
    <row r="81" spans="1:12" ht="18">
      <c r="A81" s="600" t="s">
        <v>420</v>
      </c>
      <c r="B81" s="629">
        <f>8.5*4</f>
        <v>34</v>
      </c>
      <c r="H81" s="669"/>
      <c r="I81" s="670"/>
      <c r="J81" s="671"/>
    </row>
    <row r="82" spans="1:12" ht="18">
      <c r="A82" s="600" t="s">
        <v>421</v>
      </c>
      <c r="B82" s="629">
        <v>8</v>
      </c>
      <c r="H82" s="669"/>
      <c r="I82" s="670"/>
      <c r="J82" s="671"/>
    </row>
    <row r="83" spans="1:12" ht="22.5" customHeight="1">
      <c r="A83" s="600" t="s">
        <v>422</v>
      </c>
      <c r="B83" s="650">
        <f>B81+B82</f>
        <v>42</v>
      </c>
      <c r="C83" s="650" t="s">
        <v>423</v>
      </c>
      <c r="D83" s="646"/>
      <c r="H83" s="669"/>
      <c r="I83" s="670"/>
      <c r="K83" t="s">
        <v>424</v>
      </c>
      <c r="L83" s="670"/>
    </row>
    <row r="84" spans="1:12" ht="18">
      <c r="B84" s="650">
        <v>210</v>
      </c>
      <c r="C84" s="650" t="s">
        <v>425</v>
      </c>
      <c r="D84" s="646"/>
      <c r="H84" s="669"/>
      <c r="I84" s="670"/>
      <c r="J84" s="671"/>
    </row>
    <row r="85" spans="1:12" ht="23.25" customHeight="1">
      <c r="A85" s="600" t="s">
        <v>426</v>
      </c>
    </row>
    <row r="86" spans="1:12">
      <c r="A86" s="653" t="s">
        <v>427</v>
      </c>
    </row>
    <row r="88" spans="1:12" ht="15">
      <c r="A88" s="675" t="s">
        <v>428</v>
      </c>
    </row>
    <row r="90" spans="1:12" ht="15">
      <c r="A90" s="675" t="s">
        <v>429</v>
      </c>
    </row>
    <row r="91" spans="1:12" ht="15">
      <c r="A91" s="675"/>
    </row>
    <row r="92" spans="1:12" ht="15.75" thickBot="1">
      <c r="A92" s="676" t="s">
        <v>208</v>
      </c>
      <c r="B92" s="677">
        <v>2</v>
      </c>
    </row>
    <row r="93" spans="1:12" ht="15.75" thickBot="1">
      <c r="A93" s="676" t="s">
        <v>430</v>
      </c>
      <c r="B93" s="677">
        <v>2</v>
      </c>
    </row>
    <row r="94" spans="1:12" ht="15.75" thickBot="1">
      <c r="A94" s="678" t="s">
        <v>178</v>
      </c>
      <c r="B94" s="679">
        <v>19</v>
      </c>
    </row>
    <row r="95" spans="1:12" ht="15.75" thickBot="1">
      <c r="A95" s="678" t="s">
        <v>431</v>
      </c>
      <c r="B95" s="679">
        <v>2</v>
      </c>
    </row>
    <row r="96" spans="1:12" ht="15.75" thickBot="1">
      <c r="A96" s="680"/>
      <c r="B96" s="681">
        <v>25</v>
      </c>
    </row>
    <row r="98" spans="1:11" ht="38.25">
      <c r="A98" s="648" t="s">
        <v>432</v>
      </c>
      <c r="B98" s="700" t="s">
        <v>402</v>
      </c>
      <c r="C98" s="701"/>
      <c r="D98" s="701"/>
      <c r="E98" s="701"/>
      <c r="F98" s="701"/>
      <c r="G98" s="701"/>
      <c r="H98" s="701"/>
    </row>
    <row r="100" spans="1:11">
      <c r="A100" s="646" t="s">
        <v>116</v>
      </c>
      <c r="C100" s="633" t="e">
        <f>#REF!</f>
        <v>#REF!</v>
      </c>
    </row>
    <row r="101" spans="1:11" ht="25.5">
      <c r="A101" s="600" t="s">
        <v>403</v>
      </c>
      <c r="B101" s="651" t="s">
        <v>404</v>
      </c>
      <c r="C101" s="652" t="e">
        <f>+C100/210</f>
        <v>#REF!</v>
      </c>
    </row>
    <row r="102" spans="1:11" ht="21.75" customHeight="1">
      <c r="A102" s="682" t="s">
        <v>405</v>
      </c>
      <c r="B102" s="682" t="s">
        <v>433</v>
      </c>
      <c r="C102" s="683" t="e">
        <f>+C101*0.9</f>
        <v>#REF!</v>
      </c>
      <c r="D102" s="664" t="s">
        <v>434</v>
      </c>
      <c r="G102" s="633"/>
      <c r="J102" s="655"/>
    </row>
    <row r="103" spans="1:11" ht="25.5">
      <c r="A103" s="656" t="s">
        <v>408</v>
      </c>
      <c r="B103" s="629">
        <v>7</v>
      </c>
      <c r="C103" s="684" t="e">
        <f>ROUND(B103*C102,0)</f>
        <v>#REF!</v>
      </c>
      <c r="D103" s="658" t="s">
        <v>409</v>
      </c>
      <c r="E103" s="600"/>
      <c r="F103" s="600"/>
      <c r="G103" s="633"/>
      <c r="J103" s="655"/>
    </row>
    <row r="104" spans="1:11" ht="23.25" customHeight="1">
      <c r="A104" s="685" t="s">
        <v>435</v>
      </c>
      <c r="B104" s="661">
        <v>26</v>
      </c>
      <c r="C104" s="663" t="e">
        <f>+C103*B104</f>
        <v>#REF!</v>
      </c>
      <c r="G104" s="633"/>
      <c r="J104" s="655"/>
    </row>
    <row r="105" spans="1:11" ht="25.5">
      <c r="A105" s="649" t="s">
        <v>411</v>
      </c>
      <c r="B105" s="662">
        <v>6</v>
      </c>
      <c r="C105" s="663" t="e">
        <f>+ROUND(C104/B105,0)</f>
        <v>#REF!</v>
      </c>
      <c r="D105" s="664" t="s">
        <v>412</v>
      </c>
      <c r="G105" s="633"/>
      <c r="H105" s="663" t="e">
        <f>ROUND((C100/210*7*0.9*26)/6,0)</f>
        <v>#REF!</v>
      </c>
      <c r="J105" s="663" t="e">
        <f>IF(#REF!=H105,"correcto con presupuesto","revisar")</f>
        <v>#REF!</v>
      </c>
      <c r="K105" s="600"/>
    </row>
    <row r="108" spans="1:11" ht="25.5">
      <c r="A108" s="600" t="s">
        <v>403</v>
      </c>
      <c r="B108" s="651" t="s">
        <v>404</v>
      </c>
      <c r="C108" s="652" t="e">
        <f>+C100/210</f>
        <v>#REF!</v>
      </c>
    </row>
    <row r="109" spans="1:11" ht="21.75" customHeight="1">
      <c r="A109" s="682" t="s">
        <v>405</v>
      </c>
      <c r="B109" s="682" t="s">
        <v>436</v>
      </c>
      <c r="C109" s="683" t="e">
        <f>+C108*1.9</f>
        <v>#REF!</v>
      </c>
      <c r="D109" s="664" t="s">
        <v>437</v>
      </c>
      <c r="G109" s="633"/>
      <c r="J109" s="655"/>
    </row>
    <row r="110" spans="1:11" ht="25.5">
      <c r="A110" s="656" t="s">
        <v>408</v>
      </c>
      <c r="B110" s="629">
        <v>7</v>
      </c>
      <c r="C110" s="684" t="e">
        <f>ROUND(B110*C109,0)</f>
        <v>#REF!</v>
      </c>
      <c r="D110" s="658" t="s">
        <v>409</v>
      </c>
      <c r="E110" s="659"/>
      <c r="F110" s="659"/>
      <c r="G110" s="633"/>
      <c r="J110" s="655"/>
    </row>
    <row r="111" spans="1:11">
      <c r="A111" s="666" t="s">
        <v>415</v>
      </c>
      <c r="B111" s="667">
        <v>8</v>
      </c>
      <c r="C111" s="665" t="e">
        <f>+C110*B111</f>
        <v>#REF!</v>
      </c>
      <c r="G111" s="633"/>
      <c r="J111" s="655"/>
    </row>
    <row r="112" spans="1:11" ht="25.5">
      <c r="A112" s="649" t="s">
        <v>416</v>
      </c>
      <c r="B112" s="662">
        <v>6</v>
      </c>
      <c r="C112" s="668" t="e">
        <f>+ROUND(C111/B112,0)</f>
        <v>#REF!</v>
      </c>
      <c r="D112" s="664" t="s">
        <v>417</v>
      </c>
      <c r="H112" s="668" t="e">
        <f>ROUND((C100/210*7*1.9*8)/6,0)</f>
        <v>#REF!</v>
      </c>
      <c r="J112" s="663" t="e">
        <f>IF(#REF!=H112,"correcto con presupuesto","revisar")</f>
        <v>#REF!</v>
      </c>
      <c r="K112" s="600"/>
    </row>
    <row r="119" spans="1:10" ht="38.25">
      <c r="A119" s="702" t="s">
        <v>438</v>
      </c>
    </row>
    <row r="122" spans="1:10">
      <c r="J122" s="646"/>
    </row>
    <row r="123" spans="1:10">
      <c r="G123" s="646" t="s">
        <v>439</v>
      </c>
      <c r="H123" s="646"/>
      <c r="I123" s="646"/>
      <c r="J123" s="646"/>
    </row>
    <row r="125" spans="1:10">
      <c r="G125" t="s">
        <v>440</v>
      </c>
      <c r="H125">
        <v>4</v>
      </c>
    </row>
    <row r="126" spans="1:10">
      <c r="G126" t="s">
        <v>441</v>
      </c>
      <c r="H126">
        <v>2</v>
      </c>
    </row>
    <row r="127" spans="1:10">
      <c r="G127" s="646" t="s">
        <v>442</v>
      </c>
      <c r="H127" s="646">
        <f>SUM(H125:H126)</f>
        <v>6</v>
      </c>
    </row>
    <row r="129" spans="7:11">
      <c r="G129" s="646" t="s">
        <v>443</v>
      </c>
      <c r="H129" s="646"/>
    </row>
    <row r="131" spans="7:11">
      <c r="G131" t="s">
        <v>440</v>
      </c>
      <c r="H131">
        <v>3</v>
      </c>
      <c r="I131" s="646"/>
      <c r="J131" s="646"/>
    </row>
    <row r="132" spans="7:11">
      <c r="G132" t="s">
        <v>441</v>
      </c>
      <c r="H132">
        <v>0</v>
      </c>
      <c r="I132" s="646"/>
      <c r="J132" s="646"/>
    </row>
    <row r="133" spans="7:11">
      <c r="G133" s="646" t="s">
        <v>442</v>
      </c>
      <c r="H133" s="646">
        <f>SUM(H131:H132)</f>
        <v>3</v>
      </c>
    </row>
    <row r="135" spans="7:11">
      <c r="K135" s="646"/>
    </row>
    <row r="141" spans="7:11">
      <c r="G141" s="646" t="s">
        <v>444</v>
      </c>
      <c r="H141" s="646"/>
      <c r="I141" s="646"/>
      <c r="J141" s="646"/>
    </row>
    <row r="143" spans="7:11">
      <c r="G143" t="s">
        <v>445</v>
      </c>
      <c r="H143">
        <v>2</v>
      </c>
    </row>
    <row r="144" spans="7:11">
      <c r="G144" t="s">
        <v>446</v>
      </c>
      <c r="H144">
        <v>5</v>
      </c>
    </row>
    <row r="145" spans="7:10">
      <c r="G145" t="s">
        <v>447</v>
      </c>
      <c r="H145">
        <v>4</v>
      </c>
    </row>
    <row r="146" spans="7:10">
      <c r="G146" t="s">
        <v>448</v>
      </c>
      <c r="H146">
        <v>4</v>
      </c>
    </row>
    <row r="147" spans="7:10">
      <c r="G147" t="s">
        <v>449</v>
      </c>
      <c r="H147">
        <v>5</v>
      </c>
    </row>
    <row r="148" spans="7:10">
      <c r="G148" t="s">
        <v>450</v>
      </c>
      <c r="H148">
        <v>4</v>
      </c>
      <c r="J148" s="646"/>
    </row>
    <row r="149" spans="7:10">
      <c r="G149" s="646" t="s">
        <v>442</v>
      </c>
      <c r="H149" s="646">
        <f>SUM(H143:H148)</f>
        <v>24</v>
      </c>
    </row>
    <row r="151" spans="7:10">
      <c r="G151" s="646" t="s">
        <v>451</v>
      </c>
      <c r="H151" s="646"/>
      <c r="I151" s="646"/>
    </row>
    <row r="153" spans="7:10">
      <c r="G153" t="s">
        <v>445</v>
      </c>
      <c r="H153">
        <v>1</v>
      </c>
    </row>
    <row r="154" spans="7:10">
      <c r="G154" t="s">
        <v>446</v>
      </c>
      <c r="H154">
        <v>2</v>
      </c>
    </row>
    <row r="155" spans="7:10">
      <c r="G155" t="s">
        <v>447</v>
      </c>
      <c r="H155">
        <v>0</v>
      </c>
    </row>
    <row r="156" spans="7:10">
      <c r="G156" t="s">
        <v>448</v>
      </c>
      <c r="H156">
        <v>1</v>
      </c>
    </row>
    <row r="157" spans="7:10">
      <c r="G157" t="s">
        <v>449</v>
      </c>
      <c r="H157">
        <v>2</v>
      </c>
    </row>
    <row r="158" spans="7:10">
      <c r="G158" t="s">
        <v>450</v>
      </c>
      <c r="H158">
        <v>2</v>
      </c>
    </row>
    <row r="159" spans="7:10">
      <c r="G159" s="646" t="s">
        <v>442</v>
      </c>
      <c r="H159" s="646">
        <f>SUM(H153:H158)</f>
        <v>8</v>
      </c>
    </row>
  </sheetData>
  <mergeCells count="11">
    <mergeCell ref="A31:D31"/>
    <mergeCell ref="A25:D25"/>
    <mergeCell ref="I25:K25"/>
    <mergeCell ref="A27:A28"/>
    <mergeCell ref="B27:B28"/>
    <mergeCell ref="C27:C28"/>
    <mergeCell ref="D27:D28"/>
    <mergeCell ref="I27:I28"/>
    <mergeCell ref="J27:J28"/>
    <mergeCell ref="K27:K28"/>
    <mergeCell ref="A26:D26"/>
  </mergeCells>
  <phoneticPr fontId="91" type="noConversion"/>
  <hyperlinks>
    <hyperlink ref="A5" r:id="rId1" display="https://xperta.legis.co/visor/legcol/legcol_5209c20e793447eb92fb661042583d19" xr:uid="{A03068A5-9F59-41A6-A623-2D2EB5894308}"/>
  </hyperlinks>
  <pageMargins left="0.7" right="0.7" top="0.75" bottom="0.75" header="0.3" footer="0.3"/>
  <pageSetup orientation="portrait" r:id="rId2"/>
  <ignoredErrors>
    <ignoredError sqref="G132 G126 G143" twoDigitTextYear="1"/>
  </ignoredError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8D6D5-1AF1-4B15-A58A-60ED3E5BB4DC}">
  <dimension ref="A1:AC101"/>
  <sheetViews>
    <sheetView workbookViewId="0">
      <selection sqref="A1:AA1"/>
    </sheetView>
  </sheetViews>
  <sheetFormatPr baseColWidth="10" defaultColWidth="14.42578125" defaultRowHeight="15"/>
  <cols>
    <col min="1" max="2" width="16" style="311" customWidth="1"/>
    <col min="3" max="3" width="16" style="452" customWidth="1"/>
    <col min="4" max="12" width="16" style="311" customWidth="1"/>
    <col min="13" max="13" width="16" style="453" customWidth="1"/>
    <col min="14" max="27" width="16" style="311" customWidth="1"/>
    <col min="28" max="28" width="65.140625" style="311" customWidth="1"/>
    <col min="29" max="29" width="10.7109375" style="311" customWidth="1"/>
    <col min="30" max="16384" width="14.42578125" style="311"/>
  </cols>
  <sheetData>
    <row r="1" spans="1:29" ht="15.75" thickBot="1">
      <c r="A1" s="1002" t="s">
        <v>452</v>
      </c>
      <c r="B1" s="1003"/>
      <c r="C1" s="1003"/>
      <c r="D1" s="1003"/>
      <c r="E1" s="1003"/>
      <c r="F1" s="1003"/>
      <c r="G1" s="1003"/>
      <c r="H1" s="1003"/>
      <c r="I1" s="1003"/>
      <c r="J1" s="1003"/>
      <c r="K1" s="1003"/>
      <c r="L1" s="1003"/>
      <c r="M1" s="1003"/>
      <c r="N1" s="1003"/>
      <c r="O1" s="1003"/>
      <c r="P1" s="1003"/>
      <c r="Q1" s="1003"/>
      <c r="R1" s="1003"/>
      <c r="S1" s="1003"/>
      <c r="T1" s="1003"/>
      <c r="U1" s="1003"/>
      <c r="V1" s="1003"/>
      <c r="W1" s="1003"/>
      <c r="X1" s="1003"/>
      <c r="Y1" s="1003"/>
      <c r="Z1" s="1003"/>
      <c r="AA1" s="1004"/>
    </row>
    <row r="2" spans="1:29" ht="15.75" thickBot="1">
      <c r="A2" s="1005" t="s">
        <v>453</v>
      </c>
      <c r="B2" s="1003"/>
      <c r="C2" s="1003"/>
      <c r="D2" s="1003"/>
      <c r="E2" s="1003"/>
      <c r="F2" s="1003"/>
      <c r="G2" s="1003"/>
      <c r="H2" s="1003"/>
      <c r="I2" s="1003"/>
      <c r="J2" s="1003"/>
      <c r="K2" s="1003"/>
      <c r="L2" s="1003"/>
      <c r="M2" s="1003"/>
      <c r="N2" s="1003"/>
      <c r="O2" s="1003"/>
      <c r="P2" s="1003"/>
      <c r="Q2" s="1003"/>
      <c r="R2" s="1003"/>
      <c r="S2" s="1003"/>
      <c r="T2" s="1003"/>
      <c r="U2" s="1003"/>
      <c r="V2" s="1003"/>
      <c r="W2" s="1003"/>
      <c r="X2" s="1003"/>
      <c r="Y2" s="1003"/>
      <c r="Z2" s="1003"/>
      <c r="AA2" s="1004"/>
      <c r="AC2" s="312">
        <v>240</v>
      </c>
    </row>
    <row r="3" spans="1:29" ht="60.75" thickBot="1">
      <c r="A3" s="313" t="s">
        <v>454</v>
      </c>
      <c r="B3" s="314" t="s">
        <v>455</v>
      </c>
      <c r="C3" s="314" t="s">
        <v>456</v>
      </c>
      <c r="D3" s="314" t="s">
        <v>457</v>
      </c>
      <c r="E3" s="314" t="s">
        <v>458</v>
      </c>
      <c r="F3" s="314" t="s">
        <v>459</v>
      </c>
      <c r="G3" s="314" t="s">
        <v>460</v>
      </c>
      <c r="H3" s="314" t="s">
        <v>461</v>
      </c>
      <c r="I3" s="314" t="s">
        <v>462</v>
      </c>
      <c r="J3" s="314" t="s">
        <v>463</v>
      </c>
      <c r="K3" s="314" t="s">
        <v>464</v>
      </c>
      <c r="L3" s="314" t="s">
        <v>465</v>
      </c>
      <c r="M3" s="315" t="s">
        <v>466</v>
      </c>
      <c r="N3" s="314" t="s">
        <v>467</v>
      </c>
      <c r="O3" s="314" t="s">
        <v>468</v>
      </c>
      <c r="P3" s="316" t="s">
        <v>469</v>
      </c>
      <c r="Q3" s="314" t="s">
        <v>470</v>
      </c>
      <c r="R3" s="317" t="s">
        <v>471</v>
      </c>
      <c r="S3" s="317" t="s">
        <v>472</v>
      </c>
      <c r="T3" s="317" t="s">
        <v>473</v>
      </c>
      <c r="U3" s="318" t="s">
        <v>474</v>
      </c>
      <c r="V3" s="319" t="s">
        <v>475</v>
      </c>
      <c r="W3" s="319" t="s">
        <v>476</v>
      </c>
      <c r="X3" s="319" t="s">
        <v>477</v>
      </c>
      <c r="Y3" s="319" t="s">
        <v>478</v>
      </c>
      <c r="Z3" s="319" t="s">
        <v>479</v>
      </c>
      <c r="AA3" s="320" t="s">
        <v>480</v>
      </c>
    </row>
    <row r="4" spans="1:29">
      <c r="A4" s="321" t="s">
        <v>481</v>
      </c>
      <c r="B4" s="322"/>
      <c r="C4" s="323"/>
      <c r="D4" s="322"/>
      <c r="E4" s="322"/>
      <c r="F4" s="322"/>
      <c r="G4" s="322"/>
      <c r="H4" s="322"/>
      <c r="I4" s="322"/>
      <c r="J4" s="322"/>
      <c r="K4" s="322"/>
      <c r="L4" s="322"/>
      <c r="M4" s="324"/>
      <c r="N4" s="322"/>
      <c r="O4" s="322"/>
      <c r="P4" s="322"/>
      <c r="Q4" s="322"/>
      <c r="R4" s="322"/>
      <c r="S4" s="322"/>
      <c r="T4" s="322"/>
      <c r="U4" s="322"/>
      <c r="V4" s="322"/>
      <c r="W4" s="322"/>
      <c r="X4" s="322"/>
      <c r="Y4" s="322"/>
      <c r="Z4" s="322"/>
      <c r="AA4" s="325"/>
    </row>
    <row r="5" spans="1:29" ht="75">
      <c r="A5" s="326" t="s">
        <v>482</v>
      </c>
      <c r="B5" s="326">
        <v>71210225</v>
      </c>
      <c r="C5" s="327" t="s">
        <v>483</v>
      </c>
      <c r="D5" s="537">
        <v>4477062</v>
      </c>
      <c r="E5" s="328">
        <v>45763</v>
      </c>
      <c r="F5" s="329"/>
      <c r="G5" s="330">
        <v>240</v>
      </c>
      <c r="H5" s="330"/>
      <c r="I5" s="327"/>
      <c r="J5" s="327"/>
      <c r="K5" s="331"/>
      <c r="L5" s="331"/>
      <c r="M5" s="332">
        <v>40</v>
      </c>
      <c r="N5" s="330">
        <v>16</v>
      </c>
      <c r="O5" s="331"/>
      <c r="P5" s="331"/>
      <c r="Q5" s="331"/>
      <c r="R5" s="333"/>
      <c r="S5" s="333"/>
      <c r="T5" s="333"/>
      <c r="U5" s="329"/>
      <c r="V5" s="329"/>
      <c r="W5" s="329"/>
      <c r="X5" s="329"/>
      <c r="Y5" s="329"/>
      <c r="Z5" s="329"/>
      <c r="AA5" s="330" t="s">
        <v>484</v>
      </c>
    </row>
    <row r="6" spans="1:29">
      <c r="A6" s="334" t="s">
        <v>485</v>
      </c>
      <c r="B6" s="335"/>
      <c r="C6" s="336"/>
      <c r="D6" s="335"/>
      <c r="E6" s="335"/>
      <c r="F6" s="335"/>
      <c r="G6" s="335"/>
      <c r="H6" s="335"/>
      <c r="I6" s="335"/>
      <c r="J6" s="335"/>
      <c r="K6" s="335"/>
      <c r="L6" s="335"/>
      <c r="M6" s="337"/>
      <c r="N6" s="335"/>
      <c r="O6" s="335"/>
      <c r="P6" s="335"/>
      <c r="Q6" s="335"/>
      <c r="R6" s="335"/>
      <c r="S6" s="335"/>
      <c r="T6" s="335"/>
      <c r="U6" s="335"/>
      <c r="V6" s="335"/>
      <c r="W6" s="335"/>
      <c r="X6" s="335"/>
      <c r="Y6" s="335"/>
      <c r="Z6" s="335"/>
      <c r="AA6" s="338"/>
    </row>
    <row r="7" spans="1:29" ht="15.75">
      <c r="A7" s="339" t="s">
        <v>482</v>
      </c>
      <c r="B7" s="339"/>
      <c r="C7" s="340"/>
      <c r="D7" s="537">
        <v>3067772</v>
      </c>
      <c r="E7" s="341"/>
      <c r="F7" s="327"/>
      <c r="G7" s="329"/>
      <c r="H7" s="329"/>
      <c r="I7" s="329"/>
      <c r="J7" s="329"/>
      <c r="K7" s="329"/>
      <c r="L7" s="329"/>
      <c r="M7" s="342"/>
      <c r="N7" s="329"/>
      <c r="O7" s="329"/>
      <c r="P7" s="329"/>
      <c r="Q7" s="329"/>
      <c r="R7" s="329"/>
      <c r="S7" s="329"/>
      <c r="T7" s="329"/>
      <c r="U7" s="329"/>
      <c r="V7" s="329"/>
      <c r="W7" s="329"/>
      <c r="X7" s="329"/>
      <c r="Y7" s="329"/>
      <c r="Z7" s="329"/>
      <c r="AA7" s="330"/>
    </row>
    <row r="8" spans="1:29">
      <c r="A8" s="343" t="s">
        <v>486</v>
      </c>
      <c r="B8" s="335"/>
      <c r="C8" s="336"/>
      <c r="D8" s="335"/>
      <c r="E8" s="335"/>
      <c r="F8" s="335"/>
      <c r="G8" s="335"/>
      <c r="H8" s="335"/>
      <c r="I8" s="335"/>
      <c r="J8" s="335"/>
      <c r="K8" s="335"/>
      <c r="L8" s="335"/>
      <c r="M8" s="337"/>
      <c r="N8" s="335"/>
      <c r="O8" s="335"/>
      <c r="P8" s="335"/>
      <c r="Q8" s="335"/>
      <c r="R8" s="335"/>
      <c r="S8" s="335"/>
      <c r="T8" s="335"/>
      <c r="U8" s="335"/>
      <c r="V8" s="335"/>
      <c r="W8" s="335"/>
      <c r="X8" s="335"/>
      <c r="Y8" s="335"/>
      <c r="Z8" s="335"/>
      <c r="AA8" s="338"/>
    </row>
    <row r="9" spans="1:29" ht="45">
      <c r="A9" s="326" t="s">
        <v>482</v>
      </c>
      <c r="B9" s="326">
        <v>1001744300</v>
      </c>
      <c r="C9" s="327" t="s">
        <v>487</v>
      </c>
      <c r="D9" s="344">
        <v>1954575</v>
      </c>
      <c r="E9" s="328">
        <v>45763</v>
      </c>
      <c r="F9" s="329"/>
      <c r="G9" s="330">
        <v>240</v>
      </c>
      <c r="H9" s="330">
        <v>240</v>
      </c>
      <c r="I9" s="327"/>
      <c r="J9" s="327"/>
      <c r="K9" s="331"/>
      <c r="L9" s="331"/>
      <c r="M9" s="332">
        <v>40</v>
      </c>
      <c r="N9" s="330"/>
      <c r="O9" s="331"/>
      <c r="P9" s="331"/>
      <c r="Q9" s="331"/>
      <c r="R9" s="333"/>
      <c r="S9" s="333"/>
      <c r="T9" s="333"/>
      <c r="U9" s="329"/>
      <c r="V9" s="329"/>
      <c r="W9" s="329"/>
      <c r="X9" s="329"/>
      <c r="Y9" s="329"/>
      <c r="Z9" s="329"/>
      <c r="AA9" s="330" t="s">
        <v>488</v>
      </c>
    </row>
    <row r="10" spans="1:29">
      <c r="A10" s="343" t="s">
        <v>489</v>
      </c>
      <c r="B10" s="335"/>
      <c r="C10" s="336"/>
      <c r="D10" s="335"/>
      <c r="E10" s="335"/>
      <c r="F10" s="335"/>
      <c r="G10" s="335"/>
      <c r="H10" s="335"/>
      <c r="I10" s="335"/>
      <c r="J10" s="335"/>
      <c r="K10" s="335"/>
      <c r="L10" s="335"/>
      <c r="M10" s="337"/>
      <c r="N10" s="335"/>
      <c r="O10" s="335"/>
      <c r="P10" s="335"/>
      <c r="Q10" s="335"/>
      <c r="R10" s="335"/>
      <c r="S10" s="335"/>
      <c r="T10" s="335"/>
      <c r="U10" s="335"/>
      <c r="V10" s="335"/>
      <c r="W10" s="335"/>
      <c r="X10" s="335"/>
      <c r="Y10" s="335"/>
      <c r="Z10" s="335"/>
      <c r="AA10" s="338"/>
    </row>
    <row r="11" spans="1:29" ht="75">
      <c r="A11" s="339" t="s">
        <v>482</v>
      </c>
      <c r="B11" s="326">
        <v>1001634113</v>
      </c>
      <c r="C11" s="327" t="s">
        <v>490</v>
      </c>
      <c r="D11" s="537">
        <v>2951621</v>
      </c>
      <c r="E11" s="328">
        <v>45763</v>
      </c>
      <c r="F11" s="345"/>
      <c r="G11" s="330">
        <v>240</v>
      </c>
      <c r="H11" s="330"/>
      <c r="I11" s="327"/>
      <c r="J11" s="327"/>
      <c r="K11" s="331"/>
      <c r="L11" s="331"/>
      <c r="M11" s="332">
        <v>40</v>
      </c>
      <c r="N11" s="330">
        <v>16</v>
      </c>
      <c r="O11" s="331"/>
      <c r="P11" s="331"/>
      <c r="Q11" s="331"/>
      <c r="R11" s="339"/>
      <c r="S11" s="339"/>
      <c r="T11" s="333"/>
      <c r="U11" s="329"/>
      <c r="V11" s="329"/>
      <c r="W11" s="329"/>
      <c r="X11" s="329"/>
      <c r="Y11" s="329"/>
      <c r="Z11" s="329"/>
      <c r="AA11" s="330" t="s">
        <v>484</v>
      </c>
    </row>
    <row r="12" spans="1:29">
      <c r="A12" s="343" t="s">
        <v>491</v>
      </c>
      <c r="B12" s="335"/>
      <c r="C12" s="336"/>
      <c r="D12" s="335"/>
      <c r="E12" s="335"/>
      <c r="F12" s="335"/>
      <c r="G12" s="335"/>
      <c r="H12" s="335"/>
      <c r="I12" s="335"/>
      <c r="J12" s="335"/>
      <c r="K12" s="335"/>
      <c r="L12" s="335"/>
      <c r="M12" s="337"/>
      <c r="N12" s="335"/>
      <c r="O12" s="335"/>
      <c r="P12" s="335"/>
      <c r="Q12" s="335"/>
      <c r="R12" s="335"/>
      <c r="S12" s="335"/>
      <c r="T12" s="335"/>
      <c r="U12" s="335"/>
      <c r="V12" s="335"/>
      <c r="W12" s="335"/>
      <c r="X12" s="335"/>
      <c r="Y12" s="335"/>
      <c r="Z12" s="335"/>
      <c r="AA12" s="338"/>
    </row>
    <row r="13" spans="1:29" ht="15.75">
      <c r="A13" s="339" t="s">
        <v>482</v>
      </c>
      <c r="B13" s="346"/>
      <c r="C13" s="340"/>
      <c r="D13" s="538">
        <v>3067772</v>
      </c>
      <c r="E13" s="341"/>
      <c r="F13" s="327"/>
      <c r="G13" s="327"/>
      <c r="H13" s="327"/>
      <c r="I13" s="327"/>
      <c r="J13" s="327"/>
      <c r="K13" s="331"/>
      <c r="L13" s="331"/>
      <c r="M13" s="347"/>
      <c r="N13" s="327"/>
      <c r="O13" s="331"/>
      <c r="P13" s="331"/>
      <c r="Q13" s="331"/>
      <c r="R13" s="339"/>
      <c r="S13" s="339"/>
      <c r="T13" s="333"/>
      <c r="U13" s="329"/>
      <c r="V13" s="329"/>
      <c r="W13" s="329"/>
      <c r="X13" s="329"/>
      <c r="Y13" s="329"/>
      <c r="Z13" s="329"/>
      <c r="AA13" s="330"/>
    </row>
    <row r="14" spans="1:29">
      <c r="A14" s="343" t="s">
        <v>492</v>
      </c>
      <c r="B14" s="348"/>
      <c r="C14" s="336"/>
      <c r="D14" s="335"/>
      <c r="E14" s="335"/>
      <c r="F14" s="335"/>
      <c r="G14" s="335"/>
      <c r="H14" s="335"/>
      <c r="I14" s="335"/>
      <c r="J14" s="335"/>
      <c r="K14" s="335"/>
      <c r="L14" s="335"/>
      <c r="M14" s="337"/>
      <c r="N14" s="335"/>
      <c r="O14" s="335"/>
      <c r="P14" s="335"/>
      <c r="Q14" s="335"/>
      <c r="R14" s="335"/>
      <c r="S14" s="335"/>
      <c r="T14" s="335"/>
      <c r="U14" s="335"/>
      <c r="V14" s="335"/>
      <c r="W14" s="335"/>
      <c r="X14" s="335"/>
      <c r="Y14" s="335"/>
      <c r="Z14" s="335"/>
      <c r="AA14" s="338"/>
    </row>
    <row r="15" spans="1:29" ht="75">
      <c r="A15" s="326" t="s">
        <v>482</v>
      </c>
      <c r="B15" s="346">
        <v>98491930</v>
      </c>
      <c r="C15" s="327" t="s">
        <v>493</v>
      </c>
      <c r="D15" s="349">
        <v>1641371</v>
      </c>
      <c r="E15" s="328">
        <v>45763</v>
      </c>
      <c r="F15" s="329"/>
      <c r="G15" s="330">
        <v>240</v>
      </c>
      <c r="H15" s="330">
        <v>240</v>
      </c>
      <c r="I15" s="327"/>
      <c r="J15" s="327"/>
      <c r="K15" s="331"/>
      <c r="L15" s="331"/>
      <c r="M15" s="332">
        <v>40</v>
      </c>
      <c r="N15" s="330">
        <v>16</v>
      </c>
      <c r="O15" s="331"/>
      <c r="P15" s="331"/>
      <c r="Q15" s="331"/>
      <c r="R15" s="333"/>
      <c r="S15" s="333"/>
      <c r="T15" s="333"/>
      <c r="U15" s="329"/>
      <c r="V15" s="329"/>
      <c r="W15" s="329"/>
      <c r="X15" s="329"/>
      <c r="Y15" s="329"/>
      <c r="Z15" s="329"/>
      <c r="AA15" s="330" t="s">
        <v>484</v>
      </c>
    </row>
    <row r="16" spans="1:29">
      <c r="A16" s="343" t="s">
        <v>494</v>
      </c>
      <c r="B16" s="335"/>
      <c r="C16" s="336"/>
      <c r="D16" s="335"/>
      <c r="E16" s="335"/>
      <c r="F16" s="335"/>
      <c r="G16" s="335"/>
      <c r="H16" s="335"/>
      <c r="I16" s="335"/>
      <c r="J16" s="335"/>
      <c r="K16" s="335"/>
      <c r="L16" s="335"/>
      <c r="M16" s="337"/>
      <c r="N16" s="335"/>
      <c r="O16" s="335"/>
      <c r="P16" s="335"/>
      <c r="Q16" s="335"/>
      <c r="R16" s="335"/>
      <c r="S16" s="335"/>
      <c r="T16" s="335"/>
      <c r="U16" s="335"/>
      <c r="V16" s="335"/>
      <c r="W16" s="335"/>
      <c r="X16" s="335"/>
      <c r="Y16" s="335"/>
      <c r="Z16" s="335"/>
      <c r="AA16" s="338"/>
    </row>
    <row r="17" spans="1:27" ht="60">
      <c r="A17" s="326" t="s">
        <v>482</v>
      </c>
      <c r="B17" s="326">
        <v>1035223202</v>
      </c>
      <c r="C17" s="330" t="s">
        <v>495</v>
      </c>
      <c r="D17" s="349">
        <v>2617190</v>
      </c>
      <c r="E17" s="328">
        <v>45763</v>
      </c>
      <c r="F17" s="329"/>
      <c r="G17" s="330">
        <v>240</v>
      </c>
      <c r="H17" s="330">
        <v>240</v>
      </c>
      <c r="I17" s="327"/>
      <c r="J17" s="327"/>
      <c r="K17" s="331"/>
      <c r="L17" s="331"/>
      <c r="M17" s="332">
        <v>24</v>
      </c>
      <c r="N17" s="330">
        <v>16</v>
      </c>
      <c r="O17" s="331"/>
      <c r="P17" s="331"/>
      <c r="Q17" s="331"/>
      <c r="R17" s="333"/>
      <c r="S17" s="333"/>
      <c r="T17" s="333"/>
      <c r="U17" s="329"/>
      <c r="V17" s="329"/>
      <c r="W17" s="329"/>
      <c r="X17" s="329"/>
      <c r="Y17" s="329"/>
      <c r="Z17" s="329"/>
      <c r="AA17" s="330" t="s">
        <v>496</v>
      </c>
    </row>
    <row r="18" spans="1:27">
      <c r="A18" s="350" t="s">
        <v>497</v>
      </c>
      <c r="B18" s="351"/>
      <c r="C18" s="352"/>
      <c r="D18" s="351"/>
      <c r="E18" s="351"/>
      <c r="F18" s="335"/>
      <c r="G18" s="335"/>
      <c r="H18" s="335"/>
      <c r="I18" s="335"/>
      <c r="J18" s="335"/>
      <c r="K18" s="335"/>
      <c r="L18" s="335"/>
      <c r="M18" s="337"/>
      <c r="N18" s="335"/>
      <c r="O18" s="335"/>
      <c r="P18" s="335"/>
      <c r="Q18" s="335"/>
      <c r="R18" s="335"/>
      <c r="S18" s="335"/>
      <c r="T18" s="335"/>
      <c r="U18" s="335"/>
      <c r="V18" s="335"/>
      <c r="W18" s="335"/>
      <c r="X18" s="335"/>
      <c r="Y18" s="335"/>
      <c r="Z18" s="335"/>
      <c r="AA18" s="338"/>
    </row>
    <row r="19" spans="1:27" ht="75">
      <c r="A19" s="327" t="s">
        <v>482</v>
      </c>
      <c r="B19" s="326">
        <v>1152197190</v>
      </c>
      <c r="C19" s="353" t="s">
        <v>498</v>
      </c>
      <c r="D19" s="349">
        <v>3589848</v>
      </c>
      <c r="E19" s="328">
        <v>45763</v>
      </c>
      <c r="F19" s="329"/>
      <c r="G19" s="330">
        <v>240</v>
      </c>
      <c r="H19" s="330"/>
      <c r="I19" s="327"/>
      <c r="J19" s="327"/>
      <c r="K19" s="331"/>
      <c r="L19" s="331"/>
      <c r="M19" s="332">
        <v>40</v>
      </c>
      <c r="N19" s="330">
        <v>16</v>
      </c>
      <c r="O19" s="331"/>
      <c r="P19" s="331"/>
      <c r="Q19" s="331"/>
      <c r="R19" s="333"/>
      <c r="S19" s="333"/>
      <c r="T19" s="333"/>
      <c r="U19" s="329"/>
      <c r="V19" s="329"/>
      <c r="W19" s="329"/>
      <c r="X19" s="329"/>
      <c r="Y19" s="329"/>
      <c r="Z19" s="329"/>
      <c r="AA19" s="330" t="s">
        <v>484</v>
      </c>
    </row>
    <row r="20" spans="1:27">
      <c r="A20" s="343" t="s">
        <v>499</v>
      </c>
      <c r="B20" s="335"/>
      <c r="C20" s="336"/>
      <c r="D20" s="335"/>
      <c r="E20" s="335"/>
      <c r="F20" s="335"/>
      <c r="G20" s="335"/>
      <c r="H20" s="335"/>
      <c r="I20" s="335"/>
      <c r="J20" s="335"/>
      <c r="K20" s="335"/>
      <c r="L20" s="335"/>
      <c r="M20" s="337"/>
      <c r="N20" s="335"/>
      <c r="O20" s="335"/>
      <c r="P20" s="335"/>
      <c r="Q20" s="335"/>
      <c r="R20" s="335"/>
      <c r="S20" s="335"/>
      <c r="T20" s="335"/>
      <c r="U20" s="335"/>
      <c r="V20" s="335"/>
      <c r="W20" s="335"/>
      <c r="X20" s="335"/>
      <c r="Y20" s="335"/>
      <c r="Z20" s="335"/>
      <c r="AA20" s="338"/>
    </row>
    <row r="21" spans="1:27" ht="75">
      <c r="A21" s="327" t="s">
        <v>482</v>
      </c>
      <c r="B21" s="354">
        <v>1046915436</v>
      </c>
      <c r="C21" s="355" t="s">
        <v>500</v>
      </c>
      <c r="D21" s="349">
        <v>1954575</v>
      </c>
      <c r="E21" s="356">
        <v>45864</v>
      </c>
      <c r="F21" s="357" t="s">
        <v>501</v>
      </c>
      <c r="G21" s="330">
        <v>240</v>
      </c>
      <c r="H21" s="330">
        <v>240</v>
      </c>
      <c r="I21" s="327"/>
      <c r="J21" s="327"/>
      <c r="K21" s="331"/>
      <c r="L21" s="331"/>
      <c r="M21" s="332">
        <v>40</v>
      </c>
      <c r="N21" s="330">
        <v>16</v>
      </c>
      <c r="O21" s="358"/>
      <c r="P21" s="358"/>
      <c r="Q21" s="358"/>
      <c r="R21" s="358"/>
      <c r="S21" s="358"/>
      <c r="T21" s="358"/>
      <c r="U21" s="358"/>
      <c r="V21" s="358"/>
      <c r="W21" s="358"/>
      <c r="X21" s="358"/>
      <c r="Y21" s="358"/>
      <c r="Z21" s="358"/>
      <c r="AA21" s="330" t="s">
        <v>484</v>
      </c>
    </row>
    <row r="22" spans="1:27" ht="75">
      <c r="A22" s="326" t="s">
        <v>482</v>
      </c>
      <c r="B22" s="359">
        <v>1000640864</v>
      </c>
      <c r="C22" s="360" t="s">
        <v>502</v>
      </c>
      <c r="D22" s="349">
        <v>1954575</v>
      </c>
      <c r="E22" s="361">
        <v>45870</v>
      </c>
      <c r="F22" s="361"/>
      <c r="G22" s="330">
        <v>240</v>
      </c>
      <c r="H22" s="330">
        <v>240</v>
      </c>
      <c r="I22" s="327"/>
      <c r="J22" s="327"/>
      <c r="K22" s="331"/>
      <c r="L22" s="331"/>
      <c r="M22" s="332">
        <v>40</v>
      </c>
      <c r="N22" s="330">
        <v>16</v>
      </c>
      <c r="O22" s="331"/>
      <c r="P22" s="331"/>
      <c r="Q22" s="331"/>
      <c r="R22" s="333"/>
      <c r="S22" s="333"/>
      <c r="T22" s="333"/>
      <c r="U22" s="329"/>
      <c r="V22" s="329"/>
      <c r="W22" s="333"/>
      <c r="X22" s="329"/>
      <c r="Y22" s="329"/>
      <c r="Z22" s="329"/>
      <c r="AA22" s="330" t="s">
        <v>484</v>
      </c>
    </row>
    <row r="23" spans="1:27">
      <c r="A23" s="362" t="s">
        <v>503</v>
      </c>
      <c r="B23" s="363"/>
      <c r="C23" s="364"/>
      <c r="D23" s="363"/>
      <c r="E23" s="363"/>
      <c r="F23" s="363"/>
      <c r="G23" s="363"/>
      <c r="H23" s="363"/>
      <c r="I23" s="363"/>
      <c r="J23" s="363"/>
      <c r="K23" s="363"/>
      <c r="L23" s="363"/>
      <c r="M23" s="365"/>
      <c r="N23" s="363"/>
      <c r="O23" s="363"/>
      <c r="P23" s="363"/>
      <c r="Q23" s="363"/>
      <c r="R23" s="363"/>
      <c r="S23" s="363"/>
      <c r="T23" s="363"/>
      <c r="U23" s="363"/>
      <c r="V23" s="363"/>
      <c r="W23" s="363"/>
      <c r="X23" s="363"/>
      <c r="Y23" s="363"/>
      <c r="Z23" s="363"/>
      <c r="AA23" s="363"/>
    </row>
    <row r="24" spans="1:27" ht="75">
      <c r="A24" s="326" t="s">
        <v>482</v>
      </c>
      <c r="B24" s="326">
        <v>1035225643</v>
      </c>
      <c r="C24" s="327" t="s">
        <v>504</v>
      </c>
      <c r="D24" s="349">
        <v>1954575</v>
      </c>
      <c r="E24" s="328">
        <v>45763</v>
      </c>
      <c r="F24" s="330"/>
      <c r="G24" s="330">
        <v>240</v>
      </c>
      <c r="H24" s="330">
        <v>240</v>
      </c>
      <c r="I24" s="327"/>
      <c r="J24" s="327"/>
      <c r="K24" s="331"/>
      <c r="L24" s="331"/>
      <c r="M24" s="332">
        <v>40</v>
      </c>
      <c r="N24" s="330">
        <v>16</v>
      </c>
      <c r="O24" s="331"/>
      <c r="P24" s="331"/>
      <c r="Q24" s="331"/>
      <c r="R24" s="333"/>
      <c r="S24" s="333"/>
      <c r="T24" s="333"/>
      <c r="U24" s="329"/>
      <c r="V24" s="329"/>
      <c r="W24" s="329"/>
      <c r="X24" s="329"/>
      <c r="Y24" s="329"/>
      <c r="Z24" s="329"/>
      <c r="AA24" s="330" t="s">
        <v>484</v>
      </c>
    </row>
    <row r="25" spans="1:27">
      <c r="A25" s="343" t="s">
        <v>505</v>
      </c>
      <c r="B25" s="335"/>
      <c r="C25" s="336"/>
      <c r="D25" s="335"/>
      <c r="E25" s="335"/>
      <c r="F25" s="335"/>
      <c r="G25" s="335"/>
      <c r="H25" s="335"/>
      <c r="I25" s="335"/>
      <c r="J25" s="335"/>
      <c r="K25" s="335"/>
      <c r="L25" s="335"/>
      <c r="M25" s="337"/>
      <c r="N25" s="335"/>
      <c r="O25" s="335"/>
      <c r="P25" s="335"/>
      <c r="Q25" s="335"/>
      <c r="R25" s="335"/>
      <c r="S25" s="335"/>
      <c r="T25" s="335"/>
      <c r="U25" s="335"/>
      <c r="V25" s="335"/>
      <c r="W25" s="335"/>
      <c r="X25" s="335"/>
      <c r="Y25" s="335"/>
      <c r="Z25" s="335"/>
      <c r="AA25" s="338"/>
    </row>
    <row r="26" spans="1:27" ht="15.75">
      <c r="A26" s="326" t="s">
        <v>482</v>
      </c>
      <c r="B26" s="346"/>
      <c r="C26" s="353"/>
      <c r="D26" s="349">
        <v>1758120</v>
      </c>
      <c r="E26" s="328"/>
      <c r="F26" s="366"/>
      <c r="G26" s="330"/>
      <c r="H26" s="330"/>
      <c r="I26" s="327"/>
      <c r="J26" s="327"/>
      <c r="K26" s="331"/>
      <c r="L26" s="331"/>
      <c r="M26" s="332"/>
      <c r="N26" s="330"/>
      <c r="O26" s="331"/>
      <c r="P26" s="331"/>
      <c r="Q26" s="331"/>
      <c r="R26" s="333"/>
      <c r="S26" s="333"/>
      <c r="T26" s="333"/>
      <c r="U26" s="329"/>
      <c r="V26" s="329"/>
      <c r="W26" s="329"/>
      <c r="X26" s="329"/>
      <c r="Y26" s="329"/>
      <c r="Z26" s="329"/>
      <c r="AA26" s="330"/>
    </row>
    <row r="27" spans="1:27">
      <c r="A27" s="343" t="s">
        <v>506</v>
      </c>
      <c r="B27" s="367"/>
      <c r="C27" s="336"/>
      <c r="D27" s="335"/>
      <c r="E27" s="335"/>
      <c r="F27" s="367"/>
      <c r="G27" s="367"/>
      <c r="H27" s="367"/>
      <c r="I27" s="367"/>
      <c r="J27" s="367"/>
      <c r="K27" s="367"/>
      <c r="L27" s="367"/>
      <c r="M27" s="367"/>
      <c r="N27" s="367"/>
      <c r="O27" s="367"/>
      <c r="P27" s="367"/>
      <c r="Q27" s="367"/>
      <c r="R27" s="367"/>
      <c r="S27" s="367"/>
      <c r="T27" s="367"/>
      <c r="U27" s="367"/>
      <c r="V27" s="367"/>
      <c r="W27" s="367"/>
      <c r="X27" s="367"/>
      <c r="Y27" s="367"/>
      <c r="Z27" s="367"/>
      <c r="AA27" s="367"/>
    </row>
    <row r="28" spans="1:27" ht="60">
      <c r="A28" s="326" t="s">
        <v>482</v>
      </c>
      <c r="B28" s="346">
        <v>70139977</v>
      </c>
      <c r="C28" s="327" t="s">
        <v>507</v>
      </c>
      <c r="D28" s="349">
        <v>2617190</v>
      </c>
      <c r="E28" s="328">
        <v>45763</v>
      </c>
      <c r="F28" s="368"/>
      <c r="G28" s="330">
        <v>240</v>
      </c>
      <c r="H28" s="330">
        <v>240</v>
      </c>
      <c r="I28" s="327"/>
      <c r="J28" s="327"/>
      <c r="K28" s="331"/>
      <c r="L28" s="331"/>
      <c r="M28" s="332">
        <v>32</v>
      </c>
      <c r="N28" s="330">
        <v>16</v>
      </c>
      <c r="O28" s="331"/>
      <c r="P28" s="331"/>
      <c r="Q28" s="331"/>
      <c r="R28" s="333"/>
      <c r="S28" s="333"/>
      <c r="T28" s="333"/>
      <c r="U28" s="329"/>
      <c r="V28" s="329"/>
      <c r="W28" s="329"/>
      <c r="X28" s="329"/>
      <c r="Y28" s="329"/>
      <c r="Z28" s="329"/>
      <c r="AA28" s="330" t="s">
        <v>508</v>
      </c>
    </row>
    <row r="29" spans="1:27" ht="75">
      <c r="A29" s="326" t="s">
        <v>482</v>
      </c>
      <c r="B29" s="346">
        <v>70137763</v>
      </c>
      <c r="C29" s="327" t="s">
        <v>509</v>
      </c>
      <c r="D29" s="349">
        <v>2617190</v>
      </c>
      <c r="E29" s="328">
        <v>45763</v>
      </c>
      <c r="F29" s="331"/>
      <c r="G29" s="330">
        <v>240</v>
      </c>
      <c r="H29" s="330">
        <v>240</v>
      </c>
      <c r="I29" s="327"/>
      <c r="J29" s="327"/>
      <c r="K29" s="331"/>
      <c r="L29" s="331"/>
      <c r="M29" s="332">
        <v>40</v>
      </c>
      <c r="N29" s="330">
        <v>16</v>
      </c>
      <c r="O29" s="331"/>
      <c r="P29" s="331"/>
      <c r="Q29" s="331"/>
      <c r="R29" s="326"/>
      <c r="S29" s="326"/>
      <c r="T29" s="326"/>
      <c r="U29" s="331"/>
      <c r="V29" s="331"/>
      <c r="W29" s="331"/>
      <c r="X29" s="331"/>
      <c r="Y29" s="331"/>
      <c r="Z29" s="331"/>
      <c r="AA29" s="330" t="s">
        <v>484</v>
      </c>
    </row>
    <row r="30" spans="1:27" ht="75">
      <c r="A30" s="326" t="s">
        <v>482</v>
      </c>
      <c r="B30" s="326">
        <v>1095786445</v>
      </c>
      <c r="C30" s="327" t="s">
        <v>510</v>
      </c>
      <c r="D30" s="349">
        <v>2617190</v>
      </c>
      <c r="E30" s="328">
        <v>45763</v>
      </c>
      <c r="F30" s="331"/>
      <c r="G30" s="330">
        <v>240</v>
      </c>
      <c r="H30" s="330">
        <v>240</v>
      </c>
      <c r="I30" s="327"/>
      <c r="J30" s="327"/>
      <c r="K30" s="331"/>
      <c r="L30" s="331"/>
      <c r="M30" s="332">
        <v>40</v>
      </c>
      <c r="N30" s="330">
        <v>16</v>
      </c>
      <c r="O30" s="331"/>
      <c r="P30" s="331"/>
      <c r="Q30" s="331"/>
      <c r="R30" s="326"/>
      <c r="S30" s="326"/>
      <c r="T30" s="326"/>
      <c r="U30" s="331"/>
      <c r="V30" s="331"/>
      <c r="W30" s="331"/>
      <c r="X30" s="331"/>
      <c r="Y30" s="331"/>
      <c r="Z30" s="331"/>
      <c r="AA30" s="330" t="s">
        <v>484</v>
      </c>
    </row>
    <row r="31" spans="1:27" ht="75">
      <c r="A31" s="326" t="s">
        <v>482</v>
      </c>
      <c r="B31" s="326">
        <v>1002089412</v>
      </c>
      <c r="C31" s="327" t="s">
        <v>511</v>
      </c>
      <c r="D31" s="349">
        <v>2617190</v>
      </c>
      <c r="E31" s="328">
        <v>45763</v>
      </c>
      <c r="F31" s="331"/>
      <c r="G31" s="330">
        <v>240</v>
      </c>
      <c r="H31" s="330">
        <v>240</v>
      </c>
      <c r="I31" s="327"/>
      <c r="J31" s="327"/>
      <c r="K31" s="331"/>
      <c r="L31" s="331"/>
      <c r="M31" s="332">
        <v>40</v>
      </c>
      <c r="N31" s="330">
        <v>16</v>
      </c>
      <c r="O31" s="331"/>
      <c r="P31" s="331"/>
      <c r="Q31" s="331"/>
      <c r="R31" s="326"/>
      <c r="S31" s="326"/>
      <c r="T31" s="326"/>
      <c r="U31" s="331"/>
      <c r="V31" s="331"/>
      <c r="W31" s="331"/>
      <c r="X31" s="331"/>
      <c r="Y31" s="331"/>
      <c r="Z31" s="331"/>
      <c r="AA31" s="330" t="s">
        <v>484</v>
      </c>
    </row>
    <row r="32" spans="1:27">
      <c r="A32" s="343" t="s">
        <v>512</v>
      </c>
      <c r="B32" s="335"/>
      <c r="C32" s="336"/>
      <c r="D32" s="335"/>
      <c r="E32" s="335"/>
      <c r="F32" s="335"/>
      <c r="G32" s="335"/>
      <c r="H32" s="335"/>
      <c r="I32" s="335"/>
      <c r="J32" s="335"/>
      <c r="K32" s="335"/>
      <c r="L32" s="335"/>
      <c r="M32" s="337"/>
      <c r="N32" s="335"/>
      <c r="O32" s="335"/>
      <c r="P32" s="335"/>
      <c r="Q32" s="335"/>
      <c r="R32" s="335"/>
      <c r="S32" s="335"/>
      <c r="T32" s="335"/>
      <c r="U32" s="335"/>
      <c r="V32" s="335"/>
      <c r="W32" s="335"/>
      <c r="X32" s="335"/>
      <c r="Y32" s="335"/>
      <c r="Z32" s="335"/>
      <c r="AA32" s="338"/>
    </row>
    <row r="33" spans="1:27" ht="60">
      <c r="A33" s="326" t="s">
        <v>482</v>
      </c>
      <c r="B33" s="326">
        <v>70324579</v>
      </c>
      <c r="C33" s="327" t="s">
        <v>513</v>
      </c>
      <c r="D33" s="349">
        <v>1832465</v>
      </c>
      <c r="E33" s="328">
        <v>45763</v>
      </c>
      <c r="F33" s="330"/>
      <c r="G33" s="330">
        <v>240</v>
      </c>
      <c r="H33" s="330">
        <v>240</v>
      </c>
      <c r="I33" s="327"/>
      <c r="J33" s="327"/>
      <c r="K33" s="331"/>
      <c r="L33" s="331"/>
      <c r="M33" s="332">
        <v>32</v>
      </c>
      <c r="N33" s="330">
        <v>16</v>
      </c>
      <c r="O33" s="331"/>
      <c r="P33" s="331"/>
      <c r="Q33" s="331"/>
      <c r="R33" s="333"/>
      <c r="S33" s="333"/>
      <c r="T33" s="333"/>
      <c r="U33" s="329"/>
      <c r="V33" s="329"/>
      <c r="W33" s="329"/>
      <c r="X33" s="329"/>
      <c r="Y33" s="329"/>
      <c r="Z33" s="329"/>
      <c r="AA33" s="330" t="s">
        <v>508</v>
      </c>
    </row>
    <row r="34" spans="1:27">
      <c r="A34" s="350" t="s">
        <v>514</v>
      </c>
      <c r="B34" s="351"/>
      <c r="C34" s="352"/>
      <c r="D34" s="351"/>
      <c r="E34" s="351"/>
      <c r="F34" s="351"/>
      <c r="G34" s="351"/>
      <c r="H34" s="351"/>
      <c r="I34" s="351"/>
      <c r="J34" s="351"/>
      <c r="K34" s="351"/>
      <c r="L34" s="351"/>
      <c r="M34" s="369"/>
      <c r="N34" s="351"/>
      <c r="O34" s="351"/>
      <c r="P34" s="351"/>
      <c r="Q34" s="351"/>
      <c r="R34" s="351"/>
      <c r="S34" s="351"/>
      <c r="T34" s="335"/>
      <c r="U34" s="335"/>
      <c r="V34" s="335"/>
      <c r="W34" s="335"/>
      <c r="X34" s="335"/>
      <c r="Y34" s="335"/>
      <c r="Z34" s="335"/>
      <c r="AA34" s="338"/>
    </row>
    <row r="35" spans="1:27" ht="75">
      <c r="A35" s="326" t="s">
        <v>482</v>
      </c>
      <c r="B35" s="370">
        <v>1214713916</v>
      </c>
      <c r="C35" s="327" t="s">
        <v>515</v>
      </c>
      <c r="D35" s="349">
        <v>2617190</v>
      </c>
      <c r="E35" s="371">
        <v>45854</v>
      </c>
      <c r="F35" s="327"/>
      <c r="G35" s="330">
        <v>224</v>
      </c>
      <c r="H35" s="330">
        <v>224</v>
      </c>
      <c r="I35" s="327"/>
      <c r="J35" s="327"/>
      <c r="K35" s="331"/>
      <c r="L35" s="331"/>
      <c r="M35" s="372">
        <v>32</v>
      </c>
      <c r="N35" s="330">
        <v>16</v>
      </c>
      <c r="O35" s="331"/>
      <c r="P35" s="331"/>
      <c r="Q35" s="331"/>
      <c r="R35" s="326">
        <v>16</v>
      </c>
      <c r="S35" s="326"/>
      <c r="T35" s="326"/>
      <c r="U35" s="331"/>
      <c r="V35" s="331"/>
      <c r="W35" s="331"/>
      <c r="X35" s="331"/>
      <c r="Y35" s="331"/>
      <c r="Z35" s="331"/>
      <c r="AA35" s="330" t="s">
        <v>516</v>
      </c>
    </row>
    <row r="36" spans="1:27">
      <c r="A36" s="350" t="s">
        <v>517</v>
      </c>
      <c r="B36" s="351"/>
      <c r="C36" s="352"/>
      <c r="D36" s="351"/>
      <c r="E36" s="351"/>
      <c r="F36" s="351"/>
      <c r="G36" s="351"/>
      <c r="H36" s="351"/>
      <c r="I36" s="351"/>
      <c r="J36" s="351"/>
      <c r="K36" s="351"/>
      <c r="L36" s="351"/>
      <c r="M36" s="369"/>
      <c r="N36" s="351"/>
      <c r="O36" s="351"/>
      <c r="P36" s="351"/>
      <c r="Q36" s="351"/>
      <c r="R36" s="351"/>
      <c r="S36" s="351"/>
      <c r="T36" s="335"/>
      <c r="U36" s="335"/>
      <c r="V36" s="335"/>
      <c r="W36" s="335"/>
      <c r="X36" s="335"/>
      <c r="Y36" s="335"/>
      <c r="Z36" s="335"/>
      <c r="AA36" s="338"/>
    </row>
    <row r="37" spans="1:27" ht="90">
      <c r="A37" s="326" t="s">
        <v>482</v>
      </c>
      <c r="B37" s="346">
        <v>1037044770</v>
      </c>
      <c r="C37" s="327" t="s">
        <v>518</v>
      </c>
      <c r="D37" s="349">
        <v>2617190</v>
      </c>
      <c r="E37" s="328">
        <v>45763</v>
      </c>
      <c r="F37" s="329"/>
      <c r="G37" s="330">
        <v>232</v>
      </c>
      <c r="H37" s="330">
        <v>232</v>
      </c>
      <c r="I37" s="327"/>
      <c r="J37" s="327"/>
      <c r="K37" s="331"/>
      <c r="L37" s="331"/>
      <c r="M37" s="332">
        <v>40</v>
      </c>
      <c r="N37" s="330">
        <v>16</v>
      </c>
      <c r="O37" s="331"/>
      <c r="P37" s="331"/>
      <c r="Q37" s="331"/>
      <c r="R37" s="333"/>
      <c r="S37" s="333"/>
      <c r="T37" s="333"/>
      <c r="U37" s="329"/>
      <c r="V37" s="333">
        <v>8</v>
      </c>
      <c r="W37" s="329"/>
      <c r="X37" s="329"/>
      <c r="Y37" s="329"/>
      <c r="Z37" s="329"/>
      <c r="AA37" s="330" t="s">
        <v>519</v>
      </c>
    </row>
    <row r="38" spans="1:27">
      <c r="A38" s="350" t="s">
        <v>520</v>
      </c>
      <c r="B38" s="351"/>
      <c r="C38" s="352"/>
      <c r="D38" s="351"/>
      <c r="E38" s="351"/>
      <c r="F38" s="351"/>
      <c r="G38" s="351"/>
      <c r="H38" s="351"/>
      <c r="I38" s="351"/>
      <c r="J38" s="351"/>
      <c r="K38" s="351"/>
      <c r="L38" s="351"/>
      <c r="M38" s="369"/>
      <c r="N38" s="351"/>
      <c r="O38" s="351"/>
      <c r="P38" s="351"/>
      <c r="Q38" s="351"/>
      <c r="R38" s="351"/>
      <c r="S38" s="351"/>
      <c r="T38" s="335"/>
      <c r="U38" s="335"/>
      <c r="V38" s="335"/>
      <c r="W38" s="335"/>
      <c r="X38" s="335"/>
      <c r="Y38" s="335"/>
      <c r="Z38" s="335"/>
      <c r="AA38" s="338"/>
    </row>
    <row r="39" spans="1:27" ht="75">
      <c r="A39" s="326" t="s">
        <v>482</v>
      </c>
      <c r="B39" s="326">
        <v>39215945</v>
      </c>
      <c r="C39" s="327" t="s">
        <v>521</v>
      </c>
      <c r="D39" s="349">
        <v>2199208</v>
      </c>
      <c r="E39" s="328">
        <v>45763</v>
      </c>
      <c r="F39" s="330"/>
      <c r="G39" s="330">
        <v>240</v>
      </c>
      <c r="H39" s="330">
        <v>240</v>
      </c>
      <c r="I39" s="327"/>
      <c r="J39" s="327"/>
      <c r="K39" s="331"/>
      <c r="L39" s="331"/>
      <c r="M39" s="332">
        <v>40</v>
      </c>
      <c r="N39" s="330">
        <v>16</v>
      </c>
      <c r="O39" s="331"/>
      <c r="P39" s="331"/>
      <c r="Q39" s="331"/>
      <c r="R39" s="333"/>
      <c r="S39" s="333"/>
      <c r="T39" s="333"/>
      <c r="U39" s="329"/>
      <c r="V39" s="329"/>
      <c r="W39" s="329"/>
      <c r="X39" s="329"/>
      <c r="Y39" s="329"/>
      <c r="Z39" s="329"/>
      <c r="AA39" s="330" t="s">
        <v>484</v>
      </c>
    </row>
    <row r="40" spans="1:27" ht="90">
      <c r="A40" s="326" t="s">
        <v>482</v>
      </c>
      <c r="B40" s="326">
        <v>1035859375</v>
      </c>
      <c r="C40" s="373" t="s">
        <v>522</v>
      </c>
      <c r="D40" s="349">
        <v>2199208</v>
      </c>
      <c r="E40" s="328">
        <v>45763</v>
      </c>
      <c r="F40" s="331"/>
      <c r="G40" s="330">
        <v>232</v>
      </c>
      <c r="H40" s="330">
        <v>232</v>
      </c>
      <c r="I40" s="327"/>
      <c r="J40" s="327"/>
      <c r="K40" s="331"/>
      <c r="L40" s="331"/>
      <c r="M40" s="332">
        <v>40</v>
      </c>
      <c r="N40" s="330">
        <v>16</v>
      </c>
      <c r="O40" s="331"/>
      <c r="P40" s="331"/>
      <c r="Q40" s="331"/>
      <c r="R40" s="326">
        <v>8</v>
      </c>
      <c r="S40" s="326"/>
      <c r="T40" s="326"/>
      <c r="U40" s="331"/>
      <c r="V40" s="331"/>
      <c r="W40" s="331"/>
      <c r="X40" s="331"/>
      <c r="Y40" s="331"/>
      <c r="Z40" s="331"/>
      <c r="AA40" s="330" t="s">
        <v>523</v>
      </c>
    </row>
    <row r="41" spans="1:27" ht="75">
      <c r="A41" s="326" t="s">
        <v>482</v>
      </c>
      <c r="B41" s="326">
        <v>1035868648</v>
      </c>
      <c r="C41" s="327" t="s">
        <v>524</v>
      </c>
      <c r="D41" s="349">
        <v>2199208</v>
      </c>
      <c r="E41" s="328">
        <v>45763</v>
      </c>
      <c r="F41" s="329"/>
      <c r="G41" s="330">
        <v>240</v>
      </c>
      <c r="H41" s="330">
        <v>240</v>
      </c>
      <c r="I41" s="327"/>
      <c r="J41" s="327"/>
      <c r="K41" s="331"/>
      <c r="L41" s="331"/>
      <c r="M41" s="332">
        <v>40</v>
      </c>
      <c r="N41" s="330">
        <v>16</v>
      </c>
      <c r="O41" s="331"/>
      <c r="P41" s="331"/>
      <c r="Q41" s="331"/>
      <c r="R41" s="333"/>
      <c r="S41" s="333"/>
      <c r="T41" s="333"/>
      <c r="U41" s="329"/>
      <c r="V41" s="329"/>
      <c r="W41" s="329"/>
      <c r="X41" s="329"/>
      <c r="Y41" s="329"/>
      <c r="Z41" s="329"/>
      <c r="AA41" s="330" t="s">
        <v>484</v>
      </c>
    </row>
    <row r="42" spans="1:27" ht="75">
      <c r="A42" s="326" t="s">
        <v>482</v>
      </c>
      <c r="B42" s="326">
        <v>1020480076</v>
      </c>
      <c r="C42" s="327" t="s">
        <v>525</v>
      </c>
      <c r="D42" s="349">
        <v>2199208</v>
      </c>
      <c r="E42" s="328">
        <v>45763</v>
      </c>
      <c r="F42" s="330"/>
      <c r="G42" s="330">
        <v>240</v>
      </c>
      <c r="H42" s="330">
        <v>240</v>
      </c>
      <c r="I42" s="327"/>
      <c r="J42" s="327"/>
      <c r="K42" s="331"/>
      <c r="L42" s="331"/>
      <c r="M42" s="332">
        <v>40</v>
      </c>
      <c r="N42" s="330">
        <v>16</v>
      </c>
      <c r="O42" s="331"/>
      <c r="P42" s="331"/>
      <c r="Q42" s="331"/>
      <c r="R42" s="333"/>
      <c r="S42" s="333"/>
      <c r="T42" s="333"/>
      <c r="U42" s="329"/>
      <c r="V42" s="329"/>
      <c r="W42" s="329"/>
      <c r="X42" s="329"/>
      <c r="Y42" s="329"/>
      <c r="Z42" s="329"/>
      <c r="AA42" s="330" t="s">
        <v>484</v>
      </c>
    </row>
    <row r="43" spans="1:27" ht="75.75" thickBot="1">
      <c r="A43" s="374" t="s">
        <v>482</v>
      </c>
      <c r="B43" s="375">
        <v>70142634</v>
      </c>
      <c r="C43" s="376" t="s">
        <v>526</v>
      </c>
      <c r="D43" s="349">
        <v>2199208</v>
      </c>
      <c r="E43" s="328">
        <v>45763</v>
      </c>
      <c r="F43" s="377"/>
      <c r="G43" s="330">
        <v>240</v>
      </c>
      <c r="H43" s="330">
        <v>240</v>
      </c>
      <c r="I43" s="327"/>
      <c r="J43" s="327"/>
      <c r="K43" s="331"/>
      <c r="L43" s="331"/>
      <c r="M43" s="332">
        <v>40</v>
      </c>
      <c r="N43" s="330">
        <v>16</v>
      </c>
      <c r="O43" s="331"/>
      <c r="P43" s="331"/>
      <c r="Q43" s="331"/>
      <c r="R43" s="333"/>
      <c r="S43" s="333"/>
      <c r="T43" s="333"/>
      <c r="U43" s="329"/>
      <c r="V43" s="329"/>
      <c r="W43" s="329"/>
      <c r="X43" s="329"/>
      <c r="Y43" s="329"/>
      <c r="Z43" s="329"/>
      <c r="AA43" s="330" t="s">
        <v>484</v>
      </c>
    </row>
    <row r="44" spans="1:27">
      <c r="A44" s="378" t="s">
        <v>527</v>
      </c>
      <c r="B44" s="379"/>
      <c r="C44" s="380"/>
      <c r="D44" s="379"/>
      <c r="E44" s="379"/>
      <c r="F44" s="379"/>
      <c r="G44" s="379"/>
      <c r="H44" s="379"/>
      <c r="I44" s="379"/>
      <c r="J44" s="379"/>
      <c r="K44" s="379"/>
      <c r="L44" s="379"/>
      <c r="M44" s="381"/>
      <c r="N44" s="379"/>
      <c r="O44" s="379"/>
      <c r="P44" s="379"/>
      <c r="Q44" s="379"/>
      <c r="R44" s="379"/>
      <c r="S44" s="379"/>
      <c r="T44" s="379"/>
      <c r="U44" s="379"/>
      <c r="V44" s="379"/>
      <c r="W44" s="379"/>
      <c r="X44" s="379"/>
      <c r="Y44" s="379"/>
      <c r="Z44" s="379"/>
      <c r="AA44" s="382"/>
    </row>
    <row r="45" spans="1:27" ht="75">
      <c r="A45" s="326" t="s">
        <v>482</v>
      </c>
      <c r="B45" s="346">
        <v>1017178437</v>
      </c>
      <c r="C45" s="327" t="s">
        <v>528</v>
      </c>
      <c r="D45" s="349">
        <v>1832465</v>
      </c>
      <c r="E45" s="328">
        <v>45763</v>
      </c>
      <c r="F45" s="329"/>
      <c r="G45" s="330">
        <v>240</v>
      </c>
      <c r="H45" s="330">
        <v>240</v>
      </c>
      <c r="I45" s="327"/>
      <c r="J45" s="327"/>
      <c r="K45" s="331"/>
      <c r="L45" s="331"/>
      <c r="M45" s="332">
        <v>40</v>
      </c>
      <c r="N45" s="330">
        <v>16</v>
      </c>
      <c r="O45" s="331"/>
      <c r="P45" s="331"/>
      <c r="Q45" s="331"/>
      <c r="R45" s="333"/>
      <c r="S45" s="333"/>
      <c r="T45" s="333"/>
      <c r="U45" s="329"/>
      <c r="V45" s="329"/>
      <c r="W45" s="329"/>
      <c r="X45" s="329"/>
      <c r="Y45" s="329"/>
      <c r="Z45" s="329"/>
      <c r="AA45" s="330" t="s">
        <v>484</v>
      </c>
    </row>
    <row r="46" spans="1:27">
      <c r="A46" s="350" t="s">
        <v>529</v>
      </c>
      <c r="B46" s="351"/>
      <c r="C46" s="352"/>
      <c r="D46" s="351"/>
      <c r="E46" s="351"/>
      <c r="F46" s="351"/>
      <c r="G46" s="351"/>
      <c r="H46" s="351"/>
      <c r="I46" s="351"/>
      <c r="J46" s="351"/>
      <c r="K46" s="351"/>
      <c r="L46" s="351"/>
      <c r="M46" s="369"/>
      <c r="N46" s="351"/>
      <c r="O46" s="335"/>
      <c r="P46" s="335"/>
      <c r="Q46" s="335"/>
      <c r="R46" s="335"/>
      <c r="S46" s="335"/>
      <c r="T46" s="335"/>
      <c r="U46" s="335"/>
      <c r="V46" s="335"/>
      <c r="W46" s="335"/>
      <c r="X46" s="335"/>
      <c r="Y46" s="335"/>
      <c r="Z46" s="335"/>
      <c r="AA46" s="338"/>
    </row>
    <row r="47" spans="1:27" ht="75">
      <c r="A47" s="326" t="s">
        <v>482</v>
      </c>
      <c r="B47" s="383">
        <v>72002230</v>
      </c>
      <c r="C47" s="353" t="s">
        <v>530</v>
      </c>
      <c r="D47" s="349">
        <v>2617190</v>
      </c>
      <c r="E47" s="328">
        <v>45763</v>
      </c>
      <c r="F47" s="329"/>
      <c r="G47" s="330">
        <v>240</v>
      </c>
      <c r="H47" s="330">
        <v>240</v>
      </c>
      <c r="I47" s="327"/>
      <c r="J47" s="327"/>
      <c r="K47" s="331"/>
      <c r="L47" s="331"/>
      <c r="M47" s="332">
        <v>40</v>
      </c>
      <c r="N47" s="330">
        <v>16</v>
      </c>
      <c r="O47" s="331"/>
      <c r="P47" s="331"/>
      <c r="Q47" s="331"/>
      <c r="R47" s="333"/>
      <c r="S47" s="333"/>
      <c r="T47" s="333"/>
      <c r="U47" s="329"/>
      <c r="V47" s="329"/>
      <c r="W47" s="329"/>
      <c r="X47" s="329"/>
      <c r="Y47" s="329"/>
      <c r="Z47" s="329"/>
      <c r="AA47" s="330" t="s">
        <v>484</v>
      </c>
    </row>
    <row r="48" spans="1:27">
      <c r="A48" s="334" t="s">
        <v>531</v>
      </c>
      <c r="B48" s="335"/>
      <c r="C48" s="336"/>
      <c r="D48" s="335"/>
      <c r="E48" s="335"/>
      <c r="F48" s="335"/>
      <c r="G48" s="335"/>
      <c r="H48" s="335"/>
      <c r="I48" s="335"/>
      <c r="J48" s="335"/>
      <c r="K48" s="335"/>
      <c r="L48" s="335"/>
      <c r="M48" s="337"/>
      <c r="N48" s="335"/>
      <c r="O48" s="335"/>
      <c r="P48" s="335"/>
      <c r="Q48" s="335"/>
      <c r="R48" s="335"/>
      <c r="S48" s="335"/>
      <c r="T48" s="335"/>
      <c r="U48" s="335"/>
      <c r="V48" s="335"/>
      <c r="W48" s="335"/>
      <c r="X48" s="335"/>
      <c r="Y48" s="335"/>
      <c r="Z48" s="335"/>
      <c r="AA48" s="335"/>
    </row>
    <row r="49" spans="1:27" ht="75">
      <c r="A49" s="326" t="s">
        <v>482</v>
      </c>
      <c r="B49" s="326">
        <v>39209813</v>
      </c>
      <c r="C49" s="327" t="s">
        <v>532</v>
      </c>
      <c r="D49" s="349">
        <v>1558733</v>
      </c>
      <c r="E49" s="328">
        <v>45763</v>
      </c>
      <c r="F49" s="327"/>
      <c r="G49" s="330">
        <v>240</v>
      </c>
      <c r="H49" s="330">
        <v>240</v>
      </c>
      <c r="I49" s="327"/>
      <c r="J49" s="327"/>
      <c r="K49" s="331"/>
      <c r="L49" s="331"/>
      <c r="M49" s="332">
        <v>40</v>
      </c>
      <c r="N49" s="330">
        <v>8</v>
      </c>
      <c r="O49" s="331"/>
      <c r="P49" s="331"/>
      <c r="Q49" s="331"/>
      <c r="R49" s="326"/>
      <c r="S49" s="326"/>
      <c r="T49" s="326"/>
      <c r="U49" s="331"/>
      <c r="V49" s="331"/>
      <c r="W49" s="331"/>
      <c r="X49" s="331"/>
      <c r="Y49" s="331"/>
      <c r="Z49" s="331"/>
      <c r="AA49" s="330" t="s">
        <v>533</v>
      </c>
    </row>
    <row r="50" spans="1:27" ht="105">
      <c r="A50" s="326" t="s">
        <v>482</v>
      </c>
      <c r="B50" s="326">
        <v>1035860980</v>
      </c>
      <c r="C50" s="327" t="s">
        <v>534</v>
      </c>
      <c r="D50" s="349">
        <v>1558733</v>
      </c>
      <c r="E50" s="328">
        <v>45763</v>
      </c>
      <c r="F50" s="330"/>
      <c r="G50" s="330">
        <v>224</v>
      </c>
      <c r="H50" s="330">
        <v>224</v>
      </c>
      <c r="I50" s="327"/>
      <c r="J50" s="327"/>
      <c r="K50" s="331"/>
      <c r="L50" s="331"/>
      <c r="M50" s="332">
        <v>40</v>
      </c>
      <c r="N50" s="330">
        <v>16</v>
      </c>
      <c r="O50" s="331"/>
      <c r="P50" s="331"/>
      <c r="Q50" s="331"/>
      <c r="R50" s="333">
        <v>16</v>
      </c>
      <c r="S50" s="333"/>
      <c r="T50" s="333"/>
      <c r="U50" s="329"/>
      <c r="V50" s="329"/>
      <c r="W50" s="329"/>
      <c r="X50" s="329"/>
      <c r="Y50" s="329"/>
      <c r="Z50" s="329"/>
      <c r="AA50" s="330" t="s">
        <v>535</v>
      </c>
    </row>
    <row r="51" spans="1:27" ht="75">
      <c r="A51" s="326" t="s">
        <v>482</v>
      </c>
      <c r="B51" s="326">
        <v>1067879174</v>
      </c>
      <c r="C51" s="327" t="s">
        <v>536</v>
      </c>
      <c r="D51" s="349">
        <v>1558733</v>
      </c>
      <c r="E51" s="328">
        <v>45763</v>
      </c>
      <c r="F51" s="384"/>
      <c r="G51" s="330">
        <v>240</v>
      </c>
      <c r="H51" s="330">
        <v>240</v>
      </c>
      <c r="I51" s="327"/>
      <c r="J51" s="327"/>
      <c r="K51" s="331"/>
      <c r="L51" s="331"/>
      <c r="M51" s="332">
        <v>40</v>
      </c>
      <c r="N51" s="330">
        <v>16</v>
      </c>
      <c r="O51" s="331"/>
      <c r="P51" s="331"/>
      <c r="Q51" s="331"/>
      <c r="R51" s="326"/>
      <c r="S51" s="326"/>
      <c r="T51" s="326"/>
      <c r="U51" s="331"/>
      <c r="V51" s="331"/>
      <c r="W51" s="331"/>
      <c r="X51" s="331"/>
      <c r="Y51" s="331"/>
      <c r="Z51" s="331"/>
      <c r="AA51" s="330" t="s">
        <v>484</v>
      </c>
    </row>
    <row r="52" spans="1:27" ht="60">
      <c r="A52" s="385" t="s">
        <v>482</v>
      </c>
      <c r="B52" s="326">
        <v>1193138309</v>
      </c>
      <c r="C52" s="327" t="s">
        <v>537</v>
      </c>
      <c r="D52" s="349">
        <v>1558733</v>
      </c>
      <c r="E52" s="328">
        <v>45763</v>
      </c>
      <c r="F52" s="329"/>
      <c r="G52" s="330">
        <v>240</v>
      </c>
      <c r="H52" s="330">
        <v>240</v>
      </c>
      <c r="I52" s="327"/>
      <c r="J52" s="327"/>
      <c r="K52" s="331"/>
      <c r="L52" s="331"/>
      <c r="M52" s="332">
        <v>16</v>
      </c>
      <c r="N52" s="330">
        <v>16</v>
      </c>
      <c r="O52" s="331"/>
      <c r="P52" s="331"/>
      <c r="Q52" s="331"/>
      <c r="R52" s="333"/>
      <c r="S52" s="333"/>
      <c r="T52" s="333"/>
      <c r="U52" s="329"/>
      <c r="V52" s="329"/>
      <c r="W52" s="329"/>
      <c r="X52" s="329"/>
      <c r="Y52" s="329"/>
      <c r="Z52" s="329"/>
      <c r="AA52" s="330" t="s">
        <v>538</v>
      </c>
    </row>
    <row r="53" spans="1:27" ht="75">
      <c r="A53" s="386" t="s">
        <v>482</v>
      </c>
      <c r="B53" s="326">
        <v>39354581</v>
      </c>
      <c r="C53" s="327" t="s">
        <v>539</v>
      </c>
      <c r="D53" s="349">
        <v>1558733</v>
      </c>
      <c r="E53" s="328">
        <v>45763</v>
      </c>
      <c r="F53" s="329"/>
      <c r="G53" s="330">
        <v>240</v>
      </c>
      <c r="H53" s="330">
        <v>240</v>
      </c>
      <c r="I53" s="327"/>
      <c r="J53" s="327"/>
      <c r="K53" s="331"/>
      <c r="L53" s="331"/>
      <c r="M53" s="332">
        <v>40</v>
      </c>
      <c r="N53" s="330">
        <v>16</v>
      </c>
      <c r="O53" s="331"/>
      <c r="P53" s="331"/>
      <c r="Q53" s="331"/>
      <c r="R53" s="333"/>
      <c r="S53" s="333"/>
      <c r="T53" s="333"/>
      <c r="U53" s="329"/>
      <c r="V53" s="329"/>
      <c r="W53" s="329"/>
      <c r="X53" s="329"/>
      <c r="Y53" s="329"/>
      <c r="Z53" s="329"/>
      <c r="AA53" s="330" t="s">
        <v>484</v>
      </c>
    </row>
    <row r="54" spans="1:27" ht="75">
      <c r="A54" s="326" t="s">
        <v>482</v>
      </c>
      <c r="B54" s="387">
        <v>39356068</v>
      </c>
      <c r="C54" s="353" t="s">
        <v>540</v>
      </c>
      <c r="D54" s="349">
        <v>1558733</v>
      </c>
      <c r="E54" s="328">
        <v>45763</v>
      </c>
      <c r="F54" s="330"/>
      <c r="G54" s="330">
        <v>224</v>
      </c>
      <c r="H54" s="330">
        <v>224</v>
      </c>
      <c r="I54" s="327"/>
      <c r="J54" s="327"/>
      <c r="K54" s="331"/>
      <c r="L54" s="331"/>
      <c r="M54" s="372">
        <v>32</v>
      </c>
      <c r="N54" s="330">
        <v>16</v>
      </c>
      <c r="O54" s="331"/>
      <c r="P54" s="331"/>
      <c r="Q54" s="331"/>
      <c r="R54" s="333">
        <v>16</v>
      </c>
      <c r="S54" s="333"/>
      <c r="T54" s="333"/>
      <c r="U54" s="329"/>
      <c r="V54" s="329"/>
      <c r="W54" s="329"/>
      <c r="X54" s="329"/>
      <c r="Y54" s="329"/>
      <c r="Z54" s="329"/>
      <c r="AA54" s="330" t="s">
        <v>541</v>
      </c>
    </row>
    <row r="55" spans="1:27" ht="60">
      <c r="A55" s="326" t="s">
        <v>482</v>
      </c>
      <c r="B55" s="388">
        <v>1035230804</v>
      </c>
      <c r="C55" s="389" t="s">
        <v>542</v>
      </c>
      <c r="D55" s="349">
        <v>1558733</v>
      </c>
      <c r="E55" s="371">
        <v>45811</v>
      </c>
      <c r="F55" s="390"/>
      <c r="G55" s="330">
        <v>240</v>
      </c>
      <c r="H55" s="330">
        <v>240</v>
      </c>
      <c r="I55" s="327"/>
      <c r="J55" s="327"/>
      <c r="K55" s="331"/>
      <c r="L55" s="331"/>
      <c r="M55" s="332">
        <v>32</v>
      </c>
      <c r="N55" s="330">
        <v>16</v>
      </c>
      <c r="O55" s="331"/>
      <c r="P55" s="331"/>
      <c r="Q55" s="331"/>
      <c r="R55" s="333"/>
      <c r="S55" s="333"/>
      <c r="T55" s="333"/>
      <c r="U55" s="329"/>
      <c r="V55" s="329"/>
      <c r="W55" s="329"/>
      <c r="X55" s="329"/>
      <c r="Y55" s="329"/>
      <c r="Z55" s="329"/>
      <c r="AA55" s="330" t="s">
        <v>508</v>
      </c>
    </row>
    <row r="56" spans="1:27" ht="75">
      <c r="A56" s="386" t="s">
        <v>482</v>
      </c>
      <c r="B56" s="326">
        <v>15507791</v>
      </c>
      <c r="C56" s="327" t="s">
        <v>543</v>
      </c>
      <c r="D56" s="349">
        <v>1558733</v>
      </c>
      <c r="E56" s="328">
        <v>45763</v>
      </c>
      <c r="F56" s="328"/>
      <c r="G56" s="330">
        <v>240</v>
      </c>
      <c r="H56" s="330">
        <v>240</v>
      </c>
      <c r="I56" s="327"/>
      <c r="J56" s="327"/>
      <c r="K56" s="331"/>
      <c r="L56" s="331"/>
      <c r="M56" s="332">
        <v>40</v>
      </c>
      <c r="N56" s="330">
        <v>16</v>
      </c>
      <c r="O56" s="331"/>
      <c r="P56" s="331"/>
      <c r="Q56" s="331"/>
      <c r="R56" s="326"/>
      <c r="S56" s="326"/>
      <c r="T56" s="326"/>
      <c r="U56" s="331"/>
      <c r="V56" s="331"/>
      <c r="W56" s="331"/>
      <c r="X56" s="331"/>
      <c r="Y56" s="331"/>
      <c r="Z56" s="331"/>
      <c r="AA56" s="330" t="s">
        <v>484</v>
      </c>
    </row>
    <row r="57" spans="1:27" ht="75">
      <c r="A57" s="326" t="s">
        <v>482</v>
      </c>
      <c r="B57" s="370">
        <v>1007526445</v>
      </c>
      <c r="C57" s="391" t="s">
        <v>544</v>
      </c>
      <c r="D57" s="349">
        <v>1558733</v>
      </c>
      <c r="E57" s="328">
        <v>45763</v>
      </c>
      <c r="F57" s="331"/>
      <c r="G57" s="330">
        <v>240</v>
      </c>
      <c r="H57" s="330">
        <v>240</v>
      </c>
      <c r="I57" s="327"/>
      <c r="J57" s="327"/>
      <c r="K57" s="331"/>
      <c r="L57" s="331"/>
      <c r="M57" s="332">
        <v>40</v>
      </c>
      <c r="N57" s="330">
        <v>16</v>
      </c>
      <c r="O57" s="331"/>
      <c r="P57" s="331"/>
      <c r="Q57" s="331"/>
      <c r="R57" s="326"/>
      <c r="S57" s="326"/>
      <c r="T57" s="326"/>
      <c r="U57" s="331"/>
      <c r="V57" s="331"/>
      <c r="W57" s="331"/>
      <c r="X57" s="331"/>
      <c r="Y57" s="331"/>
      <c r="Z57" s="331"/>
      <c r="AA57" s="330" t="s">
        <v>484</v>
      </c>
    </row>
    <row r="58" spans="1:27" ht="60">
      <c r="A58" s="386" t="s">
        <v>482</v>
      </c>
      <c r="B58" s="392">
        <v>1035426772</v>
      </c>
      <c r="C58" s="389" t="s">
        <v>545</v>
      </c>
      <c r="D58" s="393">
        <v>1558733</v>
      </c>
      <c r="E58" s="394">
        <v>45784</v>
      </c>
      <c r="F58" s="395"/>
      <c r="G58" s="396">
        <v>240</v>
      </c>
      <c r="H58" s="396">
        <v>240</v>
      </c>
      <c r="I58" s="373"/>
      <c r="J58" s="373"/>
      <c r="K58" s="397"/>
      <c r="L58" s="397"/>
      <c r="M58" s="332">
        <v>32</v>
      </c>
      <c r="N58" s="330">
        <v>8</v>
      </c>
      <c r="O58" s="395"/>
      <c r="P58" s="395"/>
      <c r="Q58" s="395"/>
      <c r="R58" s="395"/>
      <c r="S58" s="395"/>
      <c r="T58" s="395"/>
      <c r="U58" s="395"/>
      <c r="V58" s="395"/>
      <c r="W58" s="398"/>
      <c r="X58" s="395"/>
      <c r="Y58" s="398"/>
      <c r="Z58" s="395"/>
      <c r="AA58" s="330" t="s">
        <v>546</v>
      </c>
    </row>
    <row r="59" spans="1:27" ht="41.25" customHeight="1">
      <c r="A59" s="386" t="s">
        <v>482</v>
      </c>
      <c r="B59" s="399">
        <v>1035233464</v>
      </c>
      <c r="C59" s="400" t="s">
        <v>547</v>
      </c>
      <c r="D59" s="401">
        <v>1558733</v>
      </c>
      <c r="E59" s="402">
        <v>45793</v>
      </c>
      <c r="F59" s="377"/>
      <c r="G59" s="396">
        <v>216</v>
      </c>
      <c r="H59" s="396">
        <v>216</v>
      </c>
      <c r="I59" s="373"/>
      <c r="J59" s="373"/>
      <c r="K59" s="397"/>
      <c r="L59" s="397"/>
      <c r="M59" s="332">
        <v>32</v>
      </c>
      <c r="N59" s="330">
        <v>16</v>
      </c>
      <c r="O59" s="377"/>
      <c r="P59" s="377"/>
      <c r="Q59" s="377"/>
      <c r="R59" s="403">
        <v>8</v>
      </c>
      <c r="S59" s="377"/>
      <c r="T59" s="377"/>
      <c r="U59" s="377"/>
      <c r="V59" s="377"/>
      <c r="W59" s="403">
        <v>16</v>
      </c>
      <c r="X59" s="377"/>
      <c r="Y59" s="377"/>
      <c r="Z59" s="377"/>
      <c r="AA59" s="330" t="s">
        <v>548</v>
      </c>
    </row>
    <row r="60" spans="1:27" ht="75">
      <c r="A60" s="386" t="s">
        <v>482</v>
      </c>
      <c r="B60" s="388">
        <v>43817373</v>
      </c>
      <c r="C60" s="404" t="s">
        <v>549</v>
      </c>
      <c r="D60" s="401">
        <v>1558733</v>
      </c>
      <c r="E60" s="356">
        <v>45841</v>
      </c>
      <c r="F60" s="377"/>
      <c r="G60" s="396">
        <v>240</v>
      </c>
      <c r="H60" s="396">
        <v>240</v>
      </c>
      <c r="I60" s="373"/>
      <c r="J60" s="373"/>
      <c r="K60" s="397"/>
      <c r="L60" s="397"/>
      <c r="M60" s="332">
        <v>40</v>
      </c>
      <c r="N60" s="330">
        <v>16</v>
      </c>
      <c r="O60" s="377"/>
      <c r="P60" s="377"/>
      <c r="Q60" s="377"/>
      <c r="R60" s="377"/>
      <c r="S60" s="377"/>
      <c r="T60" s="377"/>
      <c r="U60" s="377"/>
      <c r="V60" s="377"/>
      <c r="W60" s="403"/>
      <c r="X60" s="377"/>
      <c r="Y60" s="377"/>
      <c r="Z60" s="377"/>
      <c r="AA60" s="330" t="s">
        <v>484</v>
      </c>
    </row>
    <row r="61" spans="1:27" ht="75">
      <c r="A61" s="386" t="s">
        <v>482</v>
      </c>
      <c r="B61" s="405">
        <v>1023522678</v>
      </c>
      <c r="C61" s="400" t="s">
        <v>550</v>
      </c>
      <c r="D61" s="401">
        <v>1558733</v>
      </c>
      <c r="E61" s="356">
        <v>45862</v>
      </c>
      <c r="F61" s="377"/>
      <c r="G61" s="403">
        <v>240</v>
      </c>
      <c r="H61" s="403">
        <v>240</v>
      </c>
      <c r="I61" s="333"/>
      <c r="J61" s="333"/>
      <c r="K61" s="333"/>
      <c r="L61" s="333"/>
      <c r="M61" s="332">
        <v>40</v>
      </c>
      <c r="N61" s="330">
        <v>16</v>
      </c>
      <c r="O61" s="377"/>
      <c r="P61" s="377"/>
      <c r="Q61" s="377"/>
      <c r="R61" s="377"/>
      <c r="S61" s="377"/>
      <c r="T61" s="377"/>
      <c r="U61" s="377"/>
      <c r="V61" s="377"/>
      <c r="W61" s="403"/>
      <c r="X61" s="377"/>
      <c r="Y61" s="377"/>
      <c r="Z61" s="377"/>
      <c r="AA61" s="330" t="s">
        <v>484</v>
      </c>
    </row>
    <row r="62" spans="1:27" ht="26.45" customHeight="1">
      <c r="A62" s="386" t="s">
        <v>482</v>
      </c>
      <c r="B62" s="406">
        <v>39354019</v>
      </c>
      <c r="C62" s="407" t="s">
        <v>551</v>
      </c>
      <c r="D62" s="401">
        <v>1558733</v>
      </c>
      <c r="E62" s="408">
        <v>45870</v>
      </c>
      <c r="F62" s="377"/>
      <c r="G62" s="403">
        <v>240</v>
      </c>
      <c r="H62" s="403">
        <v>240</v>
      </c>
      <c r="I62" s="409"/>
      <c r="J62" s="409"/>
      <c r="K62" s="409"/>
      <c r="L62" s="409"/>
      <c r="M62" s="410">
        <v>40</v>
      </c>
      <c r="N62" s="330">
        <v>16</v>
      </c>
      <c r="O62" s="377"/>
      <c r="P62" s="377"/>
      <c r="Q62" s="377"/>
      <c r="R62" s="377"/>
      <c r="S62" s="377"/>
      <c r="T62" s="377"/>
      <c r="U62" s="377"/>
      <c r="V62" s="377"/>
      <c r="W62" s="377"/>
      <c r="X62" s="377"/>
      <c r="Y62" s="377"/>
      <c r="Z62" s="377"/>
      <c r="AA62" s="330" t="s">
        <v>484</v>
      </c>
    </row>
    <row r="63" spans="1:27" ht="24.6" customHeight="1">
      <c r="A63" s="386" t="s">
        <v>482</v>
      </c>
      <c r="B63" s="411">
        <v>70978820</v>
      </c>
      <c r="C63" s="391" t="s">
        <v>552</v>
      </c>
      <c r="D63" s="401">
        <v>1558733</v>
      </c>
      <c r="E63" s="371">
        <v>45839</v>
      </c>
      <c r="F63" s="361">
        <v>45872</v>
      </c>
      <c r="G63" s="333">
        <v>24</v>
      </c>
      <c r="H63" s="333">
        <v>24</v>
      </c>
      <c r="I63" s="333"/>
      <c r="J63" s="333"/>
      <c r="K63" s="333"/>
      <c r="L63" s="333"/>
      <c r="M63" s="412"/>
      <c r="N63" s="330"/>
      <c r="O63" s="329"/>
      <c r="P63" s="329"/>
      <c r="Q63" s="329"/>
      <c r="R63" s="329"/>
      <c r="S63" s="329"/>
      <c r="T63" s="329"/>
      <c r="U63" s="329"/>
      <c r="V63" s="329"/>
      <c r="W63" s="329"/>
      <c r="X63" s="329"/>
      <c r="Y63" s="329"/>
      <c r="Z63" s="329"/>
      <c r="AA63" s="330" t="s">
        <v>553</v>
      </c>
    </row>
    <row r="64" spans="1:27">
      <c r="A64" s="413" t="s">
        <v>554</v>
      </c>
      <c r="B64" s="367"/>
      <c r="C64" s="414"/>
      <c r="D64" s="367"/>
      <c r="E64" s="367"/>
      <c r="F64" s="367"/>
      <c r="G64" s="367"/>
      <c r="H64" s="367"/>
      <c r="I64" s="367"/>
      <c r="J64" s="367"/>
      <c r="K64" s="367"/>
      <c r="L64" s="367"/>
      <c r="M64" s="415"/>
      <c r="N64" s="367"/>
      <c r="O64" s="367"/>
      <c r="P64" s="367"/>
      <c r="Q64" s="367"/>
      <c r="R64" s="367"/>
      <c r="S64" s="367"/>
      <c r="T64" s="367"/>
      <c r="U64" s="367"/>
      <c r="V64" s="367"/>
      <c r="W64" s="367"/>
      <c r="X64" s="367"/>
      <c r="Y64" s="367"/>
      <c r="Z64" s="367"/>
      <c r="AA64" s="416"/>
    </row>
    <row r="65" spans="1:27" ht="75">
      <c r="A65" s="326" t="s">
        <v>482</v>
      </c>
      <c r="B65" s="326">
        <v>70134244</v>
      </c>
      <c r="C65" s="327" t="s">
        <v>555</v>
      </c>
      <c r="D65" s="349">
        <v>1773335</v>
      </c>
      <c r="E65" s="328">
        <v>45763</v>
      </c>
      <c r="F65" s="330"/>
      <c r="G65" s="330">
        <v>240</v>
      </c>
      <c r="H65" s="330">
        <v>240</v>
      </c>
      <c r="I65" s="327"/>
      <c r="J65" s="327"/>
      <c r="K65" s="331"/>
      <c r="L65" s="331"/>
      <c r="M65" s="332">
        <v>40</v>
      </c>
      <c r="N65" s="330">
        <v>16</v>
      </c>
      <c r="O65" s="331"/>
      <c r="P65" s="331"/>
      <c r="Q65" s="331"/>
      <c r="R65" s="333"/>
      <c r="S65" s="333"/>
      <c r="T65" s="333"/>
      <c r="U65" s="329"/>
      <c r="V65" s="329"/>
      <c r="W65" s="329"/>
      <c r="X65" s="329"/>
      <c r="Y65" s="329"/>
      <c r="Z65" s="329"/>
      <c r="AA65" s="330" t="s">
        <v>484</v>
      </c>
    </row>
    <row r="66" spans="1:27" ht="75">
      <c r="A66" s="326" t="s">
        <v>482</v>
      </c>
      <c r="B66" s="346">
        <v>1035222867</v>
      </c>
      <c r="C66" s="327" t="s">
        <v>556</v>
      </c>
      <c r="D66" s="349">
        <v>1773335</v>
      </c>
      <c r="E66" s="328">
        <v>45763</v>
      </c>
      <c r="F66" s="329"/>
      <c r="G66" s="330">
        <v>240</v>
      </c>
      <c r="H66" s="330">
        <v>240</v>
      </c>
      <c r="I66" s="327"/>
      <c r="J66" s="327"/>
      <c r="K66" s="331"/>
      <c r="L66" s="331"/>
      <c r="M66" s="332">
        <v>40</v>
      </c>
      <c r="N66" s="330">
        <v>16</v>
      </c>
      <c r="O66" s="331"/>
      <c r="P66" s="331"/>
      <c r="Q66" s="331"/>
      <c r="R66" s="333"/>
      <c r="S66" s="333"/>
      <c r="T66" s="333"/>
      <c r="U66" s="329"/>
      <c r="V66" s="329"/>
      <c r="W66" s="329"/>
      <c r="X66" s="329"/>
      <c r="Y66" s="329"/>
      <c r="Z66" s="329"/>
      <c r="AA66" s="330" t="s">
        <v>484</v>
      </c>
    </row>
    <row r="67" spans="1:27" ht="75">
      <c r="A67" s="326" t="s">
        <v>482</v>
      </c>
      <c r="B67" s="346">
        <v>1001243801</v>
      </c>
      <c r="C67" s="417" t="s">
        <v>557</v>
      </c>
      <c r="D67" s="349">
        <v>1773335</v>
      </c>
      <c r="E67" s="328">
        <v>45763</v>
      </c>
      <c r="F67" s="329"/>
      <c r="G67" s="330">
        <v>240</v>
      </c>
      <c r="H67" s="330">
        <v>240</v>
      </c>
      <c r="I67" s="327"/>
      <c r="J67" s="327"/>
      <c r="K67" s="331"/>
      <c r="L67" s="331"/>
      <c r="M67" s="332">
        <v>40</v>
      </c>
      <c r="N67" s="330">
        <v>16</v>
      </c>
      <c r="O67" s="331"/>
      <c r="P67" s="331"/>
      <c r="Q67" s="331"/>
      <c r="R67" s="333"/>
      <c r="S67" s="333"/>
      <c r="T67" s="333"/>
      <c r="U67" s="329"/>
      <c r="V67" s="329"/>
      <c r="W67" s="329"/>
      <c r="X67" s="329"/>
      <c r="Y67" s="329"/>
      <c r="Z67" s="329"/>
      <c r="AA67" s="330" t="s">
        <v>484</v>
      </c>
    </row>
    <row r="68" spans="1:27">
      <c r="A68" s="418" t="s">
        <v>558</v>
      </c>
      <c r="B68" s="419"/>
      <c r="C68" s="420"/>
      <c r="D68" s="419"/>
      <c r="E68" s="419"/>
      <c r="F68" s="419"/>
      <c r="G68" s="419"/>
      <c r="H68" s="419"/>
      <c r="I68" s="419"/>
      <c r="J68" s="419"/>
      <c r="K68" s="419"/>
      <c r="L68" s="419"/>
      <c r="M68" s="421"/>
      <c r="N68" s="419"/>
      <c r="O68" s="419"/>
      <c r="P68" s="419"/>
      <c r="Q68" s="419"/>
      <c r="R68" s="419"/>
      <c r="S68" s="419"/>
      <c r="T68" s="419"/>
      <c r="U68" s="419"/>
      <c r="V68" s="419"/>
      <c r="W68" s="419"/>
      <c r="X68" s="419"/>
      <c r="Y68" s="419"/>
      <c r="Z68" s="419"/>
      <c r="AA68" s="422"/>
    </row>
    <row r="69" spans="1:27" ht="75">
      <c r="A69" s="423" t="s">
        <v>482</v>
      </c>
      <c r="B69" s="424">
        <v>39356767</v>
      </c>
      <c r="C69" s="327" t="s">
        <v>559</v>
      </c>
      <c r="D69" s="349">
        <v>2617190</v>
      </c>
      <c r="E69" s="328">
        <v>45763</v>
      </c>
      <c r="F69" s="329"/>
      <c r="G69" s="330">
        <v>240</v>
      </c>
      <c r="H69" s="330">
        <v>240</v>
      </c>
      <c r="I69" s="327"/>
      <c r="J69" s="327"/>
      <c r="K69" s="331"/>
      <c r="L69" s="331"/>
      <c r="M69" s="332">
        <v>40</v>
      </c>
      <c r="N69" s="330">
        <v>16</v>
      </c>
      <c r="O69" s="331"/>
      <c r="P69" s="331"/>
      <c r="Q69" s="331"/>
      <c r="R69" s="333"/>
      <c r="S69" s="333"/>
      <c r="T69" s="333"/>
      <c r="U69" s="329"/>
      <c r="V69" s="329"/>
      <c r="W69" s="329"/>
      <c r="X69" s="329"/>
      <c r="Y69" s="329"/>
      <c r="Z69" s="329"/>
      <c r="AA69" s="330" t="s">
        <v>484</v>
      </c>
    </row>
    <row r="70" spans="1:27">
      <c r="A70" s="425" t="s">
        <v>560</v>
      </c>
      <c r="B70" s="426"/>
      <c r="C70" s="427"/>
      <c r="D70" s="426"/>
      <c r="E70" s="426"/>
      <c r="F70" s="426"/>
      <c r="G70" s="426"/>
      <c r="H70" s="426"/>
      <c r="I70" s="426"/>
      <c r="J70" s="426"/>
      <c r="K70" s="426"/>
      <c r="L70" s="426"/>
      <c r="M70" s="428"/>
      <c r="N70" s="426"/>
      <c r="O70" s="426"/>
      <c r="P70" s="426"/>
      <c r="Q70" s="426"/>
      <c r="R70" s="426"/>
      <c r="S70" s="426"/>
      <c r="T70" s="426"/>
      <c r="U70" s="426"/>
      <c r="V70" s="426"/>
      <c r="W70" s="426"/>
      <c r="X70" s="426"/>
      <c r="Y70" s="426"/>
      <c r="Z70" s="426"/>
      <c r="AA70" s="426"/>
    </row>
    <row r="71" spans="1:27" ht="75">
      <c r="A71" s="326" t="s">
        <v>482</v>
      </c>
      <c r="B71" s="326">
        <v>1035856956</v>
      </c>
      <c r="C71" s="327" t="s">
        <v>561</v>
      </c>
      <c r="D71" s="349">
        <v>2269777</v>
      </c>
      <c r="E71" s="328">
        <v>45763</v>
      </c>
      <c r="F71" s="429"/>
      <c r="G71" s="330">
        <v>240</v>
      </c>
      <c r="H71" s="330">
        <v>240</v>
      </c>
      <c r="I71" s="327"/>
      <c r="J71" s="327"/>
      <c r="K71" s="331"/>
      <c r="L71" s="331"/>
      <c r="M71" s="332">
        <v>40</v>
      </c>
      <c r="N71" s="330">
        <v>16</v>
      </c>
      <c r="O71" s="331"/>
      <c r="P71" s="331"/>
      <c r="Q71" s="331"/>
      <c r="R71" s="333"/>
      <c r="S71" s="333"/>
      <c r="T71" s="333"/>
      <c r="U71" s="329"/>
      <c r="V71" s="329"/>
      <c r="W71" s="329"/>
      <c r="X71" s="329"/>
      <c r="Y71" s="329"/>
      <c r="Z71" s="329"/>
      <c r="AA71" s="330" t="s">
        <v>484</v>
      </c>
    </row>
    <row r="72" spans="1:27" ht="60">
      <c r="A72" s="326" t="s">
        <v>482</v>
      </c>
      <c r="B72" s="326">
        <v>1020479937</v>
      </c>
      <c r="C72" s="327" t="s">
        <v>562</v>
      </c>
      <c r="D72" s="349">
        <v>2269777</v>
      </c>
      <c r="E72" s="328">
        <v>45763</v>
      </c>
      <c r="F72" s="429"/>
      <c r="G72" s="330">
        <v>240</v>
      </c>
      <c r="H72" s="330">
        <v>240</v>
      </c>
      <c r="I72" s="327"/>
      <c r="J72" s="327"/>
      <c r="K72" s="331"/>
      <c r="L72" s="331"/>
      <c r="M72" s="332">
        <v>32</v>
      </c>
      <c r="N72" s="330">
        <v>16</v>
      </c>
      <c r="O72" s="331"/>
      <c r="P72" s="331"/>
      <c r="Q72" s="331"/>
      <c r="R72" s="333"/>
      <c r="S72" s="333"/>
      <c r="T72" s="333"/>
      <c r="U72" s="329"/>
      <c r="V72" s="329"/>
      <c r="W72" s="329"/>
      <c r="X72" s="329"/>
      <c r="Y72" s="329"/>
      <c r="Z72" s="329"/>
      <c r="AA72" s="330" t="s">
        <v>508</v>
      </c>
    </row>
    <row r="73" spans="1:27" ht="75">
      <c r="A73" s="326" t="s">
        <v>482</v>
      </c>
      <c r="B73" s="326">
        <v>71826129</v>
      </c>
      <c r="C73" s="327" t="s">
        <v>563</v>
      </c>
      <c r="D73" s="349">
        <v>2269777</v>
      </c>
      <c r="E73" s="328">
        <v>45763</v>
      </c>
      <c r="F73" s="430"/>
      <c r="G73" s="330">
        <v>240</v>
      </c>
      <c r="H73" s="330">
        <v>240</v>
      </c>
      <c r="I73" s="327"/>
      <c r="J73" s="327"/>
      <c r="K73" s="331"/>
      <c r="L73" s="331"/>
      <c r="M73" s="332">
        <v>40</v>
      </c>
      <c r="N73" s="330">
        <v>16</v>
      </c>
      <c r="O73" s="331"/>
      <c r="P73" s="331"/>
      <c r="Q73" s="331"/>
      <c r="R73" s="333"/>
      <c r="S73" s="333"/>
      <c r="T73" s="333"/>
      <c r="U73" s="329"/>
      <c r="V73" s="329"/>
      <c r="W73" s="329"/>
      <c r="X73" s="329"/>
      <c r="Y73" s="329"/>
      <c r="Z73" s="329"/>
      <c r="AA73" s="330" t="s">
        <v>484</v>
      </c>
    </row>
    <row r="74" spans="1:27" ht="75">
      <c r="A74" s="326" t="s">
        <v>482</v>
      </c>
      <c r="B74" s="326">
        <v>70328027</v>
      </c>
      <c r="C74" s="327" t="s">
        <v>564</v>
      </c>
      <c r="D74" s="349">
        <v>2269777</v>
      </c>
      <c r="E74" s="328">
        <v>45763</v>
      </c>
      <c r="F74" s="330"/>
      <c r="G74" s="330">
        <v>240</v>
      </c>
      <c r="H74" s="330">
        <v>240</v>
      </c>
      <c r="I74" s="327"/>
      <c r="J74" s="327"/>
      <c r="K74" s="331"/>
      <c r="L74" s="331"/>
      <c r="M74" s="332">
        <v>40</v>
      </c>
      <c r="N74" s="330">
        <v>16</v>
      </c>
      <c r="O74" s="331"/>
      <c r="P74" s="331"/>
      <c r="Q74" s="331"/>
      <c r="R74" s="333"/>
      <c r="S74" s="333"/>
      <c r="T74" s="333"/>
      <c r="U74" s="329"/>
      <c r="V74" s="329"/>
      <c r="W74" s="329"/>
      <c r="X74" s="329"/>
      <c r="Y74" s="329"/>
      <c r="Z74" s="329"/>
      <c r="AA74" s="330" t="s">
        <v>484</v>
      </c>
    </row>
    <row r="75" spans="1:27" ht="75">
      <c r="A75" s="326" t="s">
        <v>482</v>
      </c>
      <c r="B75" s="326">
        <v>1037667116</v>
      </c>
      <c r="C75" s="327" t="s">
        <v>565</v>
      </c>
      <c r="D75" s="349">
        <v>2269777</v>
      </c>
      <c r="E75" s="328">
        <v>45763</v>
      </c>
      <c r="F75" s="330"/>
      <c r="G75" s="330">
        <v>240</v>
      </c>
      <c r="H75" s="330">
        <v>240</v>
      </c>
      <c r="I75" s="327"/>
      <c r="J75" s="327"/>
      <c r="K75" s="331"/>
      <c r="L75" s="331"/>
      <c r="M75" s="332">
        <v>40</v>
      </c>
      <c r="N75" s="330">
        <v>16</v>
      </c>
      <c r="O75" s="331"/>
      <c r="P75" s="331"/>
      <c r="Q75" s="331"/>
      <c r="R75" s="333"/>
      <c r="S75" s="333"/>
      <c r="T75" s="333"/>
      <c r="U75" s="329"/>
      <c r="V75" s="329"/>
      <c r="W75" s="329"/>
      <c r="X75" s="329"/>
      <c r="Y75" s="329"/>
      <c r="Z75" s="329"/>
      <c r="AA75" s="330" t="s">
        <v>484</v>
      </c>
    </row>
    <row r="76" spans="1:27" ht="75">
      <c r="A76" s="326" t="s">
        <v>482</v>
      </c>
      <c r="B76" s="326">
        <v>15517937</v>
      </c>
      <c r="C76" s="327" t="s">
        <v>566</v>
      </c>
      <c r="D76" s="349">
        <v>2269777</v>
      </c>
      <c r="E76" s="328">
        <v>45763</v>
      </c>
      <c r="F76" s="330"/>
      <c r="G76" s="330">
        <v>240</v>
      </c>
      <c r="H76" s="330">
        <v>240</v>
      </c>
      <c r="I76" s="327"/>
      <c r="J76" s="327"/>
      <c r="K76" s="331"/>
      <c r="L76" s="331"/>
      <c r="M76" s="332">
        <v>40</v>
      </c>
      <c r="N76" s="330">
        <v>16</v>
      </c>
      <c r="O76" s="331"/>
      <c r="P76" s="331"/>
      <c r="Q76" s="331"/>
      <c r="R76" s="333"/>
      <c r="S76" s="333"/>
      <c r="T76" s="333"/>
      <c r="U76" s="329"/>
      <c r="V76" s="329"/>
      <c r="W76" s="329"/>
      <c r="X76" s="329"/>
      <c r="Y76" s="329"/>
      <c r="Z76" s="329"/>
      <c r="AA76" s="330" t="s">
        <v>484</v>
      </c>
    </row>
    <row r="77" spans="1:27" ht="75">
      <c r="A77" s="326" t="s">
        <v>482</v>
      </c>
      <c r="B77" s="346">
        <v>15517428</v>
      </c>
      <c r="C77" s="431" t="s">
        <v>567</v>
      </c>
      <c r="D77" s="349">
        <v>2269777</v>
      </c>
      <c r="E77" s="328">
        <v>45763</v>
      </c>
      <c r="F77" s="330"/>
      <c r="G77" s="330">
        <v>240</v>
      </c>
      <c r="H77" s="330">
        <v>240</v>
      </c>
      <c r="I77" s="327"/>
      <c r="J77" s="327"/>
      <c r="K77" s="331"/>
      <c r="L77" s="331"/>
      <c r="M77" s="332">
        <v>40</v>
      </c>
      <c r="N77" s="330">
        <v>16</v>
      </c>
      <c r="O77" s="331"/>
      <c r="P77" s="331"/>
      <c r="Q77" s="331"/>
      <c r="R77" s="333"/>
      <c r="S77" s="333"/>
      <c r="T77" s="333"/>
      <c r="U77" s="329"/>
      <c r="V77" s="329"/>
      <c r="W77" s="329"/>
      <c r="X77" s="329"/>
      <c r="Y77" s="329"/>
      <c r="Z77" s="329"/>
      <c r="AA77" s="330" t="s">
        <v>484</v>
      </c>
    </row>
    <row r="78" spans="1:27" ht="75">
      <c r="A78" s="326" t="s">
        <v>482</v>
      </c>
      <c r="B78" s="326">
        <v>43915788</v>
      </c>
      <c r="C78" s="327" t="s">
        <v>568</v>
      </c>
      <c r="D78" s="349">
        <v>2269777</v>
      </c>
      <c r="E78" s="328">
        <v>45763</v>
      </c>
      <c r="F78" s="331"/>
      <c r="G78" s="330">
        <v>240</v>
      </c>
      <c r="H78" s="330">
        <v>240</v>
      </c>
      <c r="I78" s="327"/>
      <c r="J78" s="327"/>
      <c r="K78" s="331"/>
      <c r="L78" s="331"/>
      <c r="M78" s="332">
        <v>40</v>
      </c>
      <c r="N78" s="330">
        <v>16</v>
      </c>
      <c r="O78" s="331"/>
      <c r="P78" s="331"/>
      <c r="Q78" s="331"/>
      <c r="R78" s="326"/>
      <c r="S78" s="326"/>
      <c r="T78" s="326"/>
      <c r="U78" s="331"/>
      <c r="V78" s="326"/>
      <c r="W78" s="331"/>
      <c r="X78" s="331"/>
      <c r="Y78" s="331"/>
      <c r="Z78" s="331"/>
      <c r="AA78" s="330" t="s">
        <v>484</v>
      </c>
    </row>
    <row r="79" spans="1:27" ht="75">
      <c r="A79" s="326" t="s">
        <v>482</v>
      </c>
      <c r="B79" s="346">
        <v>1020467591</v>
      </c>
      <c r="C79" s="327" t="s">
        <v>569</v>
      </c>
      <c r="D79" s="349">
        <v>2269777</v>
      </c>
      <c r="E79" s="328">
        <v>45763</v>
      </c>
      <c r="F79" s="329"/>
      <c r="G79" s="330">
        <v>240</v>
      </c>
      <c r="H79" s="330">
        <v>240</v>
      </c>
      <c r="I79" s="327"/>
      <c r="J79" s="327"/>
      <c r="K79" s="331"/>
      <c r="L79" s="331"/>
      <c r="M79" s="332">
        <v>40</v>
      </c>
      <c r="N79" s="330">
        <v>16</v>
      </c>
      <c r="O79" s="331"/>
      <c r="P79" s="331"/>
      <c r="Q79" s="331"/>
      <c r="R79" s="333"/>
      <c r="S79" s="333"/>
      <c r="T79" s="333"/>
      <c r="U79" s="329"/>
      <c r="V79" s="329"/>
      <c r="W79" s="329"/>
      <c r="X79" s="329"/>
      <c r="Y79" s="329"/>
      <c r="Z79" s="329"/>
      <c r="AA79" s="330" t="s">
        <v>484</v>
      </c>
    </row>
    <row r="80" spans="1:27" ht="75">
      <c r="A80" s="326" t="s">
        <v>482</v>
      </c>
      <c r="B80" s="326">
        <v>32091812</v>
      </c>
      <c r="C80" s="327" t="s">
        <v>570</v>
      </c>
      <c r="D80" s="349">
        <v>2269777</v>
      </c>
      <c r="E80" s="328">
        <v>45763</v>
      </c>
      <c r="F80" s="329"/>
      <c r="G80" s="330">
        <v>240</v>
      </c>
      <c r="H80" s="330">
        <v>240</v>
      </c>
      <c r="I80" s="327"/>
      <c r="J80" s="327"/>
      <c r="K80" s="331"/>
      <c r="L80" s="331"/>
      <c r="M80" s="332">
        <v>40</v>
      </c>
      <c r="N80" s="330">
        <v>16</v>
      </c>
      <c r="O80" s="331"/>
      <c r="P80" s="331"/>
      <c r="Q80" s="331"/>
      <c r="R80" s="333"/>
      <c r="S80" s="333"/>
      <c r="T80" s="333"/>
      <c r="U80" s="329"/>
      <c r="V80" s="329"/>
      <c r="W80" s="329"/>
      <c r="X80" s="329"/>
      <c r="Y80" s="329"/>
      <c r="Z80" s="329"/>
      <c r="AA80" s="330" t="s">
        <v>484</v>
      </c>
    </row>
    <row r="81" spans="1:27" ht="75">
      <c r="A81" s="326" t="s">
        <v>482</v>
      </c>
      <c r="B81" s="387">
        <v>1216730484</v>
      </c>
      <c r="C81" s="432" t="s">
        <v>571</v>
      </c>
      <c r="D81" s="349">
        <v>2269777</v>
      </c>
      <c r="E81" s="328">
        <v>45763</v>
      </c>
      <c r="F81" s="329"/>
      <c r="G81" s="330">
        <v>240</v>
      </c>
      <c r="H81" s="330">
        <v>240</v>
      </c>
      <c r="I81" s="327"/>
      <c r="J81" s="327"/>
      <c r="K81" s="331"/>
      <c r="L81" s="331"/>
      <c r="M81" s="332">
        <v>40</v>
      </c>
      <c r="N81" s="330">
        <v>16</v>
      </c>
      <c r="O81" s="331"/>
      <c r="P81" s="331"/>
      <c r="Q81" s="331"/>
      <c r="R81" s="333"/>
      <c r="S81" s="333"/>
      <c r="T81" s="333"/>
      <c r="U81" s="329"/>
      <c r="V81" s="329"/>
      <c r="W81" s="329"/>
      <c r="X81" s="329"/>
      <c r="Y81" s="329"/>
      <c r="Z81" s="329"/>
      <c r="AA81" s="330" t="s">
        <v>484</v>
      </c>
    </row>
    <row r="82" spans="1:27" ht="75">
      <c r="A82" s="326" t="s">
        <v>482</v>
      </c>
      <c r="B82" s="346">
        <v>1035227154</v>
      </c>
      <c r="C82" s="327" t="s">
        <v>572</v>
      </c>
      <c r="D82" s="349">
        <v>2269777</v>
      </c>
      <c r="E82" s="328">
        <v>45763</v>
      </c>
      <c r="F82" s="329"/>
      <c r="G82" s="330">
        <v>240</v>
      </c>
      <c r="H82" s="330">
        <v>240</v>
      </c>
      <c r="I82" s="327"/>
      <c r="J82" s="327"/>
      <c r="K82" s="331"/>
      <c r="L82" s="331"/>
      <c r="M82" s="332">
        <v>40</v>
      </c>
      <c r="N82" s="330">
        <v>16</v>
      </c>
      <c r="O82" s="331"/>
      <c r="P82" s="331"/>
      <c r="Q82" s="331"/>
      <c r="R82" s="333"/>
      <c r="S82" s="333"/>
      <c r="T82" s="333"/>
      <c r="U82" s="329"/>
      <c r="V82" s="329"/>
      <c r="W82" s="329"/>
      <c r="X82" s="329"/>
      <c r="Y82" s="329"/>
      <c r="Z82" s="329"/>
      <c r="AA82" s="330" t="s">
        <v>484</v>
      </c>
    </row>
    <row r="83" spans="1:27" ht="75">
      <c r="A83" s="339" t="s">
        <v>482</v>
      </c>
      <c r="B83" s="333">
        <v>1000557194</v>
      </c>
      <c r="C83" s="355" t="s">
        <v>573</v>
      </c>
      <c r="D83" s="349">
        <v>2269777</v>
      </c>
      <c r="E83" s="328">
        <v>45763</v>
      </c>
      <c r="F83" s="329"/>
      <c r="G83" s="330">
        <v>240</v>
      </c>
      <c r="H83" s="330">
        <v>240</v>
      </c>
      <c r="I83" s="327"/>
      <c r="J83" s="327"/>
      <c r="K83" s="331"/>
      <c r="L83" s="331"/>
      <c r="M83" s="332">
        <v>40</v>
      </c>
      <c r="N83" s="330">
        <v>16</v>
      </c>
      <c r="O83" s="331"/>
      <c r="P83" s="331"/>
      <c r="Q83" s="331"/>
      <c r="R83" s="333"/>
      <c r="S83" s="333"/>
      <c r="T83" s="333"/>
      <c r="U83" s="329"/>
      <c r="V83" s="329"/>
      <c r="W83" s="329"/>
      <c r="X83" s="329"/>
      <c r="Y83" s="329"/>
      <c r="Z83" s="329"/>
      <c r="AA83" s="330" t="s">
        <v>484</v>
      </c>
    </row>
    <row r="84" spans="1:27" ht="48.75" customHeight="1" thickBot="1">
      <c r="A84" s="339" t="s">
        <v>482</v>
      </c>
      <c r="B84" s="433">
        <v>1035870129</v>
      </c>
      <c r="C84" s="404" t="s">
        <v>574</v>
      </c>
      <c r="D84" s="349">
        <v>2269777</v>
      </c>
      <c r="E84" s="434">
        <v>45784</v>
      </c>
      <c r="F84" s="329"/>
      <c r="G84" s="330">
        <v>200</v>
      </c>
      <c r="H84" s="330">
        <v>200</v>
      </c>
      <c r="I84" s="327"/>
      <c r="J84" s="327"/>
      <c r="K84" s="331"/>
      <c r="L84" s="331"/>
      <c r="M84" s="332">
        <v>32</v>
      </c>
      <c r="N84" s="330">
        <v>16</v>
      </c>
      <c r="O84" s="331"/>
      <c r="P84" s="331"/>
      <c r="Q84" s="331"/>
      <c r="R84" s="333"/>
      <c r="S84" s="333"/>
      <c r="T84" s="333"/>
      <c r="U84" s="329"/>
      <c r="V84" s="329"/>
      <c r="W84" s="329"/>
      <c r="X84" s="329"/>
      <c r="Y84" s="329"/>
      <c r="Z84" s="333">
        <v>40</v>
      </c>
      <c r="AA84" s="330" t="s">
        <v>575</v>
      </c>
    </row>
    <row r="85" spans="1:27" ht="105.75" thickBot="1">
      <c r="A85" s="339" t="s">
        <v>482</v>
      </c>
      <c r="B85" s="435">
        <v>1035436783</v>
      </c>
      <c r="C85" s="436" t="s">
        <v>576</v>
      </c>
      <c r="D85" s="349">
        <v>2269777</v>
      </c>
      <c r="E85" s="434">
        <v>45786</v>
      </c>
      <c r="F85" s="437"/>
      <c r="G85" s="330">
        <v>208</v>
      </c>
      <c r="H85" s="330">
        <v>208</v>
      </c>
      <c r="I85" s="327"/>
      <c r="J85" s="327"/>
      <c r="K85" s="331"/>
      <c r="L85" s="331"/>
      <c r="M85" s="332">
        <v>40</v>
      </c>
      <c r="N85" s="330">
        <v>16</v>
      </c>
      <c r="O85" s="397"/>
      <c r="P85" s="397"/>
      <c r="Q85" s="397"/>
      <c r="R85" s="403">
        <v>16</v>
      </c>
      <c r="S85" s="403">
        <v>16</v>
      </c>
      <c r="T85" s="403"/>
      <c r="U85" s="377"/>
      <c r="V85" s="377"/>
      <c r="W85" s="377"/>
      <c r="X85" s="377"/>
      <c r="Y85" s="377"/>
      <c r="Z85" s="377"/>
      <c r="AA85" s="330" t="s">
        <v>577</v>
      </c>
    </row>
    <row r="86" spans="1:27" ht="60.75" thickBot="1">
      <c r="A86" s="339" t="s">
        <v>482</v>
      </c>
      <c r="B86" s="438">
        <v>1035222774</v>
      </c>
      <c r="C86" s="389" t="s">
        <v>578</v>
      </c>
      <c r="D86" s="349">
        <v>2269777</v>
      </c>
      <c r="E86" s="439">
        <v>45880</v>
      </c>
      <c r="F86" s="437"/>
      <c r="G86" s="330">
        <v>160</v>
      </c>
      <c r="H86" s="330">
        <v>160</v>
      </c>
      <c r="I86" s="327"/>
      <c r="J86" s="327"/>
      <c r="K86" s="331"/>
      <c r="L86" s="331"/>
      <c r="M86" s="332">
        <v>24</v>
      </c>
      <c r="N86" s="330">
        <v>8</v>
      </c>
      <c r="O86" s="437"/>
      <c r="P86" s="437"/>
      <c r="Q86" s="437"/>
      <c r="R86" s="440"/>
      <c r="S86" s="440"/>
      <c r="T86" s="437"/>
      <c r="U86" s="437"/>
      <c r="V86" s="437"/>
      <c r="W86" s="437"/>
      <c r="X86" s="437"/>
      <c r="Y86" s="437"/>
      <c r="Z86" s="437"/>
      <c r="AA86" s="330" t="s">
        <v>579</v>
      </c>
    </row>
    <row r="87" spans="1:27" ht="15.75" thickBot="1">
      <c r="A87" s="441" t="s">
        <v>580</v>
      </c>
      <c r="B87" s="442"/>
      <c r="C87" s="443"/>
      <c r="D87" s="442"/>
      <c r="E87" s="442"/>
      <c r="F87" s="442"/>
      <c r="G87" s="442"/>
      <c r="H87" s="442"/>
      <c r="I87" s="442"/>
      <c r="J87" s="442"/>
      <c r="K87" s="442"/>
      <c r="L87" s="442"/>
      <c r="M87" s="444"/>
      <c r="N87" s="442"/>
      <c r="O87" s="442"/>
      <c r="P87" s="442"/>
      <c r="Q87" s="442"/>
      <c r="R87" s="442"/>
      <c r="S87" s="442"/>
      <c r="T87" s="442"/>
      <c r="U87" s="442"/>
      <c r="V87" s="442"/>
      <c r="W87" s="442"/>
      <c r="X87" s="442"/>
      <c r="Y87" s="442"/>
      <c r="Z87" s="442"/>
      <c r="AA87" s="445"/>
    </row>
    <row r="88" spans="1:27" ht="16.5" thickBot="1">
      <c r="A88" s="339" t="s">
        <v>482</v>
      </c>
      <c r="B88" s="437"/>
      <c r="C88" s="446"/>
      <c r="D88" s="349">
        <v>2425195</v>
      </c>
      <c r="E88" s="437"/>
      <c r="F88" s="329"/>
      <c r="G88" s="330"/>
      <c r="H88" s="330"/>
      <c r="I88" s="327"/>
      <c r="J88" s="327"/>
      <c r="K88" s="331"/>
      <c r="L88" s="331"/>
      <c r="M88" s="372"/>
      <c r="N88" s="330"/>
      <c r="O88" s="331"/>
      <c r="P88" s="331"/>
      <c r="Q88" s="331"/>
      <c r="R88" s="333"/>
      <c r="S88" s="333"/>
      <c r="T88" s="333"/>
      <c r="U88" s="329"/>
      <c r="V88" s="329"/>
      <c r="W88" s="329"/>
      <c r="X88" s="329"/>
      <c r="Y88" s="329"/>
      <c r="Z88" s="329"/>
      <c r="AA88" s="330"/>
    </row>
    <row r="89" spans="1:27" ht="15.75" thickBot="1">
      <c r="A89" s="350" t="s">
        <v>581</v>
      </c>
      <c r="B89" s="335"/>
      <c r="C89" s="336"/>
      <c r="D89" s="335"/>
      <c r="E89" s="335"/>
      <c r="F89" s="335"/>
      <c r="G89" s="335"/>
      <c r="H89" s="335"/>
      <c r="I89" s="335"/>
      <c r="J89" s="335"/>
      <c r="K89" s="335"/>
      <c r="L89" s="335"/>
      <c r="M89" s="337"/>
      <c r="N89" s="335"/>
      <c r="O89" s="335"/>
      <c r="P89" s="335"/>
      <c r="Q89" s="335"/>
      <c r="R89" s="335"/>
      <c r="S89" s="335"/>
      <c r="T89" s="335"/>
      <c r="U89" s="335"/>
      <c r="V89" s="335"/>
      <c r="W89" s="335"/>
      <c r="X89" s="335"/>
      <c r="Y89" s="335"/>
      <c r="Z89" s="335"/>
      <c r="AA89" s="338"/>
    </row>
    <row r="90" spans="1:27" ht="16.5" thickBot="1">
      <c r="A90" s="326" t="s">
        <v>482</v>
      </c>
      <c r="B90" s="326"/>
      <c r="C90" s="327"/>
      <c r="D90" s="349">
        <v>2617190</v>
      </c>
      <c r="E90" s="328"/>
      <c r="F90" s="328"/>
      <c r="G90" s="330"/>
      <c r="H90" s="330"/>
      <c r="I90" s="327"/>
      <c r="J90" s="327"/>
      <c r="K90" s="331"/>
      <c r="L90" s="331"/>
      <c r="M90" s="372"/>
      <c r="N90" s="330"/>
      <c r="O90" s="447"/>
      <c r="P90" s="447"/>
      <c r="Q90" s="447"/>
      <c r="R90" s="447"/>
      <c r="S90" s="447"/>
      <c r="T90" s="447"/>
      <c r="U90" s="447"/>
      <c r="V90" s="447"/>
      <c r="W90" s="447"/>
      <c r="X90" s="447"/>
      <c r="Y90" s="447"/>
      <c r="Z90" s="447"/>
      <c r="AA90" s="330"/>
    </row>
    <row r="91" spans="1:27">
      <c r="A91" s="350" t="s">
        <v>582</v>
      </c>
      <c r="B91" s="335"/>
      <c r="C91" s="336"/>
      <c r="D91" s="335"/>
      <c r="E91" s="335"/>
      <c r="F91" s="335"/>
      <c r="G91" s="448"/>
      <c r="H91" s="448"/>
      <c r="I91" s="335"/>
      <c r="J91" s="335"/>
      <c r="K91" s="335"/>
      <c r="L91" s="335"/>
      <c r="M91" s="337"/>
      <c r="N91" s="335"/>
      <c r="O91" s="335"/>
      <c r="P91" s="335"/>
      <c r="Q91" s="335"/>
      <c r="R91" s="335"/>
      <c r="S91" s="335"/>
      <c r="T91" s="335"/>
      <c r="U91" s="335"/>
      <c r="V91" s="335"/>
      <c r="W91" s="335"/>
      <c r="X91" s="335"/>
      <c r="Y91" s="335"/>
      <c r="Z91" s="335"/>
      <c r="AA91" s="338"/>
    </row>
    <row r="92" spans="1:27" ht="75">
      <c r="A92" s="326" t="s">
        <v>482</v>
      </c>
      <c r="B92" s="326">
        <v>70811462</v>
      </c>
      <c r="C92" s="327" t="s">
        <v>583</v>
      </c>
      <c r="D92" s="449">
        <v>1897079</v>
      </c>
      <c r="E92" s="328">
        <v>45766</v>
      </c>
      <c r="F92" s="330"/>
      <c r="G92" s="330">
        <v>240</v>
      </c>
      <c r="H92" s="330">
        <v>240</v>
      </c>
      <c r="I92" s="327"/>
      <c r="J92" s="327"/>
      <c r="K92" s="331"/>
      <c r="L92" s="331"/>
      <c r="M92" s="332">
        <v>40</v>
      </c>
      <c r="N92" s="330">
        <v>16</v>
      </c>
      <c r="O92" s="331"/>
      <c r="P92" s="331"/>
      <c r="Q92" s="331"/>
      <c r="R92" s="333"/>
      <c r="S92" s="333"/>
      <c r="T92" s="333"/>
      <c r="U92" s="329"/>
      <c r="V92" s="329"/>
      <c r="W92" s="329"/>
      <c r="X92" s="329"/>
      <c r="Y92" s="329"/>
      <c r="Z92" s="329"/>
      <c r="AA92" s="330" t="s">
        <v>484</v>
      </c>
    </row>
    <row r="94" spans="1:27">
      <c r="A94" s="350" t="s">
        <v>584</v>
      </c>
      <c r="B94" s="335"/>
      <c r="C94" s="336"/>
      <c r="D94" s="335"/>
      <c r="E94" s="335"/>
      <c r="F94" s="335"/>
      <c r="G94" s="450"/>
      <c r="H94" s="451"/>
      <c r="I94" s="335"/>
      <c r="J94" s="335"/>
      <c r="K94" s="335"/>
      <c r="L94" s="335"/>
      <c r="M94" s="451"/>
      <c r="N94" s="335"/>
      <c r="O94" s="335"/>
      <c r="P94" s="335"/>
      <c r="Q94" s="335"/>
      <c r="R94" s="335"/>
      <c r="S94" s="335"/>
      <c r="T94" s="335"/>
      <c r="U94" s="335"/>
      <c r="V94" s="335"/>
      <c r="W94" s="335"/>
      <c r="X94" s="335"/>
      <c r="Y94" s="335"/>
      <c r="Z94" s="335"/>
      <c r="AA94" s="338"/>
    </row>
    <row r="95" spans="1:27">
      <c r="A95" s="539" t="s">
        <v>585</v>
      </c>
      <c r="B95" s="539"/>
      <c r="C95" s="540"/>
      <c r="D95" s="541"/>
      <c r="E95" s="542"/>
      <c r="F95" s="542"/>
      <c r="G95" s="543"/>
      <c r="H95" s="543"/>
      <c r="I95" s="543"/>
      <c r="J95" s="543"/>
      <c r="K95" s="543"/>
      <c r="L95" s="543"/>
      <c r="M95" s="543"/>
      <c r="N95" s="543"/>
      <c r="O95" s="544"/>
      <c r="P95" s="544"/>
      <c r="Q95" s="544"/>
      <c r="R95" s="539"/>
      <c r="S95" s="544"/>
      <c r="T95" s="544"/>
      <c r="U95" s="544"/>
      <c r="V95" s="544"/>
      <c r="W95" s="544"/>
      <c r="X95" s="544"/>
      <c r="Y95" s="544"/>
      <c r="Z95" s="544"/>
      <c r="AA95" s="543"/>
    </row>
    <row r="96" spans="1:27">
      <c r="A96" s="539" t="s">
        <v>585</v>
      </c>
      <c r="B96" s="539"/>
      <c r="C96" s="540"/>
      <c r="D96" s="544"/>
      <c r="E96" s="544"/>
      <c r="F96" s="544"/>
      <c r="G96" s="543"/>
      <c r="H96" s="543"/>
      <c r="I96" s="543"/>
      <c r="J96" s="543"/>
      <c r="K96" s="543"/>
      <c r="L96" s="543"/>
      <c r="M96" s="543"/>
      <c r="N96" s="544"/>
      <c r="O96" s="544"/>
      <c r="P96" s="544"/>
      <c r="Q96" s="544"/>
      <c r="R96" s="544"/>
      <c r="S96" s="544"/>
      <c r="T96" s="544"/>
      <c r="U96" s="544"/>
      <c r="V96" s="544"/>
      <c r="W96" s="544"/>
      <c r="X96" s="544"/>
      <c r="Y96" s="544"/>
      <c r="Z96" s="544"/>
      <c r="AA96" s="543"/>
    </row>
    <row r="98" spans="6:26">
      <c r="G98" s="311">
        <f>SUM(G3:G92)</f>
        <v>13704</v>
      </c>
      <c r="H98" s="311">
        <f t="shared" ref="H98:Z98" si="0">SUM(H3:H92)</f>
        <v>12984</v>
      </c>
      <c r="I98" s="311">
        <f t="shared" si="0"/>
        <v>0</v>
      </c>
      <c r="J98" s="311">
        <f t="shared" si="0"/>
        <v>0</v>
      </c>
      <c r="K98" s="311">
        <f t="shared" si="0"/>
        <v>0</v>
      </c>
      <c r="L98" s="311">
        <f t="shared" si="0"/>
        <v>0</v>
      </c>
      <c r="M98" s="311">
        <f t="shared" si="0"/>
        <v>2192</v>
      </c>
      <c r="N98" s="311">
        <f t="shared" si="0"/>
        <v>888</v>
      </c>
      <c r="O98" s="311">
        <f t="shared" si="0"/>
        <v>0</v>
      </c>
      <c r="P98" s="311">
        <f t="shared" si="0"/>
        <v>0</v>
      </c>
      <c r="Q98" s="311">
        <f t="shared" si="0"/>
        <v>0</v>
      </c>
      <c r="R98" s="311">
        <f t="shared" si="0"/>
        <v>80</v>
      </c>
      <c r="S98" s="311">
        <f t="shared" si="0"/>
        <v>16</v>
      </c>
      <c r="T98" s="311">
        <f t="shared" si="0"/>
        <v>0</v>
      </c>
      <c r="U98" s="311">
        <f t="shared" si="0"/>
        <v>0</v>
      </c>
      <c r="V98" s="311">
        <f t="shared" si="0"/>
        <v>8</v>
      </c>
      <c r="W98" s="311">
        <f t="shared" si="0"/>
        <v>16</v>
      </c>
      <c r="X98" s="311">
        <f t="shared" si="0"/>
        <v>0</v>
      </c>
      <c r="Y98" s="311">
        <f t="shared" si="0"/>
        <v>0</v>
      </c>
      <c r="Z98" s="311">
        <f t="shared" si="0"/>
        <v>40</v>
      </c>
    </row>
    <row r="99" spans="6:26">
      <c r="G99" s="311">
        <f>G98/8</f>
        <v>1713</v>
      </c>
      <c r="H99" s="311">
        <f t="shared" ref="H99:Z99" si="1">H98/8</f>
        <v>1623</v>
      </c>
      <c r="I99" s="311">
        <f t="shared" si="1"/>
        <v>0</v>
      </c>
      <c r="J99" s="311">
        <f t="shared" si="1"/>
        <v>0</v>
      </c>
      <c r="K99" s="311">
        <f t="shared" si="1"/>
        <v>0</v>
      </c>
      <c r="L99" s="311">
        <f t="shared" si="1"/>
        <v>0</v>
      </c>
      <c r="M99" s="311">
        <f t="shared" si="1"/>
        <v>274</v>
      </c>
      <c r="N99" s="311">
        <f t="shared" si="1"/>
        <v>111</v>
      </c>
      <c r="O99" s="311">
        <f t="shared" si="1"/>
        <v>0</v>
      </c>
      <c r="P99" s="311">
        <f t="shared" si="1"/>
        <v>0</v>
      </c>
      <c r="Q99" s="311">
        <f t="shared" si="1"/>
        <v>0</v>
      </c>
      <c r="R99" s="311">
        <f t="shared" si="1"/>
        <v>10</v>
      </c>
      <c r="S99" s="311">
        <f t="shared" si="1"/>
        <v>2</v>
      </c>
      <c r="T99" s="311">
        <f t="shared" si="1"/>
        <v>0</v>
      </c>
      <c r="U99" s="311">
        <f t="shared" si="1"/>
        <v>0</v>
      </c>
      <c r="V99" s="311">
        <f t="shared" si="1"/>
        <v>1</v>
      </c>
      <c r="W99" s="311">
        <f t="shared" si="1"/>
        <v>2</v>
      </c>
      <c r="X99" s="311">
        <f t="shared" si="1"/>
        <v>0</v>
      </c>
      <c r="Y99" s="311">
        <f t="shared" si="1"/>
        <v>0</v>
      </c>
      <c r="Z99" s="311">
        <f t="shared" si="1"/>
        <v>5</v>
      </c>
    </row>
    <row r="100" spans="6:26">
      <c r="F100" s="311">
        <v>14</v>
      </c>
    </row>
    <row r="101" spans="6:26">
      <c r="G101" s="311">
        <v>1</v>
      </c>
      <c r="H101" s="311">
        <v>2</v>
      </c>
      <c r="I101" s="311">
        <v>3</v>
      </c>
      <c r="J101" s="311">
        <v>4</v>
      </c>
      <c r="K101" s="311">
        <v>5</v>
      </c>
      <c r="L101" s="311">
        <v>6</v>
      </c>
      <c r="M101" s="311">
        <v>7</v>
      </c>
      <c r="N101" s="311">
        <v>8</v>
      </c>
      <c r="O101" s="311">
        <v>9</v>
      </c>
      <c r="P101" s="311">
        <v>10</v>
      </c>
      <c r="Q101" s="311">
        <v>11</v>
      </c>
      <c r="R101" s="311">
        <v>12</v>
      </c>
      <c r="S101" s="311">
        <v>13</v>
      </c>
      <c r="T101" s="311">
        <v>14</v>
      </c>
      <c r="U101" s="311">
        <v>15</v>
      </c>
      <c r="V101" s="311">
        <v>16</v>
      </c>
      <c r="W101" s="311">
        <v>17</v>
      </c>
      <c r="X101" s="311">
        <v>18</v>
      </c>
      <c r="Y101" s="311">
        <v>19</v>
      </c>
      <c r="Z101" s="311">
        <v>20</v>
      </c>
    </row>
  </sheetData>
  <autoFilter ref="A3:AC96" xr:uid="{00000000-0009-0000-0000-000000000000}"/>
  <mergeCells count="2">
    <mergeCell ref="A1:AA1"/>
    <mergeCell ref="A2:AA2"/>
  </mergeCells>
  <pageMargins left="0.7" right="0.7" top="0.75" bottom="0.75" header="0" footer="0"/>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A5ADC-B1C2-4FC2-AEE3-A17DA8C1D62D}">
  <sheetPr>
    <tabColor rgb="FFFF0000"/>
    <pageSetUpPr fitToPage="1"/>
  </sheetPr>
  <dimension ref="A1:AQ175"/>
  <sheetViews>
    <sheetView workbookViewId="0">
      <selection sqref="A1:AO1"/>
    </sheetView>
  </sheetViews>
  <sheetFormatPr baseColWidth="10" defaultColWidth="11.42578125" defaultRowHeight="11.25"/>
  <cols>
    <col min="1" max="1" width="4.7109375" style="175" customWidth="1"/>
    <col min="2" max="2" width="25.140625" style="175" customWidth="1"/>
    <col min="3" max="3" width="12.140625" style="175" bestFit="1" customWidth="1"/>
    <col min="4" max="4" width="22.42578125" style="175" bestFit="1" customWidth="1"/>
    <col min="5" max="5" width="10.42578125" style="175" customWidth="1"/>
    <col min="6" max="6" width="15.28515625" style="284" customWidth="1"/>
    <col min="7" max="7" width="4.42578125" style="285" customWidth="1"/>
    <col min="8" max="8" width="10" style="284" customWidth="1"/>
    <col min="9" max="9" width="10.42578125" style="284" customWidth="1"/>
    <col min="10" max="11" width="11.140625" style="284" customWidth="1"/>
    <col min="12" max="12" width="10.7109375" style="284" customWidth="1"/>
    <col min="13" max="13" width="10.42578125" style="284" customWidth="1"/>
    <col min="14" max="14" width="11" style="284" customWidth="1"/>
    <col min="15" max="15" width="8.140625" style="284" customWidth="1"/>
    <col min="16" max="16" width="15.42578125" style="284" customWidth="1"/>
    <col min="17" max="18" width="12.42578125" style="284" customWidth="1"/>
    <col min="19" max="20" width="12" style="284" customWidth="1"/>
    <col min="21" max="21" width="14.28515625" style="284" customWidth="1"/>
    <col min="22" max="22" width="13.85546875" style="284" customWidth="1"/>
    <col min="23" max="23" width="14" style="284" customWidth="1"/>
    <col min="24" max="24" width="16.85546875" style="175" customWidth="1"/>
    <col min="25" max="25" width="13.7109375" style="175" customWidth="1"/>
    <col min="26" max="26" width="15.42578125" style="300" customWidth="1"/>
    <col min="27" max="27" width="15.85546875" style="175" customWidth="1"/>
    <col min="28" max="28" width="13.85546875" style="175" customWidth="1"/>
    <col min="29" max="29" width="14.85546875" style="175" customWidth="1"/>
    <col min="30" max="30" width="15.42578125" style="175" customWidth="1"/>
    <col min="31" max="31" width="15.85546875" style="175" customWidth="1"/>
    <col min="32" max="32" width="16.140625" style="175" customWidth="1"/>
    <col min="33" max="33" width="9.42578125" style="175" bestFit="1" customWidth="1"/>
    <col min="34" max="34" width="13.42578125" style="175" customWidth="1"/>
    <col min="35" max="35" width="16.85546875" style="175" customWidth="1"/>
    <col min="36" max="36" width="19.42578125" style="175" customWidth="1"/>
    <col min="37" max="37" width="21" style="175" customWidth="1"/>
    <col min="38" max="38" width="20.85546875" style="175" customWidth="1"/>
    <col min="39" max="39" width="20" style="175" customWidth="1"/>
    <col min="40" max="40" width="22.42578125" style="288" customWidth="1"/>
    <col min="41" max="41" width="15.42578125" style="288" customWidth="1"/>
    <col min="42" max="42" width="23.42578125" style="175" customWidth="1"/>
    <col min="43" max="43" width="27.28515625" style="175" customWidth="1"/>
    <col min="44" max="44" width="18.7109375" style="175" customWidth="1"/>
    <col min="45" max="16384" width="11.42578125" style="175"/>
  </cols>
  <sheetData>
    <row r="1" spans="1:43" s="173" customFormat="1" ht="12.75" customHeight="1">
      <c r="A1" s="1048" t="s">
        <v>70</v>
      </c>
      <c r="B1" s="1049"/>
      <c r="C1" s="1049"/>
      <c r="D1" s="1049"/>
      <c r="E1" s="1049"/>
      <c r="F1" s="1049"/>
      <c r="G1" s="1049"/>
      <c r="H1" s="1049"/>
      <c r="I1" s="1049"/>
      <c r="J1" s="1049"/>
      <c r="K1" s="1049"/>
      <c r="L1" s="1049"/>
      <c r="M1" s="1049"/>
      <c r="N1" s="1049"/>
      <c r="O1" s="1049"/>
      <c r="P1" s="1049"/>
      <c r="Q1" s="1049"/>
      <c r="R1" s="1049"/>
      <c r="S1" s="1049"/>
      <c r="T1" s="1049"/>
      <c r="U1" s="1049"/>
      <c r="V1" s="1049"/>
      <c r="W1" s="1049"/>
      <c r="X1" s="1049"/>
      <c r="Y1" s="1049"/>
      <c r="Z1" s="1049"/>
      <c r="AA1" s="1049"/>
      <c r="AB1" s="1049"/>
      <c r="AC1" s="1049"/>
      <c r="AD1" s="1049"/>
      <c r="AE1" s="1049"/>
      <c r="AF1" s="1049"/>
      <c r="AG1" s="1049"/>
      <c r="AH1" s="1049"/>
      <c r="AI1" s="1049"/>
      <c r="AJ1" s="1049"/>
      <c r="AK1" s="1049"/>
      <c r="AL1" s="1049"/>
      <c r="AM1" s="1049"/>
      <c r="AN1" s="1049"/>
      <c r="AO1" s="1050"/>
      <c r="AP1" s="454"/>
      <c r="AQ1" s="454"/>
    </row>
    <row r="2" spans="1:43" s="173" customFormat="1" ht="16.5" customHeight="1">
      <c r="A2" s="1051" t="s">
        <v>109</v>
      </c>
      <c r="B2" s="1052"/>
      <c r="C2" s="1052"/>
      <c r="D2" s="1052"/>
      <c r="E2" s="1052"/>
      <c r="F2" s="1052"/>
      <c r="G2" s="1052"/>
      <c r="H2" s="1052"/>
      <c r="I2" s="1052"/>
      <c r="J2" s="1052"/>
      <c r="K2" s="1052"/>
      <c r="L2" s="1052"/>
      <c r="M2" s="1052"/>
      <c r="N2" s="1052"/>
      <c r="O2" s="1052"/>
      <c r="P2" s="1052"/>
      <c r="Q2" s="1052"/>
      <c r="R2" s="1052"/>
      <c r="S2" s="1052"/>
      <c r="T2" s="1052"/>
      <c r="U2" s="1052"/>
      <c r="V2" s="1052"/>
      <c r="W2" s="1052"/>
      <c r="X2" s="1052"/>
      <c r="Y2" s="1052"/>
      <c r="Z2" s="1052"/>
      <c r="AA2" s="1052"/>
      <c r="AB2" s="1052"/>
      <c r="AC2" s="1052"/>
      <c r="AD2" s="1052"/>
      <c r="AE2" s="1052"/>
      <c r="AF2" s="1052"/>
      <c r="AG2" s="1052"/>
      <c r="AH2" s="1052"/>
      <c r="AI2" s="1052"/>
      <c r="AJ2" s="1052"/>
      <c r="AK2" s="1052"/>
      <c r="AL2" s="1052"/>
      <c r="AM2" s="1052"/>
      <c r="AN2" s="1052"/>
      <c r="AO2" s="1053"/>
      <c r="AP2" s="454"/>
      <c r="AQ2" s="454"/>
    </row>
    <row r="3" spans="1:43" s="173" customFormat="1" ht="15" customHeight="1">
      <c r="A3" s="1054" t="s">
        <v>0</v>
      </c>
      <c r="B3" s="1055"/>
      <c r="C3" s="1055"/>
      <c r="D3" s="1055"/>
      <c r="E3" s="1055"/>
      <c r="F3" s="1055"/>
      <c r="G3" s="1055"/>
      <c r="H3" s="1055"/>
      <c r="I3" s="1055"/>
      <c r="J3" s="1055"/>
      <c r="K3" s="1055"/>
      <c r="L3" s="1055"/>
      <c r="M3" s="1055"/>
      <c r="N3" s="1055"/>
      <c r="O3" s="1055"/>
      <c r="P3" s="1055"/>
      <c r="Q3" s="1055"/>
      <c r="R3" s="1055"/>
      <c r="S3" s="1055"/>
      <c r="T3" s="1055"/>
      <c r="U3" s="1055"/>
      <c r="V3" s="1055"/>
      <c r="W3" s="1055"/>
      <c r="X3" s="1055"/>
      <c r="Y3" s="1055"/>
      <c r="Z3" s="1055"/>
      <c r="AA3" s="1055"/>
      <c r="AB3" s="1055"/>
      <c r="AC3" s="1055"/>
      <c r="AD3" s="1055"/>
      <c r="AE3" s="1055"/>
      <c r="AF3" s="1055"/>
      <c r="AG3" s="1055"/>
      <c r="AH3" s="1055"/>
      <c r="AI3" s="1055"/>
      <c r="AJ3" s="1055"/>
      <c r="AK3" s="1055"/>
      <c r="AL3" s="1055"/>
      <c r="AM3" s="1055"/>
      <c r="AN3" s="1055"/>
      <c r="AO3" s="1056"/>
      <c r="AP3" s="454"/>
      <c r="AQ3" s="454"/>
    </row>
    <row r="4" spans="1:43">
      <c r="A4" s="455"/>
      <c r="B4" s="455"/>
      <c r="C4" s="455"/>
      <c r="D4" s="455"/>
      <c r="E4" s="455"/>
      <c r="F4" s="455"/>
      <c r="G4" s="174"/>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6"/>
      <c r="AJ4" s="455"/>
      <c r="AK4" s="455"/>
      <c r="AL4" s="455"/>
      <c r="AM4" s="455"/>
      <c r="AN4" s="455"/>
      <c r="AO4" s="455"/>
      <c r="AP4" s="455"/>
      <c r="AQ4" s="455"/>
    </row>
    <row r="5" spans="1:43" s="457" customFormat="1" ht="13.5" customHeight="1">
      <c r="A5" s="176">
        <v>1</v>
      </c>
      <c r="B5" s="1040" t="s">
        <v>110</v>
      </c>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c r="AA5" s="1040"/>
      <c r="AB5" s="1040"/>
      <c r="AC5" s="1040"/>
      <c r="AD5" s="1040"/>
      <c r="AE5" s="1040"/>
      <c r="AF5" s="1040"/>
      <c r="AG5" s="1040"/>
      <c r="AH5" s="1040"/>
      <c r="AI5" s="1040"/>
      <c r="AJ5" s="1040"/>
      <c r="AK5" s="1040"/>
      <c r="AL5" s="1040"/>
      <c r="AM5" s="1040"/>
      <c r="AN5" s="1040"/>
      <c r="AO5" s="1041"/>
      <c r="AP5" s="175"/>
    </row>
    <row r="6" spans="1:43" s="457" customFormat="1" ht="19.5" customHeight="1">
      <c r="A6" s="177" t="s">
        <v>111</v>
      </c>
      <c r="B6" s="178" t="s">
        <v>112</v>
      </c>
      <c r="C6" s="179"/>
      <c r="D6" s="179"/>
      <c r="E6" s="180"/>
      <c r="F6" s="180"/>
      <c r="G6" s="181"/>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2"/>
      <c r="AP6" s="175"/>
    </row>
    <row r="7" spans="1:43" s="457" customFormat="1" ht="56.25" customHeight="1">
      <c r="A7" s="1037" t="s">
        <v>29</v>
      </c>
      <c r="B7" s="1037" t="s">
        <v>113</v>
      </c>
      <c r="C7" s="1037" t="s">
        <v>455</v>
      </c>
      <c r="D7" s="1037" t="s">
        <v>586</v>
      </c>
      <c r="E7" s="1037" t="s">
        <v>202</v>
      </c>
      <c r="F7" s="1037" t="s">
        <v>587</v>
      </c>
      <c r="G7" s="183"/>
      <c r="H7" s="1037" t="s">
        <v>588</v>
      </c>
      <c r="I7" s="1037" t="s">
        <v>589</v>
      </c>
      <c r="J7" s="1037" t="s">
        <v>590</v>
      </c>
      <c r="K7" s="1037" t="s">
        <v>591</v>
      </c>
      <c r="L7" s="1037" t="s">
        <v>592</v>
      </c>
      <c r="M7" s="1037" t="s">
        <v>593</v>
      </c>
      <c r="N7" s="1037" t="s">
        <v>594</v>
      </c>
      <c r="O7" s="1037" t="s">
        <v>595</v>
      </c>
      <c r="P7" s="1037" t="s">
        <v>116</v>
      </c>
      <c r="Q7" s="1037" t="s">
        <v>596</v>
      </c>
      <c r="R7" s="1037" t="s">
        <v>597</v>
      </c>
      <c r="S7" s="1037" t="s">
        <v>598</v>
      </c>
      <c r="T7" s="1037" t="s">
        <v>599</v>
      </c>
      <c r="U7" s="184" t="s">
        <v>117</v>
      </c>
      <c r="V7" s="184" t="s">
        <v>118</v>
      </c>
      <c r="W7" s="184" t="s">
        <v>119</v>
      </c>
      <c r="X7" s="1037" t="s">
        <v>120</v>
      </c>
      <c r="Y7" s="184" t="s">
        <v>121</v>
      </c>
      <c r="Z7" s="184" t="s">
        <v>122</v>
      </c>
      <c r="AA7" s="184" t="s">
        <v>123</v>
      </c>
      <c r="AB7" s="184" t="s">
        <v>124</v>
      </c>
      <c r="AC7" s="184" t="s">
        <v>125</v>
      </c>
      <c r="AD7" s="184" t="s">
        <v>126</v>
      </c>
      <c r="AE7" s="1037" t="s">
        <v>127</v>
      </c>
      <c r="AF7" s="1037" t="s">
        <v>128</v>
      </c>
      <c r="AG7" s="184" t="s">
        <v>129</v>
      </c>
      <c r="AH7" s="184" t="s">
        <v>130</v>
      </c>
      <c r="AI7" s="458" t="s">
        <v>131</v>
      </c>
      <c r="AJ7" s="1037" t="s">
        <v>132</v>
      </c>
      <c r="AK7" s="185" t="s">
        <v>133</v>
      </c>
      <c r="AL7" s="1034" t="s">
        <v>137</v>
      </c>
      <c r="AM7" s="185" t="s">
        <v>600</v>
      </c>
      <c r="AN7" s="1034" t="s">
        <v>139</v>
      </c>
      <c r="AO7" s="1034" t="s">
        <v>9</v>
      </c>
      <c r="AP7" s="186"/>
    </row>
    <row r="8" spans="1:43" s="457" customFormat="1" ht="26.25" customHeight="1">
      <c r="A8" s="1038"/>
      <c r="B8" s="1038"/>
      <c r="C8" s="1038"/>
      <c r="D8" s="1038"/>
      <c r="E8" s="1038"/>
      <c r="F8" s="1038"/>
      <c r="G8" s="187"/>
      <c r="H8" s="1038"/>
      <c r="I8" s="1038"/>
      <c r="J8" s="1038"/>
      <c r="K8" s="1038"/>
      <c r="L8" s="1038"/>
      <c r="M8" s="1038"/>
      <c r="N8" s="1038"/>
      <c r="O8" s="1038"/>
      <c r="P8" s="1038"/>
      <c r="Q8" s="1038"/>
      <c r="R8" s="1038"/>
      <c r="S8" s="1038"/>
      <c r="T8" s="1038"/>
      <c r="U8" s="188">
        <v>0.8</v>
      </c>
      <c r="V8" s="189">
        <v>1.8</v>
      </c>
      <c r="W8" s="190">
        <v>200000</v>
      </c>
      <c r="X8" s="1038"/>
      <c r="Y8" s="191">
        <v>4.1669999999999999E-2</v>
      </c>
      <c r="Z8" s="191">
        <v>8.3330000000000001E-2</v>
      </c>
      <c r="AA8" s="191">
        <v>8.3330000000000001E-2</v>
      </c>
      <c r="AB8" s="192">
        <v>0.01</v>
      </c>
      <c r="AC8" s="192">
        <v>0</v>
      </c>
      <c r="AD8" s="192">
        <v>0.12</v>
      </c>
      <c r="AE8" s="1038"/>
      <c r="AF8" s="1038"/>
      <c r="AG8" s="192">
        <v>0</v>
      </c>
      <c r="AH8" s="192">
        <v>0</v>
      </c>
      <c r="AI8" s="192">
        <v>0.04</v>
      </c>
      <c r="AJ8" s="1038"/>
      <c r="AK8" s="193">
        <v>0.08</v>
      </c>
      <c r="AL8" s="1035"/>
      <c r="AM8" s="194">
        <v>0.19</v>
      </c>
      <c r="AN8" s="1035"/>
      <c r="AO8" s="1035"/>
      <c r="AP8" s="195"/>
    </row>
    <row r="9" spans="1:43" s="457" customFormat="1" ht="24.95" customHeight="1">
      <c r="A9" s="459" t="s">
        <v>140</v>
      </c>
      <c r="B9" s="460" t="s">
        <v>141</v>
      </c>
      <c r="C9" s="460">
        <v>71210225</v>
      </c>
      <c r="D9" s="461" t="s">
        <v>601</v>
      </c>
      <c r="E9" s="462">
        <v>1</v>
      </c>
      <c r="F9" s="196">
        <v>4477062</v>
      </c>
      <c r="G9" s="197"/>
      <c r="H9" s="463">
        <v>30</v>
      </c>
      <c r="I9" s="463">
        <v>0</v>
      </c>
      <c r="J9" s="463">
        <v>0</v>
      </c>
      <c r="K9" s="463">
        <v>0</v>
      </c>
      <c r="L9" s="463">
        <v>40</v>
      </c>
      <c r="M9" s="463">
        <v>16</v>
      </c>
      <c r="N9" s="463">
        <v>0</v>
      </c>
      <c r="O9" s="463">
        <v>0</v>
      </c>
      <c r="P9" s="198">
        <f>IFERROR(ROUND(F9/30*H9,0),"")</f>
        <v>4477062</v>
      </c>
      <c r="Q9" s="199">
        <f>IF(E9=0,"",IF(I9="",0,IF(I9&lt;=2,ROUND(F9/30*I9,0),"REVISAR")))</f>
        <v>0</v>
      </c>
      <c r="R9" s="199">
        <f>IF(J9="","",IF(J9=0,0,IF(J9&lt;=2,"Revisar",ROUND(F9/30*66.67%*J9,0))))</f>
        <v>0</v>
      </c>
      <c r="S9" s="200">
        <f>IF(K9="","",ROUND(F9/30*K9,0))</f>
        <v>0</v>
      </c>
      <c r="T9" s="199">
        <f>IF(O9="","",ROUND(F9/220*1.25*O9,0))</f>
        <v>0</v>
      </c>
      <c r="U9" s="199">
        <f>IFERROR(ROUND((F9/220)*$U$8*(L9),0),"")</f>
        <v>651209</v>
      </c>
      <c r="V9" s="199">
        <f>IFERROR(ROUND((F9/220)*$V$8*(M9),0),"")</f>
        <v>586088</v>
      </c>
      <c r="W9" s="199">
        <f>IF(E9=0,"",IF(F9&gt;2847000,0,$W$8*E9/30*N9))</f>
        <v>0</v>
      </c>
      <c r="X9" s="201">
        <f>SUM(P9:W9)</f>
        <v>5714359</v>
      </c>
      <c r="Y9" s="202">
        <f t="shared" ref="Y9:Y30" si="0">ROUND((X9-W9)*$Y$8,0)</f>
        <v>238117</v>
      </c>
      <c r="Z9" s="202">
        <f t="shared" ref="Z9:Z53" si="1">ROUND((X9)*$Z$8,0)</f>
        <v>476178</v>
      </c>
      <c r="AA9" s="202">
        <f t="shared" ref="AA9:AA53" si="2">ROUND((X9)*$AA$8,0)</f>
        <v>476178</v>
      </c>
      <c r="AB9" s="202">
        <f t="shared" ref="AB9:AB53" si="3">ROUND((X9)*$AB$8,0)</f>
        <v>57144</v>
      </c>
      <c r="AC9" s="202">
        <f t="shared" ref="AC9:AC30" si="4">ROUND((X9-W9)*$AC$8,0)</f>
        <v>0</v>
      </c>
      <c r="AD9" s="202">
        <f t="shared" ref="AD9:AD30" si="5">ROUND((X9-W9)*$AD$8,0)</f>
        <v>685723</v>
      </c>
      <c r="AE9" s="203">
        <v>5.2199999999999998E-3</v>
      </c>
      <c r="AF9" s="202">
        <f>IFERROR(ROUND((X9-SUM(Q9:S9)-W9)*AE9,0),"")</f>
        <v>29829</v>
      </c>
      <c r="AG9" s="202">
        <f t="shared" ref="AG9:AG30" si="6">ROUND((X9-W9)*$AG$8,0)</f>
        <v>0</v>
      </c>
      <c r="AH9" s="202">
        <f t="shared" ref="AH9:AH30" si="7">ROUND((X9-W9)*$AH$8,0)</f>
        <v>0</v>
      </c>
      <c r="AI9" s="204">
        <f>IFERROR(ROUND((X9-SUM(Q9:S9)-W9)*$AI$8,0),"")</f>
        <v>228574</v>
      </c>
      <c r="AJ9" s="201">
        <f t="shared" ref="AJ9:AJ30" si="8">+X9+Y9+Z9+AA9+AB9+AC9+AD9+AF9+AG9+AH9+AI9</f>
        <v>7906102</v>
      </c>
      <c r="AK9" s="201">
        <f t="shared" ref="AK9:AK53" si="9">ROUND(AJ9*$AK$8,0)</f>
        <v>632488</v>
      </c>
      <c r="AL9" s="201">
        <f t="shared" ref="AL9:AL53" si="10">+AJ9+AK9</f>
        <v>8538590</v>
      </c>
      <c r="AM9" s="204">
        <f>ROUND(AL9*$AM$8,0)</f>
        <v>1622332</v>
      </c>
      <c r="AN9" s="201">
        <f t="shared" ref="AN9:AN53" si="11">+AL9+AM9</f>
        <v>10160922</v>
      </c>
      <c r="AO9" s="205" t="s">
        <v>13</v>
      </c>
      <c r="AP9" s="206">
        <f>+AL9*0.1</f>
        <v>853859</v>
      </c>
    </row>
    <row r="10" spans="1:43" s="457" customFormat="1" ht="24.95" customHeight="1">
      <c r="A10" s="459" t="s">
        <v>142</v>
      </c>
      <c r="B10" s="461" t="s">
        <v>602</v>
      </c>
      <c r="C10" s="460"/>
      <c r="D10" s="461"/>
      <c r="E10" s="464">
        <v>0</v>
      </c>
      <c r="F10" s="196">
        <v>3067772</v>
      </c>
      <c r="G10" s="197"/>
      <c r="H10" s="463"/>
      <c r="I10" s="463"/>
      <c r="J10" s="463"/>
      <c r="K10" s="463"/>
      <c r="L10" s="463"/>
      <c r="M10" s="463"/>
      <c r="N10" s="463"/>
      <c r="O10" s="463"/>
      <c r="P10" s="198">
        <f>IFERROR(ROUND(F10/30*H10,0),"")</f>
        <v>0</v>
      </c>
      <c r="Q10" s="199" t="str">
        <f t="shared" ref="Q10:Q73" si="12">IF(E10=0,"",IF(I10="",0,IF(I10&lt;=2,ROUND(F10/30*I10,0),"REVISAR")))</f>
        <v/>
      </c>
      <c r="R10" s="199" t="str">
        <f t="shared" ref="R10:R73" si="13">IF(J10="","",IF(J10=0,0,IF(J10&lt;=2,"Revisar",ROUND(F10/30*66.67%*J10,0))))</f>
        <v/>
      </c>
      <c r="S10" s="200" t="str">
        <f t="shared" ref="S10:S73" si="14">IF(K10="","",ROUND(F10/30*K10,0))</f>
        <v/>
      </c>
      <c r="T10" s="199" t="str">
        <f t="shared" ref="T10:T73" si="15">IF(O10="","",ROUND(F10/220*1.25*O10,0))</f>
        <v/>
      </c>
      <c r="U10" s="199">
        <f t="shared" ref="U10:U73" si="16">IFERROR(ROUND((F10/220)*$U$8*(L10),0),"")</f>
        <v>0</v>
      </c>
      <c r="V10" s="199">
        <f t="shared" ref="V10:V73" si="17">IFERROR(ROUND((F10/220)*$V$8*(M10),0),"")</f>
        <v>0</v>
      </c>
      <c r="W10" s="199">
        <v>0</v>
      </c>
      <c r="X10" s="201">
        <f>SUM(P10:W10)</f>
        <v>0</v>
      </c>
      <c r="Y10" s="202">
        <f t="shared" si="0"/>
        <v>0</v>
      </c>
      <c r="Z10" s="202">
        <f t="shared" si="1"/>
        <v>0</v>
      </c>
      <c r="AA10" s="202">
        <f t="shared" si="2"/>
        <v>0</v>
      </c>
      <c r="AB10" s="202">
        <f t="shared" si="3"/>
        <v>0</v>
      </c>
      <c r="AC10" s="202">
        <f t="shared" si="4"/>
        <v>0</v>
      </c>
      <c r="AD10" s="202">
        <f t="shared" si="5"/>
        <v>0</v>
      </c>
      <c r="AE10" s="203">
        <v>5.2199999999999998E-3</v>
      </c>
      <c r="AF10" s="202">
        <f t="shared" ref="AF10:AF71" si="18">IFERROR(ROUND((X10-SUM(Q10:S10)-W10)*AE10,0),"")</f>
        <v>0</v>
      </c>
      <c r="AG10" s="202">
        <f t="shared" si="6"/>
        <v>0</v>
      </c>
      <c r="AH10" s="202">
        <f t="shared" si="7"/>
        <v>0</v>
      </c>
      <c r="AI10" s="204">
        <f t="shared" ref="AI10:AI73" si="19">IFERROR(ROUND((X10-SUM(Q10:S10)-W10)*$AI$8,0),"")</f>
        <v>0</v>
      </c>
      <c r="AJ10" s="201">
        <f t="shared" si="8"/>
        <v>0</v>
      </c>
      <c r="AK10" s="201">
        <f t="shared" si="9"/>
        <v>0</v>
      </c>
      <c r="AL10" s="201">
        <f t="shared" si="10"/>
        <v>0</v>
      </c>
      <c r="AM10" s="204">
        <f t="shared" ref="AM10:AM30" si="20">ROUND(AL10*$AM$8,0)</f>
        <v>0</v>
      </c>
      <c r="AN10" s="201">
        <f t="shared" si="11"/>
        <v>0</v>
      </c>
      <c r="AO10" s="205" t="s">
        <v>13</v>
      </c>
      <c r="AP10" s="195"/>
    </row>
    <row r="11" spans="1:43" s="457" customFormat="1" ht="24.95" customHeight="1">
      <c r="A11" s="459" t="s">
        <v>144</v>
      </c>
      <c r="B11" s="460" t="s">
        <v>603</v>
      </c>
      <c r="C11" s="460">
        <v>1001744300</v>
      </c>
      <c r="D11" s="461" t="s">
        <v>604</v>
      </c>
      <c r="E11" s="462">
        <v>1</v>
      </c>
      <c r="F11" s="196">
        <v>1954575</v>
      </c>
      <c r="G11" s="197"/>
      <c r="H11" s="463">
        <v>30</v>
      </c>
      <c r="I11" s="463">
        <v>0</v>
      </c>
      <c r="J11" s="463">
        <v>0</v>
      </c>
      <c r="K11" s="463">
        <v>0</v>
      </c>
      <c r="L11" s="463">
        <v>40</v>
      </c>
      <c r="M11" s="463">
        <v>0</v>
      </c>
      <c r="N11" s="463">
        <v>30</v>
      </c>
      <c r="O11" s="463">
        <v>0</v>
      </c>
      <c r="P11" s="198">
        <f t="shared" ref="P11:P74" si="21">IFERROR(ROUND(F11/30*H11,0),"")</f>
        <v>1954575</v>
      </c>
      <c r="Q11" s="199">
        <f t="shared" si="12"/>
        <v>0</v>
      </c>
      <c r="R11" s="199">
        <f t="shared" si="13"/>
        <v>0</v>
      </c>
      <c r="S11" s="200">
        <f t="shared" si="14"/>
        <v>0</v>
      </c>
      <c r="T11" s="199">
        <f t="shared" si="15"/>
        <v>0</v>
      </c>
      <c r="U11" s="199">
        <f t="shared" si="16"/>
        <v>284302</v>
      </c>
      <c r="V11" s="199">
        <f t="shared" si="17"/>
        <v>0</v>
      </c>
      <c r="W11" s="199">
        <f>IF(E11=0,"",IF(F11&gt;2847000,0,$W$8*E11/30*N11))</f>
        <v>200000</v>
      </c>
      <c r="X11" s="201">
        <f t="shared" ref="X11:X74" si="22">SUM(P11:W11)</f>
        <v>2438877</v>
      </c>
      <c r="Y11" s="202">
        <f t="shared" si="0"/>
        <v>93294</v>
      </c>
      <c r="Z11" s="202">
        <f t="shared" si="1"/>
        <v>203232</v>
      </c>
      <c r="AA11" s="202">
        <f t="shared" si="2"/>
        <v>203232</v>
      </c>
      <c r="AB11" s="202">
        <f t="shared" si="3"/>
        <v>24389</v>
      </c>
      <c r="AC11" s="202">
        <f t="shared" si="4"/>
        <v>0</v>
      </c>
      <c r="AD11" s="202">
        <f t="shared" si="5"/>
        <v>268665</v>
      </c>
      <c r="AE11" s="203">
        <v>5.2199999999999998E-3</v>
      </c>
      <c r="AF11" s="202">
        <f>IFERROR(ROUND((X11-SUM(Q11:S11)-W11)*AE11,0),"")</f>
        <v>11687</v>
      </c>
      <c r="AG11" s="202">
        <f t="shared" si="6"/>
        <v>0</v>
      </c>
      <c r="AH11" s="202">
        <f t="shared" si="7"/>
        <v>0</v>
      </c>
      <c r="AI11" s="204">
        <f t="shared" si="19"/>
        <v>89555</v>
      </c>
      <c r="AJ11" s="201">
        <f t="shared" si="8"/>
        <v>3332931</v>
      </c>
      <c r="AK11" s="201">
        <f t="shared" si="9"/>
        <v>266634</v>
      </c>
      <c r="AL11" s="201">
        <f t="shared" si="10"/>
        <v>3599565</v>
      </c>
      <c r="AM11" s="204">
        <f t="shared" si="20"/>
        <v>683917</v>
      </c>
      <c r="AN11" s="201">
        <f t="shared" si="11"/>
        <v>4283482</v>
      </c>
      <c r="AO11" s="205" t="s">
        <v>13</v>
      </c>
      <c r="AP11" s="195"/>
    </row>
    <row r="12" spans="1:43" s="457" customFormat="1" ht="24.95" customHeight="1">
      <c r="A12" s="459" t="s">
        <v>146</v>
      </c>
      <c r="B12" s="460" t="s">
        <v>145</v>
      </c>
      <c r="C12" s="460">
        <v>1001634113</v>
      </c>
      <c r="D12" s="461" t="s">
        <v>605</v>
      </c>
      <c r="E12" s="462">
        <v>1</v>
      </c>
      <c r="F12" s="196">
        <v>2951621</v>
      </c>
      <c r="G12" s="197"/>
      <c r="H12" s="463">
        <v>30</v>
      </c>
      <c r="I12" s="463">
        <v>0</v>
      </c>
      <c r="J12" s="463">
        <v>0</v>
      </c>
      <c r="K12" s="463">
        <v>0</v>
      </c>
      <c r="L12" s="463">
        <v>40</v>
      </c>
      <c r="M12" s="463">
        <v>16</v>
      </c>
      <c r="N12" s="463">
        <v>0</v>
      </c>
      <c r="O12" s="463">
        <v>0</v>
      </c>
      <c r="P12" s="198">
        <f t="shared" si="21"/>
        <v>2951621</v>
      </c>
      <c r="Q12" s="199">
        <f t="shared" si="12"/>
        <v>0</v>
      </c>
      <c r="R12" s="199">
        <f t="shared" si="13"/>
        <v>0</v>
      </c>
      <c r="S12" s="200">
        <f t="shared" si="14"/>
        <v>0</v>
      </c>
      <c r="T12" s="199">
        <f t="shared" si="15"/>
        <v>0</v>
      </c>
      <c r="U12" s="199">
        <f t="shared" si="16"/>
        <v>429327</v>
      </c>
      <c r="V12" s="199">
        <f t="shared" si="17"/>
        <v>386394</v>
      </c>
      <c r="W12" s="199">
        <f>IF(E12=0,"",IF(F12&gt;2847000,0,$W$8*E12/30*N12))</f>
        <v>0</v>
      </c>
      <c r="X12" s="201">
        <f t="shared" si="22"/>
        <v>3767342</v>
      </c>
      <c r="Y12" s="202">
        <f t="shared" si="0"/>
        <v>156985</v>
      </c>
      <c r="Z12" s="202">
        <f t="shared" si="1"/>
        <v>313933</v>
      </c>
      <c r="AA12" s="202">
        <f t="shared" si="2"/>
        <v>313933</v>
      </c>
      <c r="AB12" s="202">
        <f t="shared" si="3"/>
        <v>37673</v>
      </c>
      <c r="AC12" s="202">
        <f t="shared" si="4"/>
        <v>0</v>
      </c>
      <c r="AD12" s="202">
        <f t="shared" si="5"/>
        <v>452081</v>
      </c>
      <c r="AE12" s="203">
        <v>2.436E-2</v>
      </c>
      <c r="AF12" s="202">
        <f>IFERROR(ROUND((X12-SUM(Q12:S12)-W12)*AE12,0),"")</f>
        <v>91772</v>
      </c>
      <c r="AG12" s="202">
        <f t="shared" si="6"/>
        <v>0</v>
      </c>
      <c r="AH12" s="202">
        <f t="shared" si="7"/>
        <v>0</v>
      </c>
      <c r="AI12" s="204">
        <f t="shared" si="19"/>
        <v>150694</v>
      </c>
      <c r="AJ12" s="201">
        <f t="shared" si="8"/>
        <v>5284413</v>
      </c>
      <c r="AK12" s="201">
        <f t="shared" si="9"/>
        <v>422753</v>
      </c>
      <c r="AL12" s="201">
        <f t="shared" si="10"/>
        <v>5707166</v>
      </c>
      <c r="AM12" s="204">
        <f>ROUND(AL12*$AM$8,0)</f>
        <v>1084362</v>
      </c>
      <c r="AN12" s="201">
        <f t="shared" si="11"/>
        <v>6791528</v>
      </c>
      <c r="AO12" s="205" t="s">
        <v>13</v>
      </c>
      <c r="AP12" s="195"/>
    </row>
    <row r="13" spans="1:43" s="457" customFormat="1" ht="24.95" customHeight="1">
      <c r="A13" s="459" t="s">
        <v>146</v>
      </c>
      <c r="B13" s="460" t="s">
        <v>145</v>
      </c>
      <c r="C13" s="460"/>
      <c r="D13" s="461"/>
      <c r="E13" s="464">
        <v>0</v>
      </c>
      <c r="F13" s="196">
        <v>2951621</v>
      </c>
      <c r="G13" s="197"/>
      <c r="H13" s="463"/>
      <c r="I13" s="463"/>
      <c r="J13" s="463"/>
      <c r="K13" s="463"/>
      <c r="L13" s="463"/>
      <c r="M13" s="463"/>
      <c r="N13" s="463"/>
      <c r="O13" s="463"/>
      <c r="P13" s="198">
        <f t="shared" si="21"/>
        <v>0</v>
      </c>
      <c r="Q13" s="199" t="str">
        <f t="shared" si="12"/>
        <v/>
      </c>
      <c r="R13" s="199" t="str">
        <f t="shared" si="13"/>
        <v/>
      </c>
      <c r="S13" s="200" t="str">
        <f t="shared" si="14"/>
        <v/>
      </c>
      <c r="T13" s="199" t="str">
        <f t="shared" si="15"/>
        <v/>
      </c>
      <c r="U13" s="199">
        <f t="shared" si="16"/>
        <v>0</v>
      </c>
      <c r="V13" s="199">
        <f t="shared" si="17"/>
        <v>0</v>
      </c>
      <c r="W13" s="199">
        <v>0</v>
      </c>
      <c r="X13" s="201">
        <f t="shared" si="22"/>
        <v>0</v>
      </c>
      <c r="Y13" s="202">
        <f t="shared" si="0"/>
        <v>0</v>
      </c>
      <c r="Z13" s="202">
        <f t="shared" si="1"/>
        <v>0</v>
      </c>
      <c r="AA13" s="202">
        <f t="shared" si="2"/>
        <v>0</v>
      </c>
      <c r="AB13" s="202">
        <f t="shared" si="3"/>
        <v>0</v>
      </c>
      <c r="AC13" s="202">
        <f t="shared" si="4"/>
        <v>0</v>
      </c>
      <c r="AD13" s="202">
        <f t="shared" si="5"/>
        <v>0</v>
      </c>
      <c r="AE13" s="203">
        <v>2.436E-2</v>
      </c>
      <c r="AF13" s="202">
        <f t="shared" si="18"/>
        <v>0</v>
      </c>
      <c r="AG13" s="202">
        <f t="shared" si="6"/>
        <v>0</v>
      </c>
      <c r="AH13" s="202">
        <f t="shared" si="7"/>
        <v>0</v>
      </c>
      <c r="AI13" s="204">
        <f t="shared" si="19"/>
        <v>0</v>
      </c>
      <c r="AJ13" s="201">
        <f t="shared" si="8"/>
        <v>0</v>
      </c>
      <c r="AK13" s="201">
        <f t="shared" si="9"/>
        <v>0</v>
      </c>
      <c r="AL13" s="201">
        <f t="shared" si="10"/>
        <v>0</v>
      </c>
      <c r="AM13" s="204">
        <f t="shared" si="20"/>
        <v>0</v>
      </c>
      <c r="AN13" s="201">
        <f t="shared" si="11"/>
        <v>0</v>
      </c>
      <c r="AO13" s="205" t="s">
        <v>13</v>
      </c>
      <c r="AP13" s="195"/>
    </row>
    <row r="14" spans="1:43" s="457" customFormat="1" ht="24.95" customHeight="1">
      <c r="A14" s="459" t="s">
        <v>148</v>
      </c>
      <c r="B14" s="460" t="s">
        <v>147</v>
      </c>
      <c r="C14" s="460"/>
      <c r="D14" s="461"/>
      <c r="E14" s="464">
        <v>0</v>
      </c>
      <c r="F14" s="196">
        <v>3067772</v>
      </c>
      <c r="G14" s="197"/>
      <c r="H14" s="463"/>
      <c r="I14" s="463"/>
      <c r="J14" s="463"/>
      <c r="K14" s="463"/>
      <c r="L14" s="463"/>
      <c r="M14" s="463"/>
      <c r="N14" s="463"/>
      <c r="O14" s="463"/>
      <c r="P14" s="198">
        <f t="shared" si="21"/>
        <v>0</v>
      </c>
      <c r="Q14" s="199" t="str">
        <f t="shared" si="12"/>
        <v/>
      </c>
      <c r="R14" s="199" t="str">
        <f t="shared" si="13"/>
        <v/>
      </c>
      <c r="S14" s="200" t="str">
        <f t="shared" si="14"/>
        <v/>
      </c>
      <c r="T14" s="199" t="str">
        <f t="shared" si="15"/>
        <v/>
      </c>
      <c r="U14" s="199">
        <f t="shared" si="16"/>
        <v>0</v>
      </c>
      <c r="V14" s="199">
        <f t="shared" si="17"/>
        <v>0</v>
      </c>
      <c r="W14" s="199">
        <v>0</v>
      </c>
      <c r="X14" s="201">
        <f t="shared" si="22"/>
        <v>0</v>
      </c>
      <c r="Y14" s="202">
        <f t="shared" si="0"/>
        <v>0</v>
      </c>
      <c r="Z14" s="202">
        <f t="shared" si="1"/>
        <v>0</v>
      </c>
      <c r="AA14" s="202">
        <f t="shared" si="2"/>
        <v>0</v>
      </c>
      <c r="AB14" s="202">
        <f t="shared" si="3"/>
        <v>0</v>
      </c>
      <c r="AC14" s="202">
        <f t="shared" si="4"/>
        <v>0</v>
      </c>
      <c r="AD14" s="202">
        <f t="shared" si="5"/>
        <v>0</v>
      </c>
      <c r="AE14" s="203">
        <v>5.2199999999999998E-3</v>
      </c>
      <c r="AF14" s="202">
        <f t="shared" si="18"/>
        <v>0</v>
      </c>
      <c r="AG14" s="202">
        <f t="shared" si="6"/>
        <v>0</v>
      </c>
      <c r="AH14" s="202">
        <f t="shared" si="7"/>
        <v>0</v>
      </c>
      <c r="AI14" s="204">
        <f t="shared" si="19"/>
        <v>0</v>
      </c>
      <c r="AJ14" s="201">
        <f t="shared" si="8"/>
        <v>0</v>
      </c>
      <c r="AK14" s="201">
        <f t="shared" si="9"/>
        <v>0</v>
      </c>
      <c r="AL14" s="201">
        <f t="shared" si="10"/>
        <v>0</v>
      </c>
      <c r="AM14" s="204">
        <f t="shared" si="20"/>
        <v>0</v>
      </c>
      <c r="AN14" s="201">
        <f t="shared" si="11"/>
        <v>0</v>
      </c>
      <c r="AO14" s="205" t="s">
        <v>13</v>
      </c>
      <c r="AP14" s="195"/>
    </row>
    <row r="15" spans="1:43" s="457" customFormat="1" ht="24.95" customHeight="1">
      <c r="A15" s="459" t="s">
        <v>150</v>
      </c>
      <c r="B15" s="460" t="s">
        <v>149</v>
      </c>
      <c r="C15" s="460">
        <v>98491930</v>
      </c>
      <c r="D15" s="461" t="s">
        <v>493</v>
      </c>
      <c r="E15" s="462">
        <v>1</v>
      </c>
      <c r="F15" s="196">
        <v>1641371</v>
      </c>
      <c r="G15" s="197"/>
      <c r="H15" s="463">
        <v>30</v>
      </c>
      <c r="I15" s="463">
        <v>0</v>
      </c>
      <c r="J15" s="463">
        <v>0</v>
      </c>
      <c r="K15" s="463">
        <v>0</v>
      </c>
      <c r="L15" s="463">
        <v>40</v>
      </c>
      <c r="M15" s="463">
        <v>16</v>
      </c>
      <c r="N15" s="463">
        <v>30</v>
      </c>
      <c r="O15" s="463">
        <v>0</v>
      </c>
      <c r="P15" s="198">
        <f t="shared" si="21"/>
        <v>1641371</v>
      </c>
      <c r="Q15" s="199">
        <f t="shared" si="12"/>
        <v>0</v>
      </c>
      <c r="R15" s="199">
        <f t="shared" si="13"/>
        <v>0</v>
      </c>
      <c r="S15" s="200">
        <f t="shared" si="14"/>
        <v>0</v>
      </c>
      <c r="T15" s="199">
        <f t="shared" si="15"/>
        <v>0</v>
      </c>
      <c r="U15" s="199">
        <f t="shared" si="16"/>
        <v>238745</v>
      </c>
      <c r="V15" s="199">
        <f t="shared" si="17"/>
        <v>214870</v>
      </c>
      <c r="W15" s="199">
        <f>IF(E15=0,"",IF(F15&gt;2847000,0,$W$8*E15/30*N15))</f>
        <v>200000</v>
      </c>
      <c r="X15" s="201">
        <f t="shared" si="22"/>
        <v>2294986</v>
      </c>
      <c r="Y15" s="202">
        <f t="shared" si="0"/>
        <v>87298</v>
      </c>
      <c r="Z15" s="202">
        <f t="shared" si="1"/>
        <v>191241</v>
      </c>
      <c r="AA15" s="202">
        <f t="shared" si="2"/>
        <v>191241</v>
      </c>
      <c r="AB15" s="202">
        <f t="shared" si="3"/>
        <v>22950</v>
      </c>
      <c r="AC15" s="202">
        <f t="shared" si="4"/>
        <v>0</v>
      </c>
      <c r="AD15" s="202">
        <f t="shared" si="5"/>
        <v>251398</v>
      </c>
      <c r="AE15" s="203">
        <v>5.2199999999999998E-3</v>
      </c>
      <c r="AF15" s="202">
        <f t="shared" si="18"/>
        <v>10936</v>
      </c>
      <c r="AG15" s="202">
        <f t="shared" si="6"/>
        <v>0</v>
      </c>
      <c r="AH15" s="202">
        <f t="shared" si="7"/>
        <v>0</v>
      </c>
      <c r="AI15" s="204">
        <f t="shared" si="19"/>
        <v>83799</v>
      </c>
      <c r="AJ15" s="201">
        <f t="shared" si="8"/>
        <v>3133849</v>
      </c>
      <c r="AK15" s="201">
        <f t="shared" si="9"/>
        <v>250708</v>
      </c>
      <c r="AL15" s="201">
        <f t="shared" si="10"/>
        <v>3384557</v>
      </c>
      <c r="AM15" s="204">
        <f t="shared" si="20"/>
        <v>643066</v>
      </c>
      <c r="AN15" s="201">
        <f t="shared" si="11"/>
        <v>4027623</v>
      </c>
      <c r="AO15" s="205" t="s">
        <v>13</v>
      </c>
      <c r="AP15" s="195"/>
    </row>
    <row r="16" spans="1:43" s="457" customFormat="1" ht="24.95" customHeight="1">
      <c r="A16" s="459" t="s">
        <v>152</v>
      </c>
      <c r="B16" s="460" t="s">
        <v>151</v>
      </c>
      <c r="C16" s="460">
        <v>1035223202</v>
      </c>
      <c r="D16" s="461" t="s">
        <v>495</v>
      </c>
      <c r="E16" s="462">
        <v>1</v>
      </c>
      <c r="F16" s="196">
        <v>2617190</v>
      </c>
      <c r="G16" s="197"/>
      <c r="H16" s="463">
        <v>30</v>
      </c>
      <c r="I16" s="463">
        <v>0</v>
      </c>
      <c r="J16" s="463">
        <v>0</v>
      </c>
      <c r="K16" s="463">
        <v>0</v>
      </c>
      <c r="L16" s="463">
        <v>24</v>
      </c>
      <c r="M16" s="463">
        <v>16</v>
      </c>
      <c r="N16" s="463">
        <v>30</v>
      </c>
      <c r="O16" s="463">
        <v>0</v>
      </c>
      <c r="P16" s="198">
        <f t="shared" si="21"/>
        <v>2617190</v>
      </c>
      <c r="Q16" s="199">
        <f>IF(E16=0,"",IF(I16="",0,IF(I16&lt;=2,ROUND(F16/30*I16,0),"REVISAR")))</f>
        <v>0</v>
      </c>
      <c r="R16" s="199">
        <f>IF(J16="","",IF(J16=0,0,IF(J16&lt;=2,"Revisar",ROUND(F16/30*66.67%*J16,0))))</f>
        <v>0</v>
      </c>
      <c r="S16" s="200">
        <f>IF(K16="","",ROUND(F16/30*K16,0))</f>
        <v>0</v>
      </c>
      <c r="T16" s="199">
        <f t="shared" si="15"/>
        <v>0</v>
      </c>
      <c r="U16" s="199">
        <f t="shared" si="16"/>
        <v>228409</v>
      </c>
      <c r="V16" s="199">
        <f t="shared" si="17"/>
        <v>342614</v>
      </c>
      <c r="W16" s="199">
        <f>IF(E16=0,"",IF(F16&gt;2847000,0,$W$8*E16/30*N16))</f>
        <v>200000</v>
      </c>
      <c r="X16" s="201">
        <f t="shared" si="22"/>
        <v>3388213</v>
      </c>
      <c r="Y16" s="202">
        <f t="shared" si="0"/>
        <v>132853</v>
      </c>
      <c r="Z16" s="202">
        <f t="shared" si="1"/>
        <v>282340</v>
      </c>
      <c r="AA16" s="202">
        <f t="shared" si="2"/>
        <v>282340</v>
      </c>
      <c r="AB16" s="202">
        <f t="shared" si="3"/>
        <v>33882</v>
      </c>
      <c r="AC16" s="202">
        <f t="shared" si="4"/>
        <v>0</v>
      </c>
      <c r="AD16" s="202">
        <f t="shared" si="5"/>
        <v>382586</v>
      </c>
      <c r="AE16" s="203">
        <v>2.436E-2</v>
      </c>
      <c r="AF16" s="202">
        <f t="shared" si="18"/>
        <v>77665</v>
      </c>
      <c r="AG16" s="202">
        <f t="shared" si="6"/>
        <v>0</v>
      </c>
      <c r="AH16" s="202">
        <f t="shared" si="7"/>
        <v>0</v>
      </c>
      <c r="AI16" s="204">
        <f t="shared" si="19"/>
        <v>127529</v>
      </c>
      <c r="AJ16" s="201">
        <f t="shared" si="8"/>
        <v>4707408</v>
      </c>
      <c r="AK16" s="201">
        <f t="shared" si="9"/>
        <v>376593</v>
      </c>
      <c r="AL16" s="201">
        <f t="shared" si="10"/>
        <v>5084001</v>
      </c>
      <c r="AM16" s="204">
        <f t="shared" si="20"/>
        <v>965960</v>
      </c>
      <c r="AN16" s="201">
        <f t="shared" si="11"/>
        <v>6049961</v>
      </c>
      <c r="AO16" s="205" t="s">
        <v>13</v>
      </c>
      <c r="AP16" s="195"/>
    </row>
    <row r="17" spans="1:42" s="457" customFormat="1" ht="24.95" customHeight="1">
      <c r="A17" s="459" t="s">
        <v>154</v>
      </c>
      <c r="B17" s="460" t="s">
        <v>153</v>
      </c>
      <c r="C17" s="460">
        <v>1152197190</v>
      </c>
      <c r="D17" s="461" t="s">
        <v>498</v>
      </c>
      <c r="E17" s="462">
        <v>1</v>
      </c>
      <c r="F17" s="196">
        <v>3589848</v>
      </c>
      <c r="G17" s="197"/>
      <c r="H17" s="463">
        <v>30</v>
      </c>
      <c r="I17" s="463">
        <v>0</v>
      </c>
      <c r="J17" s="463">
        <v>0</v>
      </c>
      <c r="K17" s="463">
        <v>0</v>
      </c>
      <c r="L17" s="463">
        <v>40</v>
      </c>
      <c r="M17" s="463">
        <v>16</v>
      </c>
      <c r="N17" s="463">
        <v>0</v>
      </c>
      <c r="O17" s="463">
        <v>0</v>
      </c>
      <c r="P17" s="198">
        <f t="shared" si="21"/>
        <v>3589848</v>
      </c>
      <c r="Q17" s="199">
        <f t="shared" si="12"/>
        <v>0</v>
      </c>
      <c r="R17" s="199">
        <f t="shared" si="13"/>
        <v>0</v>
      </c>
      <c r="S17" s="200">
        <f t="shared" si="14"/>
        <v>0</v>
      </c>
      <c r="T17" s="199">
        <f t="shared" si="15"/>
        <v>0</v>
      </c>
      <c r="U17" s="199">
        <f t="shared" si="16"/>
        <v>522160</v>
      </c>
      <c r="V17" s="199">
        <f t="shared" si="17"/>
        <v>469944</v>
      </c>
      <c r="W17" s="199">
        <f>IF(E17=0,"",IF(F17&gt;2847000,0,$W$8*E17/30*N17))</f>
        <v>0</v>
      </c>
      <c r="X17" s="201">
        <f t="shared" si="22"/>
        <v>4581952</v>
      </c>
      <c r="Y17" s="202">
        <f t="shared" si="0"/>
        <v>190930</v>
      </c>
      <c r="Z17" s="202">
        <f t="shared" si="1"/>
        <v>381814</v>
      </c>
      <c r="AA17" s="202">
        <f t="shared" si="2"/>
        <v>381814</v>
      </c>
      <c r="AB17" s="202">
        <f t="shared" si="3"/>
        <v>45820</v>
      </c>
      <c r="AC17" s="202">
        <f t="shared" si="4"/>
        <v>0</v>
      </c>
      <c r="AD17" s="202">
        <f t="shared" si="5"/>
        <v>549834</v>
      </c>
      <c r="AE17" s="203">
        <v>2.436E-2</v>
      </c>
      <c r="AF17" s="202">
        <f>IFERROR(ROUND((X17-SUM(Q17:S17)-W17)*AE17,0),"")</f>
        <v>111616</v>
      </c>
      <c r="AG17" s="202">
        <f t="shared" si="6"/>
        <v>0</v>
      </c>
      <c r="AH17" s="202">
        <f t="shared" si="7"/>
        <v>0</v>
      </c>
      <c r="AI17" s="204">
        <f t="shared" si="19"/>
        <v>183278</v>
      </c>
      <c r="AJ17" s="201">
        <f t="shared" si="8"/>
        <v>6427058</v>
      </c>
      <c r="AK17" s="201">
        <f t="shared" si="9"/>
        <v>514165</v>
      </c>
      <c r="AL17" s="201">
        <f t="shared" si="10"/>
        <v>6941223</v>
      </c>
      <c r="AM17" s="204">
        <f t="shared" si="20"/>
        <v>1318832</v>
      </c>
      <c r="AN17" s="201">
        <f t="shared" si="11"/>
        <v>8260055</v>
      </c>
      <c r="AO17" s="205" t="s">
        <v>13</v>
      </c>
      <c r="AP17" s="195"/>
    </row>
    <row r="18" spans="1:42" s="457" customFormat="1" ht="22.5">
      <c r="A18" s="459" t="s">
        <v>156</v>
      </c>
      <c r="B18" s="460" t="s">
        <v>155</v>
      </c>
      <c r="C18" s="460">
        <v>1000640864</v>
      </c>
      <c r="D18" s="461" t="s">
        <v>502</v>
      </c>
      <c r="E18" s="462">
        <v>1</v>
      </c>
      <c r="F18" s="196">
        <v>1954575</v>
      </c>
      <c r="G18" s="197"/>
      <c r="H18" s="463">
        <v>30</v>
      </c>
      <c r="I18" s="463">
        <v>0</v>
      </c>
      <c r="J18" s="463">
        <v>0</v>
      </c>
      <c r="K18" s="463">
        <v>0</v>
      </c>
      <c r="L18" s="463">
        <v>40</v>
      </c>
      <c r="M18" s="463">
        <v>16</v>
      </c>
      <c r="N18" s="463">
        <v>30</v>
      </c>
      <c r="O18" s="463">
        <v>0</v>
      </c>
      <c r="P18" s="198">
        <f t="shared" si="21"/>
        <v>1954575</v>
      </c>
      <c r="Q18" s="199">
        <f t="shared" si="12"/>
        <v>0</v>
      </c>
      <c r="R18" s="199">
        <f t="shared" si="13"/>
        <v>0</v>
      </c>
      <c r="S18" s="200">
        <f t="shared" si="14"/>
        <v>0</v>
      </c>
      <c r="T18" s="199">
        <f t="shared" si="15"/>
        <v>0</v>
      </c>
      <c r="U18" s="199">
        <f t="shared" si="16"/>
        <v>284302</v>
      </c>
      <c r="V18" s="199">
        <f t="shared" si="17"/>
        <v>255872</v>
      </c>
      <c r="W18" s="199">
        <f>IF(E18=0,"",IF(F18&gt;2847000,0,$W$8*E18/30*N18))</f>
        <v>200000</v>
      </c>
      <c r="X18" s="201">
        <f t="shared" si="22"/>
        <v>2694749</v>
      </c>
      <c r="Y18" s="202">
        <f t="shared" si="0"/>
        <v>103956</v>
      </c>
      <c r="Z18" s="202">
        <f t="shared" si="1"/>
        <v>224553</v>
      </c>
      <c r="AA18" s="202">
        <f t="shared" si="2"/>
        <v>224553</v>
      </c>
      <c r="AB18" s="202">
        <f t="shared" si="3"/>
        <v>26947</v>
      </c>
      <c r="AC18" s="202">
        <f t="shared" si="4"/>
        <v>0</v>
      </c>
      <c r="AD18" s="202">
        <f t="shared" si="5"/>
        <v>299370</v>
      </c>
      <c r="AE18" s="203">
        <v>5.2199999999999998E-3</v>
      </c>
      <c r="AF18" s="202">
        <f t="shared" si="18"/>
        <v>13023</v>
      </c>
      <c r="AG18" s="202">
        <f t="shared" si="6"/>
        <v>0</v>
      </c>
      <c r="AH18" s="202">
        <f t="shared" si="7"/>
        <v>0</v>
      </c>
      <c r="AI18" s="204">
        <f t="shared" si="19"/>
        <v>99790</v>
      </c>
      <c r="AJ18" s="201">
        <f t="shared" si="8"/>
        <v>3686941</v>
      </c>
      <c r="AK18" s="201">
        <f t="shared" si="9"/>
        <v>294955</v>
      </c>
      <c r="AL18" s="201">
        <f t="shared" si="10"/>
        <v>3981896</v>
      </c>
      <c r="AM18" s="204">
        <f t="shared" si="20"/>
        <v>756560</v>
      </c>
      <c r="AN18" s="201">
        <f t="shared" si="11"/>
        <v>4738456</v>
      </c>
      <c r="AO18" s="205" t="s">
        <v>13</v>
      </c>
      <c r="AP18" s="195"/>
    </row>
    <row r="19" spans="1:42" s="457" customFormat="1" ht="22.5">
      <c r="A19" s="459" t="s">
        <v>156</v>
      </c>
      <c r="B19" s="460" t="s">
        <v>155</v>
      </c>
      <c r="C19" s="460">
        <v>1046915436</v>
      </c>
      <c r="D19" s="461" t="s">
        <v>500</v>
      </c>
      <c r="E19" s="462">
        <v>1</v>
      </c>
      <c r="F19" s="196">
        <v>1954575</v>
      </c>
      <c r="G19" s="197"/>
      <c r="H19" s="463">
        <v>30</v>
      </c>
      <c r="I19" s="463">
        <v>0</v>
      </c>
      <c r="J19" s="463">
        <v>0</v>
      </c>
      <c r="K19" s="463">
        <v>0</v>
      </c>
      <c r="L19" s="463">
        <v>40</v>
      </c>
      <c r="M19" s="463">
        <v>16</v>
      </c>
      <c r="N19" s="463">
        <v>30</v>
      </c>
      <c r="O19" s="463">
        <v>0</v>
      </c>
      <c r="P19" s="198">
        <f>IFERROR(ROUND(F19/30*H19,0),"")</f>
        <v>1954575</v>
      </c>
      <c r="Q19" s="199">
        <f>IF(E19=0,"",IF(I19="",0,IF(I19&lt;=2,ROUND(F19/30*I19,0),"REVISAR")))</f>
        <v>0</v>
      </c>
      <c r="R19" s="199">
        <f>IF(J19="","",IF(J19=0,0,IF(J19&lt;=2,"Revisar",ROUND(F19/30*66.67%*J19,0))))</f>
        <v>0</v>
      </c>
      <c r="S19" s="200">
        <f>IF(K19="","",ROUND(F19/30*K19,0))</f>
        <v>0</v>
      </c>
      <c r="T19" s="199">
        <f t="shared" si="15"/>
        <v>0</v>
      </c>
      <c r="U19" s="199">
        <f t="shared" si="16"/>
        <v>284302</v>
      </c>
      <c r="V19" s="199">
        <f t="shared" si="17"/>
        <v>255872</v>
      </c>
      <c r="W19" s="199">
        <f>IF(E19=0,"",IF(F19&gt;2847000,0,$W$8*E19/30*N19))</f>
        <v>200000</v>
      </c>
      <c r="X19" s="201">
        <f>SUM(P19:W19)</f>
        <v>2694749</v>
      </c>
      <c r="Y19" s="202">
        <f t="shared" si="0"/>
        <v>103956</v>
      </c>
      <c r="Z19" s="202">
        <f t="shared" si="1"/>
        <v>224553</v>
      </c>
      <c r="AA19" s="202">
        <f t="shared" si="2"/>
        <v>224553</v>
      </c>
      <c r="AB19" s="202">
        <f t="shared" si="3"/>
        <v>26947</v>
      </c>
      <c r="AC19" s="202">
        <f t="shared" si="4"/>
        <v>0</v>
      </c>
      <c r="AD19" s="202">
        <f t="shared" si="5"/>
        <v>299370</v>
      </c>
      <c r="AE19" s="203">
        <v>5.2199999999999998E-3</v>
      </c>
      <c r="AF19" s="202">
        <f>IFERROR(ROUND((X19-SUM(Q19:S19)-W19)*AE19,0),"")</f>
        <v>13023</v>
      </c>
      <c r="AG19" s="202">
        <f t="shared" si="6"/>
        <v>0</v>
      </c>
      <c r="AH19" s="202">
        <f t="shared" si="7"/>
        <v>0</v>
      </c>
      <c r="AI19" s="204">
        <f>IFERROR(ROUND((X19-SUM(Q19:S19)-W19)*$AI$8,0),"")</f>
        <v>99790</v>
      </c>
      <c r="AJ19" s="201">
        <f t="shared" si="8"/>
        <v>3686941</v>
      </c>
      <c r="AK19" s="201">
        <f t="shared" si="9"/>
        <v>294955</v>
      </c>
      <c r="AL19" s="201">
        <f t="shared" si="10"/>
        <v>3981896</v>
      </c>
      <c r="AM19" s="204">
        <f>ROUND(AL19*$AM$8,0)</f>
        <v>756560</v>
      </c>
      <c r="AN19" s="201">
        <f t="shared" si="11"/>
        <v>4738456</v>
      </c>
      <c r="AO19" s="205" t="s">
        <v>13</v>
      </c>
      <c r="AP19" s="195"/>
    </row>
    <row r="20" spans="1:42" s="457" customFormat="1" ht="12">
      <c r="A20" s="459" t="s">
        <v>156</v>
      </c>
      <c r="B20" s="460" t="s">
        <v>155</v>
      </c>
      <c r="C20" s="460"/>
      <c r="D20" s="461"/>
      <c r="E20" s="462">
        <v>0</v>
      </c>
      <c r="F20" s="196">
        <v>1954575</v>
      </c>
      <c r="G20" s="197"/>
      <c r="H20" s="463"/>
      <c r="I20" s="463"/>
      <c r="J20" s="463"/>
      <c r="K20" s="463"/>
      <c r="L20" s="463"/>
      <c r="M20" s="463"/>
      <c r="N20" s="463"/>
      <c r="O20" s="463"/>
      <c r="P20" s="198">
        <f t="shared" si="21"/>
        <v>0</v>
      </c>
      <c r="Q20" s="199" t="str">
        <f t="shared" si="12"/>
        <v/>
      </c>
      <c r="R20" s="199" t="str">
        <f t="shared" si="13"/>
        <v/>
      </c>
      <c r="S20" s="200" t="str">
        <f t="shared" si="14"/>
        <v/>
      </c>
      <c r="T20" s="199" t="str">
        <f t="shared" si="15"/>
        <v/>
      </c>
      <c r="U20" s="199">
        <f t="shared" si="16"/>
        <v>0</v>
      </c>
      <c r="V20" s="199">
        <f t="shared" si="17"/>
        <v>0</v>
      </c>
      <c r="W20" s="199">
        <v>0</v>
      </c>
      <c r="X20" s="201">
        <f t="shared" si="22"/>
        <v>0</v>
      </c>
      <c r="Y20" s="202">
        <f t="shared" si="0"/>
        <v>0</v>
      </c>
      <c r="Z20" s="202">
        <f t="shared" si="1"/>
        <v>0</v>
      </c>
      <c r="AA20" s="202">
        <f t="shared" si="2"/>
        <v>0</v>
      </c>
      <c r="AB20" s="202">
        <f t="shared" si="3"/>
        <v>0</v>
      </c>
      <c r="AC20" s="202">
        <f t="shared" si="4"/>
        <v>0</v>
      </c>
      <c r="AD20" s="202">
        <f t="shared" si="5"/>
        <v>0</v>
      </c>
      <c r="AE20" s="203">
        <v>5.2199999999999998E-3</v>
      </c>
      <c r="AF20" s="202">
        <f t="shared" si="18"/>
        <v>0</v>
      </c>
      <c r="AG20" s="202">
        <f t="shared" si="6"/>
        <v>0</v>
      </c>
      <c r="AH20" s="202">
        <f t="shared" si="7"/>
        <v>0</v>
      </c>
      <c r="AI20" s="204">
        <f t="shared" si="19"/>
        <v>0</v>
      </c>
      <c r="AJ20" s="201">
        <f t="shared" si="8"/>
        <v>0</v>
      </c>
      <c r="AK20" s="201">
        <f t="shared" si="9"/>
        <v>0</v>
      </c>
      <c r="AL20" s="201">
        <f t="shared" si="10"/>
        <v>0</v>
      </c>
      <c r="AM20" s="204">
        <f>ROUND(AL20*$AM$8,0)</f>
        <v>0</v>
      </c>
      <c r="AN20" s="201">
        <f t="shared" si="11"/>
        <v>0</v>
      </c>
      <c r="AO20" s="205" t="s">
        <v>13</v>
      </c>
      <c r="AP20" s="195"/>
    </row>
    <row r="21" spans="1:42" s="457" customFormat="1" ht="12">
      <c r="A21" s="459" t="s">
        <v>156</v>
      </c>
      <c r="B21" s="460" t="s">
        <v>155</v>
      </c>
      <c r="C21" s="460"/>
      <c r="D21" s="461"/>
      <c r="E21" s="462">
        <v>0</v>
      </c>
      <c r="F21" s="196">
        <v>1954575</v>
      </c>
      <c r="G21" s="197"/>
      <c r="H21" s="463"/>
      <c r="I21" s="463"/>
      <c r="J21" s="463"/>
      <c r="K21" s="463"/>
      <c r="L21" s="463"/>
      <c r="M21" s="463"/>
      <c r="N21" s="463"/>
      <c r="O21" s="463"/>
      <c r="P21" s="198">
        <f t="shared" si="21"/>
        <v>0</v>
      </c>
      <c r="Q21" s="199" t="str">
        <f t="shared" si="12"/>
        <v/>
      </c>
      <c r="R21" s="199" t="str">
        <f t="shared" si="13"/>
        <v/>
      </c>
      <c r="S21" s="200" t="str">
        <f t="shared" si="14"/>
        <v/>
      </c>
      <c r="T21" s="199" t="str">
        <f t="shared" si="15"/>
        <v/>
      </c>
      <c r="U21" s="199">
        <f t="shared" si="16"/>
        <v>0</v>
      </c>
      <c r="V21" s="199">
        <f t="shared" si="17"/>
        <v>0</v>
      </c>
      <c r="W21" s="199">
        <v>0</v>
      </c>
      <c r="X21" s="201">
        <f t="shared" si="22"/>
        <v>0</v>
      </c>
      <c r="Y21" s="202">
        <f t="shared" si="0"/>
        <v>0</v>
      </c>
      <c r="Z21" s="202">
        <f t="shared" si="1"/>
        <v>0</v>
      </c>
      <c r="AA21" s="202">
        <f t="shared" si="2"/>
        <v>0</v>
      </c>
      <c r="AB21" s="202">
        <f t="shared" si="3"/>
        <v>0</v>
      </c>
      <c r="AC21" s="202">
        <f t="shared" si="4"/>
        <v>0</v>
      </c>
      <c r="AD21" s="202">
        <f t="shared" si="5"/>
        <v>0</v>
      </c>
      <c r="AE21" s="203">
        <v>5.2199999999999998E-3</v>
      </c>
      <c r="AF21" s="202">
        <f t="shared" si="18"/>
        <v>0</v>
      </c>
      <c r="AG21" s="202">
        <f t="shared" si="6"/>
        <v>0</v>
      </c>
      <c r="AH21" s="202">
        <f t="shared" si="7"/>
        <v>0</v>
      </c>
      <c r="AI21" s="204">
        <f t="shared" si="19"/>
        <v>0</v>
      </c>
      <c r="AJ21" s="201">
        <f t="shared" si="8"/>
        <v>0</v>
      </c>
      <c r="AK21" s="201">
        <f t="shared" si="9"/>
        <v>0</v>
      </c>
      <c r="AL21" s="201">
        <f t="shared" si="10"/>
        <v>0</v>
      </c>
      <c r="AM21" s="204">
        <f>ROUND(AL21*$AM$8,0)</f>
        <v>0</v>
      </c>
      <c r="AN21" s="201">
        <f t="shared" si="11"/>
        <v>0</v>
      </c>
      <c r="AO21" s="205" t="s">
        <v>13</v>
      </c>
      <c r="AP21" s="195"/>
    </row>
    <row r="22" spans="1:42" s="457" customFormat="1" ht="24.95" customHeight="1">
      <c r="A22" s="459" t="s">
        <v>158</v>
      </c>
      <c r="B22" s="460" t="s">
        <v>606</v>
      </c>
      <c r="C22" s="460">
        <v>1035225643</v>
      </c>
      <c r="D22" s="461" t="s">
        <v>607</v>
      </c>
      <c r="E22" s="462">
        <v>1</v>
      </c>
      <c r="F22" s="196">
        <v>1954575</v>
      </c>
      <c r="G22" s="197"/>
      <c r="H22" s="463">
        <v>30</v>
      </c>
      <c r="I22" s="463">
        <v>0</v>
      </c>
      <c r="J22" s="463">
        <v>0</v>
      </c>
      <c r="K22" s="463">
        <v>0</v>
      </c>
      <c r="L22" s="463">
        <v>40</v>
      </c>
      <c r="M22" s="463">
        <v>16</v>
      </c>
      <c r="N22" s="463">
        <v>30</v>
      </c>
      <c r="O22" s="463">
        <v>0</v>
      </c>
      <c r="P22" s="198">
        <f t="shared" si="21"/>
        <v>1954575</v>
      </c>
      <c r="Q22" s="199">
        <f t="shared" si="12"/>
        <v>0</v>
      </c>
      <c r="R22" s="199">
        <f t="shared" si="13"/>
        <v>0</v>
      </c>
      <c r="S22" s="200">
        <f t="shared" si="14"/>
        <v>0</v>
      </c>
      <c r="T22" s="199">
        <f t="shared" si="15"/>
        <v>0</v>
      </c>
      <c r="U22" s="199">
        <f t="shared" si="16"/>
        <v>284302</v>
      </c>
      <c r="V22" s="199">
        <f t="shared" si="17"/>
        <v>255872</v>
      </c>
      <c r="W22" s="199">
        <f>IF(E22=0,"",IF(F22&gt;2847000,0,$W$8*E22/30*N22))</f>
        <v>200000</v>
      </c>
      <c r="X22" s="201">
        <f t="shared" si="22"/>
        <v>2694749</v>
      </c>
      <c r="Y22" s="202">
        <f t="shared" si="0"/>
        <v>103956</v>
      </c>
      <c r="Z22" s="202">
        <f t="shared" si="1"/>
        <v>224553</v>
      </c>
      <c r="AA22" s="202">
        <f t="shared" si="2"/>
        <v>224553</v>
      </c>
      <c r="AB22" s="202">
        <f t="shared" si="3"/>
        <v>26947</v>
      </c>
      <c r="AC22" s="202">
        <f t="shared" si="4"/>
        <v>0</v>
      </c>
      <c r="AD22" s="202">
        <f t="shared" si="5"/>
        <v>299370</v>
      </c>
      <c r="AE22" s="203">
        <v>5.2199999999999998E-3</v>
      </c>
      <c r="AF22" s="202">
        <f t="shared" si="18"/>
        <v>13023</v>
      </c>
      <c r="AG22" s="202">
        <f t="shared" si="6"/>
        <v>0</v>
      </c>
      <c r="AH22" s="202">
        <f t="shared" si="7"/>
        <v>0</v>
      </c>
      <c r="AI22" s="204">
        <f>IFERROR(ROUND((X22-SUM(Q22:S22)-W22)*$AI$8,0),"")</f>
        <v>99790</v>
      </c>
      <c r="AJ22" s="201">
        <f t="shared" si="8"/>
        <v>3686941</v>
      </c>
      <c r="AK22" s="201">
        <f t="shared" si="9"/>
        <v>294955</v>
      </c>
      <c r="AL22" s="201">
        <f t="shared" si="10"/>
        <v>3981896</v>
      </c>
      <c r="AM22" s="204">
        <f t="shared" si="20"/>
        <v>756560</v>
      </c>
      <c r="AN22" s="201">
        <f t="shared" si="11"/>
        <v>4738456</v>
      </c>
      <c r="AO22" s="205" t="s">
        <v>13</v>
      </c>
      <c r="AP22" s="195"/>
    </row>
    <row r="23" spans="1:42" s="457" customFormat="1" ht="24.95" customHeight="1">
      <c r="A23" s="459" t="s">
        <v>160</v>
      </c>
      <c r="B23" s="460" t="s">
        <v>159</v>
      </c>
      <c r="C23" s="460"/>
      <c r="D23" s="461"/>
      <c r="E23" s="462">
        <v>0</v>
      </c>
      <c r="F23" s="196">
        <v>1758120</v>
      </c>
      <c r="G23" s="197"/>
      <c r="H23" s="463"/>
      <c r="I23" s="463"/>
      <c r="J23" s="463"/>
      <c r="K23" s="463"/>
      <c r="L23" s="463"/>
      <c r="M23" s="463"/>
      <c r="N23" s="463"/>
      <c r="O23" s="463"/>
      <c r="P23" s="198">
        <f t="shared" si="21"/>
        <v>0</v>
      </c>
      <c r="Q23" s="199" t="str">
        <f t="shared" si="12"/>
        <v/>
      </c>
      <c r="R23" s="199" t="str">
        <f t="shared" si="13"/>
        <v/>
      </c>
      <c r="S23" s="200" t="str">
        <f t="shared" si="14"/>
        <v/>
      </c>
      <c r="T23" s="199" t="str">
        <f t="shared" si="15"/>
        <v/>
      </c>
      <c r="U23" s="199">
        <f t="shared" si="16"/>
        <v>0</v>
      </c>
      <c r="V23" s="199">
        <f t="shared" si="17"/>
        <v>0</v>
      </c>
      <c r="W23" s="199">
        <v>0</v>
      </c>
      <c r="X23" s="201">
        <f t="shared" si="22"/>
        <v>0</v>
      </c>
      <c r="Y23" s="202">
        <f t="shared" si="0"/>
        <v>0</v>
      </c>
      <c r="Z23" s="202">
        <f t="shared" si="1"/>
        <v>0</v>
      </c>
      <c r="AA23" s="202">
        <f t="shared" si="2"/>
        <v>0</v>
      </c>
      <c r="AB23" s="202">
        <f t="shared" si="3"/>
        <v>0</v>
      </c>
      <c r="AC23" s="202">
        <f t="shared" si="4"/>
        <v>0</v>
      </c>
      <c r="AD23" s="202">
        <f t="shared" si="5"/>
        <v>0</v>
      </c>
      <c r="AE23" s="203">
        <v>5.2199999999999998E-3</v>
      </c>
      <c r="AF23" s="202">
        <f t="shared" si="18"/>
        <v>0</v>
      </c>
      <c r="AG23" s="202">
        <f t="shared" si="6"/>
        <v>0</v>
      </c>
      <c r="AH23" s="202">
        <f t="shared" si="7"/>
        <v>0</v>
      </c>
      <c r="AI23" s="204">
        <f t="shared" si="19"/>
        <v>0</v>
      </c>
      <c r="AJ23" s="201">
        <f t="shared" si="8"/>
        <v>0</v>
      </c>
      <c r="AK23" s="201">
        <f t="shared" si="9"/>
        <v>0</v>
      </c>
      <c r="AL23" s="201">
        <f t="shared" si="10"/>
        <v>0</v>
      </c>
      <c r="AM23" s="204">
        <f>ROUND(AL23*$AM$8,0)</f>
        <v>0</v>
      </c>
      <c r="AN23" s="201">
        <f t="shared" si="11"/>
        <v>0</v>
      </c>
      <c r="AO23" s="205" t="s">
        <v>13</v>
      </c>
      <c r="AP23" s="195"/>
    </row>
    <row r="24" spans="1:42" s="457" customFormat="1" ht="24.95" customHeight="1">
      <c r="A24" s="459" t="s">
        <v>162</v>
      </c>
      <c r="B24" s="460" t="s">
        <v>608</v>
      </c>
      <c r="C24" s="460">
        <v>1002089412</v>
      </c>
      <c r="D24" s="461" t="s">
        <v>511</v>
      </c>
      <c r="E24" s="462">
        <v>1</v>
      </c>
      <c r="F24" s="207">
        <v>2617190</v>
      </c>
      <c r="G24" s="208"/>
      <c r="H24" s="463">
        <v>30</v>
      </c>
      <c r="I24" s="463">
        <v>0</v>
      </c>
      <c r="J24" s="463">
        <v>0</v>
      </c>
      <c r="K24" s="463">
        <v>0</v>
      </c>
      <c r="L24" s="463">
        <v>40</v>
      </c>
      <c r="M24" s="463">
        <v>16</v>
      </c>
      <c r="N24" s="463">
        <v>30</v>
      </c>
      <c r="O24" s="463">
        <v>0</v>
      </c>
      <c r="P24" s="198">
        <f t="shared" si="21"/>
        <v>2617190</v>
      </c>
      <c r="Q24" s="199">
        <f t="shared" si="12"/>
        <v>0</v>
      </c>
      <c r="R24" s="199">
        <f t="shared" si="13"/>
        <v>0</v>
      </c>
      <c r="S24" s="200">
        <f t="shared" si="14"/>
        <v>0</v>
      </c>
      <c r="T24" s="199">
        <f t="shared" si="15"/>
        <v>0</v>
      </c>
      <c r="U24" s="199">
        <f t="shared" si="16"/>
        <v>380682</v>
      </c>
      <c r="V24" s="199">
        <f t="shared" si="17"/>
        <v>342614</v>
      </c>
      <c r="W24" s="199">
        <f>IF(E24=0,"",IF(F24&gt;2847000,0,$W$8*E24/30*N24))</f>
        <v>200000</v>
      </c>
      <c r="X24" s="201">
        <f t="shared" si="22"/>
        <v>3540486</v>
      </c>
      <c r="Y24" s="202">
        <f t="shared" si="0"/>
        <v>139198</v>
      </c>
      <c r="Z24" s="202">
        <f t="shared" si="1"/>
        <v>295029</v>
      </c>
      <c r="AA24" s="202">
        <f t="shared" si="2"/>
        <v>295029</v>
      </c>
      <c r="AB24" s="202">
        <f t="shared" si="3"/>
        <v>35405</v>
      </c>
      <c r="AC24" s="202">
        <f t="shared" si="4"/>
        <v>0</v>
      </c>
      <c r="AD24" s="202">
        <f t="shared" si="5"/>
        <v>400858</v>
      </c>
      <c r="AE24" s="203">
        <v>6.9599999999999995E-2</v>
      </c>
      <c r="AF24" s="202">
        <f t="shared" si="18"/>
        <v>232498</v>
      </c>
      <c r="AG24" s="202">
        <f t="shared" si="6"/>
        <v>0</v>
      </c>
      <c r="AH24" s="202">
        <f t="shared" si="7"/>
        <v>0</v>
      </c>
      <c r="AI24" s="204">
        <f t="shared" si="19"/>
        <v>133619</v>
      </c>
      <c r="AJ24" s="201">
        <f t="shared" si="8"/>
        <v>5072122</v>
      </c>
      <c r="AK24" s="201">
        <f t="shared" si="9"/>
        <v>405770</v>
      </c>
      <c r="AL24" s="201">
        <f t="shared" si="10"/>
        <v>5477892</v>
      </c>
      <c r="AM24" s="204">
        <f t="shared" si="20"/>
        <v>1040799</v>
      </c>
      <c r="AN24" s="201">
        <f t="shared" si="11"/>
        <v>6518691</v>
      </c>
      <c r="AO24" s="205" t="s">
        <v>13</v>
      </c>
      <c r="AP24" s="195"/>
    </row>
    <row r="25" spans="1:42" s="457" customFormat="1" ht="24.95" customHeight="1">
      <c r="A25" s="459" t="s">
        <v>162</v>
      </c>
      <c r="B25" s="460" t="s">
        <v>608</v>
      </c>
      <c r="C25" s="460">
        <v>1095786445</v>
      </c>
      <c r="D25" s="461" t="s">
        <v>609</v>
      </c>
      <c r="E25" s="462">
        <v>1</v>
      </c>
      <c r="F25" s="207">
        <v>2617190</v>
      </c>
      <c r="G25" s="208"/>
      <c r="H25" s="463">
        <v>30</v>
      </c>
      <c r="I25" s="463">
        <v>0</v>
      </c>
      <c r="J25" s="463">
        <v>0</v>
      </c>
      <c r="K25" s="463">
        <v>0</v>
      </c>
      <c r="L25" s="463">
        <v>40</v>
      </c>
      <c r="M25" s="463">
        <v>16</v>
      </c>
      <c r="N25" s="463">
        <v>30</v>
      </c>
      <c r="O25" s="463">
        <v>0</v>
      </c>
      <c r="P25" s="198">
        <f t="shared" si="21"/>
        <v>2617190</v>
      </c>
      <c r="Q25" s="199">
        <f t="shared" si="12"/>
        <v>0</v>
      </c>
      <c r="R25" s="199">
        <f t="shared" si="13"/>
        <v>0</v>
      </c>
      <c r="S25" s="200">
        <f t="shared" si="14"/>
        <v>0</v>
      </c>
      <c r="T25" s="199">
        <f t="shared" si="15"/>
        <v>0</v>
      </c>
      <c r="U25" s="199">
        <f t="shared" si="16"/>
        <v>380682</v>
      </c>
      <c r="V25" s="199">
        <f t="shared" si="17"/>
        <v>342614</v>
      </c>
      <c r="W25" s="199">
        <f>IF(E25=0,"",IF(F25&gt;2847000,0,$W$8*E25/30*N25))</f>
        <v>200000</v>
      </c>
      <c r="X25" s="201">
        <f t="shared" si="22"/>
        <v>3540486</v>
      </c>
      <c r="Y25" s="202">
        <f t="shared" si="0"/>
        <v>139198</v>
      </c>
      <c r="Z25" s="202">
        <f t="shared" si="1"/>
        <v>295029</v>
      </c>
      <c r="AA25" s="202">
        <f t="shared" si="2"/>
        <v>295029</v>
      </c>
      <c r="AB25" s="202">
        <f t="shared" si="3"/>
        <v>35405</v>
      </c>
      <c r="AC25" s="202">
        <f t="shared" si="4"/>
        <v>0</v>
      </c>
      <c r="AD25" s="202">
        <f t="shared" si="5"/>
        <v>400858</v>
      </c>
      <c r="AE25" s="203">
        <v>6.9599999999999995E-2</v>
      </c>
      <c r="AF25" s="202">
        <f>IFERROR(ROUND((X25-SUM(Q25:S25)-W25)*AE25,0),"")</f>
        <v>232498</v>
      </c>
      <c r="AG25" s="202">
        <f t="shared" si="6"/>
        <v>0</v>
      </c>
      <c r="AH25" s="202">
        <f t="shared" si="7"/>
        <v>0</v>
      </c>
      <c r="AI25" s="204">
        <f t="shared" si="19"/>
        <v>133619</v>
      </c>
      <c r="AJ25" s="201">
        <f t="shared" si="8"/>
        <v>5072122</v>
      </c>
      <c r="AK25" s="201">
        <f t="shared" si="9"/>
        <v>405770</v>
      </c>
      <c r="AL25" s="201">
        <f t="shared" si="10"/>
        <v>5477892</v>
      </c>
      <c r="AM25" s="204">
        <f>ROUND(AL25*$AM$8,0)</f>
        <v>1040799</v>
      </c>
      <c r="AN25" s="201">
        <f t="shared" si="11"/>
        <v>6518691</v>
      </c>
      <c r="AO25" s="205" t="s">
        <v>13</v>
      </c>
      <c r="AP25" s="195"/>
    </row>
    <row r="26" spans="1:42" s="457" customFormat="1" ht="24.95" customHeight="1">
      <c r="A26" s="459" t="s">
        <v>162</v>
      </c>
      <c r="B26" s="460" t="s">
        <v>608</v>
      </c>
      <c r="C26" s="460">
        <v>70137763</v>
      </c>
      <c r="D26" s="461" t="s">
        <v>610</v>
      </c>
      <c r="E26" s="462">
        <v>1</v>
      </c>
      <c r="F26" s="207">
        <v>2617190</v>
      </c>
      <c r="G26" s="208"/>
      <c r="H26" s="463">
        <v>30</v>
      </c>
      <c r="I26" s="463">
        <v>0</v>
      </c>
      <c r="J26" s="463">
        <v>0</v>
      </c>
      <c r="K26" s="463">
        <v>0</v>
      </c>
      <c r="L26" s="463">
        <v>40</v>
      </c>
      <c r="M26" s="463">
        <v>16</v>
      </c>
      <c r="N26" s="463">
        <v>30</v>
      </c>
      <c r="O26" s="463">
        <v>0</v>
      </c>
      <c r="P26" s="198">
        <f t="shared" si="21"/>
        <v>2617190</v>
      </c>
      <c r="Q26" s="199">
        <f t="shared" si="12"/>
        <v>0</v>
      </c>
      <c r="R26" s="199">
        <f t="shared" si="13"/>
        <v>0</v>
      </c>
      <c r="S26" s="200">
        <f t="shared" si="14"/>
        <v>0</v>
      </c>
      <c r="T26" s="199">
        <f t="shared" si="15"/>
        <v>0</v>
      </c>
      <c r="U26" s="199">
        <f t="shared" si="16"/>
        <v>380682</v>
      </c>
      <c r="V26" s="199">
        <f t="shared" si="17"/>
        <v>342614</v>
      </c>
      <c r="W26" s="199">
        <f>IF(E26=0,"",IF(F26&gt;2847000,0,$W$8*E26/30*N26))</f>
        <v>200000</v>
      </c>
      <c r="X26" s="201">
        <f t="shared" si="22"/>
        <v>3540486</v>
      </c>
      <c r="Y26" s="202">
        <f t="shared" si="0"/>
        <v>139198</v>
      </c>
      <c r="Z26" s="202">
        <f t="shared" si="1"/>
        <v>295029</v>
      </c>
      <c r="AA26" s="202">
        <f t="shared" si="2"/>
        <v>295029</v>
      </c>
      <c r="AB26" s="202">
        <f t="shared" si="3"/>
        <v>35405</v>
      </c>
      <c r="AC26" s="202">
        <f t="shared" si="4"/>
        <v>0</v>
      </c>
      <c r="AD26" s="202">
        <f t="shared" si="5"/>
        <v>400858</v>
      </c>
      <c r="AE26" s="203">
        <v>6.9599999999999995E-2</v>
      </c>
      <c r="AF26" s="202">
        <f t="shared" si="18"/>
        <v>232498</v>
      </c>
      <c r="AG26" s="202">
        <f t="shared" si="6"/>
        <v>0</v>
      </c>
      <c r="AH26" s="202">
        <f t="shared" si="7"/>
        <v>0</v>
      </c>
      <c r="AI26" s="204">
        <f t="shared" si="19"/>
        <v>133619</v>
      </c>
      <c r="AJ26" s="201">
        <f t="shared" si="8"/>
        <v>5072122</v>
      </c>
      <c r="AK26" s="201">
        <f t="shared" si="9"/>
        <v>405770</v>
      </c>
      <c r="AL26" s="201">
        <f t="shared" si="10"/>
        <v>5477892</v>
      </c>
      <c r="AM26" s="204">
        <f>ROUND(AL26*$AM$8,0)</f>
        <v>1040799</v>
      </c>
      <c r="AN26" s="201">
        <f t="shared" si="11"/>
        <v>6518691</v>
      </c>
      <c r="AO26" s="205" t="s">
        <v>13</v>
      </c>
      <c r="AP26" s="195"/>
    </row>
    <row r="27" spans="1:42" s="457" customFormat="1" ht="24.95" customHeight="1">
      <c r="A27" s="459" t="s">
        <v>162</v>
      </c>
      <c r="B27" s="460" t="s">
        <v>608</v>
      </c>
      <c r="C27" s="460">
        <v>70139977</v>
      </c>
      <c r="D27" s="461" t="s">
        <v>507</v>
      </c>
      <c r="E27" s="462">
        <v>1</v>
      </c>
      <c r="F27" s="207">
        <v>2617190</v>
      </c>
      <c r="G27" s="208"/>
      <c r="H27" s="463">
        <v>30</v>
      </c>
      <c r="I27" s="463">
        <v>0</v>
      </c>
      <c r="J27" s="463">
        <v>0</v>
      </c>
      <c r="K27" s="463">
        <v>0</v>
      </c>
      <c r="L27" s="463">
        <v>32</v>
      </c>
      <c r="M27" s="463">
        <v>16</v>
      </c>
      <c r="N27" s="463">
        <v>30</v>
      </c>
      <c r="O27" s="463">
        <v>0</v>
      </c>
      <c r="P27" s="198">
        <f t="shared" si="21"/>
        <v>2617190</v>
      </c>
      <c r="Q27" s="199">
        <f t="shared" si="12"/>
        <v>0</v>
      </c>
      <c r="R27" s="199">
        <f t="shared" si="13"/>
        <v>0</v>
      </c>
      <c r="S27" s="200">
        <f t="shared" si="14"/>
        <v>0</v>
      </c>
      <c r="T27" s="199">
        <f t="shared" si="15"/>
        <v>0</v>
      </c>
      <c r="U27" s="199">
        <f t="shared" si="16"/>
        <v>304546</v>
      </c>
      <c r="V27" s="199">
        <f t="shared" si="17"/>
        <v>342614</v>
      </c>
      <c r="W27" s="199">
        <f>IF(E27=0,"",IF(F27&gt;2847000,0,$W$8*E27/30*N27))</f>
        <v>200000</v>
      </c>
      <c r="X27" s="201">
        <f t="shared" si="22"/>
        <v>3464350</v>
      </c>
      <c r="Y27" s="202">
        <f t="shared" si="0"/>
        <v>136025</v>
      </c>
      <c r="Z27" s="202">
        <f t="shared" si="1"/>
        <v>288684</v>
      </c>
      <c r="AA27" s="202">
        <f t="shared" si="2"/>
        <v>288684</v>
      </c>
      <c r="AB27" s="202">
        <f t="shared" si="3"/>
        <v>34644</v>
      </c>
      <c r="AC27" s="202">
        <f t="shared" si="4"/>
        <v>0</v>
      </c>
      <c r="AD27" s="202">
        <f t="shared" si="5"/>
        <v>391722</v>
      </c>
      <c r="AE27" s="203">
        <v>6.9599999999999995E-2</v>
      </c>
      <c r="AF27" s="202">
        <f t="shared" si="18"/>
        <v>227199</v>
      </c>
      <c r="AG27" s="202">
        <f t="shared" si="6"/>
        <v>0</v>
      </c>
      <c r="AH27" s="202">
        <f t="shared" si="7"/>
        <v>0</v>
      </c>
      <c r="AI27" s="204">
        <f t="shared" si="19"/>
        <v>130574</v>
      </c>
      <c r="AJ27" s="201">
        <f t="shared" si="8"/>
        <v>4961882</v>
      </c>
      <c r="AK27" s="201">
        <f t="shared" si="9"/>
        <v>396951</v>
      </c>
      <c r="AL27" s="201">
        <f t="shared" si="10"/>
        <v>5358833</v>
      </c>
      <c r="AM27" s="204">
        <f>ROUND(AL27*$AM$8,0)</f>
        <v>1018178</v>
      </c>
      <c r="AN27" s="201">
        <f t="shared" si="11"/>
        <v>6377011</v>
      </c>
      <c r="AO27" s="205" t="s">
        <v>13</v>
      </c>
      <c r="AP27" s="195"/>
    </row>
    <row r="28" spans="1:42" s="457" customFormat="1" ht="24.95" customHeight="1">
      <c r="A28" s="459" t="s">
        <v>162</v>
      </c>
      <c r="B28" s="460" t="s">
        <v>608</v>
      </c>
      <c r="C28" s="460"/>
      <c r="D28" s="461"/>
      <c r="E28" s="462">
        <v>0</v>
      </c>
      <c r="F28" s="207">
        <v>2617190</v>
      </c>
      <c r="G28" s="208"/>
      <c r="H28" s="463"/>
      <c r="I28" s="463"/>
      <c r="J28" s="463"/>
      <c r="K28" s="463"/>
      <c r="L28" s="463"/>
      <c r="M28" s="463"/>
      <c r="N28" s="463"/>
      <c r="O28" s="463"/>
      <c r="P28" s="198">
        <f t="shared" si="21"/>
        <v>0</v>
      </c>
      <c r="Q28" s="199" t="str">
        <f t="shared" si="12"/>
        <v/>
      </c>
      <c r="R28" s="199" t="str">
        <f t="shared" si="13"/>
        <v/>
      </c>
      <c r="S28" s="200" t="str">
        <f t="shared" si="14"/>
        <v/>
      </c>
      <c r="T28" s="199" t="str">
        <f t="shared" si="15"/>
        <v/>
      </c>
      <c r="U28" s="199">
        <f t="shared" si="16"/>
        <v>0</v>
      </c>
      <c r="V28" s="199">
        <f t="shared" si="17"/>
        <v>0</v>
      </c>
      <c r="W28" s="199">
        <v>0</v>
      </c>
      <c r="X28" s="201">
        <f t="shared" si="22"/>
        <v>0</v>
      </c>
      <c r="Y28" s="202">
        <f t="shared" si="0"/>
        <v>0</v>
      </c>
      <c r="Z28" s="202">
        <f t="shared" si="1"/>
        <v>0</v>
      </c>
      <c r="AA28" s="202">
        <f t="shared" si="2"/>
        <v>0</v>
      </c>
      <c r="AB28" s="202">
        <f t="shared" si="3"/>
        <v>0</v>
      </c>
      <c r="AC28" s="202">
        <f t="shared" si="4"/>
        <v>0</v>
      </c>
      <c r="AD28" s="202">
        <f t="shared" si="5"/>
        <v>0</v>
      </c>
      <c r="AE28" s="203">
        <v>6.9599999999999995E-2</v>
      </c>
      <c r="AF28" s="202">
        <f t="shared" si="18"/>
        <v>0</v>
      </c>
      <c r="AG28" s="202">
        <f t="shared" si="6"/>
        <v>0</v>
      </c>
      <c r="AH28" s="202">
        <f t="shared" si="7"/>
        <v>0</v>
      </c>
      <c r="AI28" s="204">
        <f t="shared" si="19"/>
        <v>0</v>
      </c>
      <c r="AJ28" s="201">
        <f t="shared" si="8"/>
        <v>0</v>
      </c>
      <c r="AK28" s="201">
        <f t="shared" si="9"/>
        <v>0</v>
      </c>
      <c r="AL28" s="201">
        <f t="shared" si="10"/>
        <v>0</v>
      </c>
      <c r="AM28" s="204">
        <f>ROUND(AL28*$AM$8,0)</f>
        <v>0</v>
      </c>
      <c r="AN28" s="201">
        <f t="shared" si="11"/>
        <v>0</v>
      </c>
      <c r="AO28" s="205" t="s">
        <v>13</v>
      </c>
      <c r="AP28" s="195"/>
    </row>
    <row r="29" spans="1:42" s="457" customFormat="1" ht="24.95" customHeight="1">
      <c r="A29" s="459" t="s">
        <v>162</v>
      </c>
      <c r="B29" s="460" t="s">
        <v>608</v>
      </c>
      <c r="C29" s="460"/>
      <c r="D29" s="461"/>
      <c r="E29" s="462">
        <v>0</v>
      </c>
      <c r="F29" s="207">
        <v>2617190</v>
      </c>
      <c r="G29" s="208"/>
      <c r="H29" s="463"/>
      <c r="I29" s="463"/>
      <c r="J29" s="463"/>
      <c r="K29" s="463"/>
      <c r="L29" s="463"/>
      <c r="M29" s="463"/>
      <c r="N29" s="463"/>
      <c r="O29" s="463"/>
      <c r="P29" s="198">
        <f t="shared" si="21"/>
        <v>0</v>
      </c>
      <c r="Q29" s="199" t="str">
        <f t="shared" si="12"/>
        <v/>
      </c>
      <c r="R29" s="199" t="str">
        <f t="shared" si="13"/>
        <v/>
      </c>
      <c r="S29" s="200" t="str">
        <f t="shared" si="14"/>
        <v/>
      </c>
      <c r="T29" s="199" t="str">
        <f t="shared" si="15"/>
        <v/>
      </c>
      <c r="U29" s="199">
        <f t="shared" si="16"/>
        <v>0</v>
      </c>
      <c r="V29" s="199">
        <f t="shared" si="17"/>
        <v>0</v>
      </c>
      <c r="W29" s="199">
        <v>0</v>
      </c>
      <c r="X29" s="201">
        <f t="shared" si="22"/>
        <v>0</v>
      </c>
      <c r="Y29" s="202">
        <f t="shared" si="0"/>
        <v>0</v>
      </c>
      <c r="Z29" s="202">
        <f t="shared" si="1"/>
        <v>0</v>
      </c>
      <c r="AA29" s="202">
        <f t="shared" si="2"/>
        <v>0</v>
      </c>
      <c r="AB29" s="202">
        <f t="shared" si="3"/>
        <v>0</v>
      </c>
      <c r="AC29" s="202">
        <f t="shared" si="4"/>
        <v>0</v>
      </c>
      <c r="AD29" s="202">
        <f t="shared" si="5"/>
        <v>0</v>
      </c>
      <c r="AE29" s="203">
        <v>6.9599999999999995E-2</v>
      </c>
      <c r="AF29" s="202">
        <f t="shared" si="18"/>
        <v>0</v>
      </c>
      <c r="AG29" s="202">
        <f t="shared" si="6"/>
        <v>0</v>
      </c>
      <c r="AH29" s="202">
        <f t="shared" si="7"/>
        <v>0</v>
      </c>
      <c r="AI29" s="204">
        <f t="shared" si="19"/>
        <v>0</v>
      </c>
      <c r="AJ29" s="201">
        <f t="shared" si="8"/>
        <v>0</v>
      </c>
      <c r="AK29" s="201">
        <f t="shared" si="9"/>
        <v>0</v>
      </c>
      <c r="AL29" s="201">
        <f t="shared" si="10"/>
        <v>0</v>
      </c>
      <c r="AM29" s="204">
        <f>ROUND(AL29*$AM$8,0)</f>
        <v>0</v>
      </c>
      <c r="AN29" s="201">
        <f t="shared" si="11"/>
        <v>0</v>
      </c>
      <c r="AO29" s="205" t="s">
        <v>13</v>
      </c>
      <c r="AP29" s="195"/>
    </row>
    <row r="30" spans="1:42" s="457" customFormat="1" ht="22.5">
      <c r="A30" s="459" t="s">
        <v>164</v>
      </c>
      <c r="B30" s="460" t="s">
        <v>611</v>
      </c>
      <c r="C30" s="460">
        <v>70324579</v>
      </c>
      <c r="D30" s="461" t="s">
        <v>612</v>
      </c>
      <c r="E30" s="462">
        <v>1</v>
      </c>
      <c r="F30" s="196">
        <v>1832465</v>
      </c>
      <c r="G30" s="197"/>
      <c r="H30" s="463">
        <v>30</v>
      </c>
      <c r="I30" s="463">
        <v>0</v>
      </c>
      <c r="J30" s="463">
        <v>0</v>
      </c>
      <c r="K30" s="463">
        <v>0</v>
      </c>
      <c r="L30" s="463">
        <v>32</v>
      </c>
      <c r="M30" s="463">
        <v>16</v>
      </c>
      <c r="N30" s="463">
        <v>30</v>
      </c>
      <c r="O30" s="463">
        <v>0</v>
      </c>
      <c r="P30" s="198">
        <f t="shared" si="21"/>
        <v>1832465</v>
      </c>
      <c r="Q30" s="199">
        <f t="shared" si="12"/>
        <v>0</v>
      </c>
      <c r="R30" s="199">
        <f t="shared" si="13"/>
        <v>0</v>
      </c>
      <c r="S30" s="200">
        <f t="shared" si="14"/>
        <v>0</v>
      </c>
      <c r="T30" s="199">
        <f t="shared" si="15"/>
        <v>0</v>
      </c>
      <c r="U30" s="199">
        <f t="shared" si="16"/>
        <v>213232</v>
      </c>
      <c r="V30" s="199">
        <f t="shared" si="17"/>
        <v>239886</v>
      </c>
      <c r="W30" s="199">
        <f>IF(E30=0,"",IF(F30&gt;2847000,0,$W$8*E30/30*N30))</f>
        <v>200000</v>
      </c>
      <c r="X30" s="201">
        <f t="shared" si="22"/>
        <v>2485583</v>
      </c>
      <c r="Y30" s="202">
        <f t="shared" si="0"/>
        <v>95240</v>
      </c>
      <c r="Z30" s="202">
        <f t="shared" si="1"/>
        <v>207124</v>
      </c>
      <c r="AA30" s="202">
        <f t="shared" si="2"/>
        <v>207124</v>
      </c>
      <c r="AB30" s="202">
        <f t="shared" si="3"/>
        <v>24856</v>
      </c>
      <c r="AC30" s="202">
        <f t="shared" si="4"/>
        <v>0</v>
      </c>
      <c r="AD30" s="202">
        <f t="shared" si="5"/>
        <v>274270</v>
      </c>
      <c r="AE30" s="203">
        <v>6.9599999999999995E-2</v>
      </c>
      <c r="AF30" s="202">
        <f t="shared" si="18"/>
        <v>159077</v>
      </c>
      <c r="AG30" s="202">
        <f t="shared" si="6"/>
        <v>0</v>
      </c>
      <c r="AH30" s="202">
        <f t="shared" si="7"/>
        <v>0</v>
      </c>
      <c r="AI30" s="204">
        <f t="shared" si="19"/>
        <v>91423</v>
      </c>
      <c r="AJ30" s="201">
        <f t="shared" si="8"/>
        <v>3544697</v>
      </c>
      <c r="AK30" s="201">
        <f t="shared" si="9"/>
        <v>283576</v>
      </c>
      <c r="AL30" s="201">
        <f t="shared" si="10"/>
        <v>3828273</v>
      </c>
      <c r="AM30" s="204">
        <f t="shared" si="20"/>
        <v>727372</v>
      </c>
      <c r="AN30" s="201">
        <f t="shared" si="11"/>
        <v>4555645</v>
      </c>
      <c r="AO30" s="205" t="s">
        <v>13</v>
      </c>
      <c r="AP30" s="195"/>
    </row>
    <row r="31" spans="1:42" s="457" customFormat="1" ht="12">
      <c r="A31" s="459" t="s">
        <v>164</v>
      </c>
      <c r="B31" s="460" t="s">
        <v>611</v>
      </c>
      <c r="C31" s="460"/>
      <c r="D31" s="461"/>
      <c r="E31" s="462">
        <v>0</v>
      </c>
      <c r="F31" s="196">
        <v>1832465</v>
      </c>
      <c r="G31" s="197"/>
      <c r="H31" s="463"/>
      <c r="I31" s="463"/>
      <c r="J31" s="463"/>
      <c r="K31" s="463"/>
      <c r="L31" s="463"/>
      <c r="M31" s="463"/>
      <c r="N31" s="463"/>
      <c r="O31" s="463"/>
      <c r="P31" s="198">
        <f t="shared" si="21"/>
        <v>0</v>
      </c>
      <c r="Q31" s="199" t="str">
        <f t="shared" si="12"/>
        <v/>
      </c>
      <c r="R31" s="199" t="str">
        <f t="shared" si="13"/>
        <v/>
      </c>
      <c r="S31" s="200" t="str">
        <f t="shared" si="14"/>
        <v/>
      </c>
      <c r="T31" s="199" t="str">
        <f t="shared" si="15"/>
        <v/>
      </c>
      <c r="U31" s="199">
        <f t="shared" si="16"/>
        <v>0</v>
      </c>
      <c r="V31" s="199">
        <f t="shared" si="17"/>
        <v>0</v>
      </c>
      <c r="W31" s="199" t="str">
        <f>IF(E31=0,"",IF(F31&gt;2847000,0,$W$8*E31/30*N31))</f>
        <v/>
      </c>
      <c r="X31" s="201">
        <f t="shared" si="22"/>
        <v>0</v>
      </c>
      <c r="Y31" s="202">
        <v>0</v>
      </c>
      <c r="Z31" s="202">
        <f t="shared" si="1"/>
        <v>0</v>
      </c>
      <c r="AA31" s="202">
        <f t="shared" si="2"/>
        <v>0</v>
      </c>
      <c r="AB31" s="202">
        <f t="shared" si="3"/>
        <v>0</v>
      </c>
      <c r="AC31" s="202">
        <v>0</v>
      </c>
      <c r="AD31" s="202">
        <v>0</v>
      </c>
      <c r="AE31" s="203">
        <v>6.9599999999999995E-2</v>
      </c>
      <c r="AF31" s="202" t="str">
        <f t="shared" si="18"/>
        <v/>
      </c>
      <c r="AG31" s="202">
        <v>0</v>
      </c>
      <c r="AH31" s="202">
        <v>0</v>
      </c>
      <c r="AI31" s="204" t="str">
        <f t="shared" si="19"/>
        <v/>
      </c>
      <c r="AJ31" s="201">
        <v>0</v>
      </c>
      <c r="AK31" s="201">
        <f t="shared" si="9"/>
        <v>0</v>
      </c>
      <c r="AL31" s="201">
        <f t="shared" si="10"/>
        <v>0</v>
      </c>
      <c r="AM31" s="204">
        <f>ROUND(AL31*$AM$8,0)</f>
        <v>0</v>
      </c>
      <c r="AN31" s="201">
        <f t="shared" si="11"/>
        <v>0</v>
      </c>
      <c r="AO31" s="205" t="s">
        <v>13</v>
      </c>
      <c r="AP31" s="195"/>
    </row>
    <row r="32" spans="1:42" s="457" customFormat="1" ht="12">
      <c r="A32" s="459" t="s">
        <v>164</v>
      </c>
      <c r="B32" s="460" t="s">
        <v>611</v>
      </c>
      <c r="C32" s="460"/>
      <c r="D32" s="461"/>
      <c r="E32" s="462">
        <v>0</v>
      </c>
      <c r="F32" s="196">
        <v>1832465</v>
      </c>
      <c r="G32" s="197"/>
      <c r="H32" s="463"/>
      <c r="I32" s="463"/>
      <c r="J32" s="463"/>
      <c r="K32" s="463"/>
      <c r="L32" s="463"/>
      <c r="M32" s="463"/>
      <c r="N32" s="463"/>
      <c r="O32" s="463"/>
      <c r="P32" s="198">
        <f t="shared" si="21"/>
        <v>0</v>
      </c>
      <c r="Q32" s="199" t="str">
        <f t="shared" si="12"/>
        <v/>
      </c>
      <c r="R32" s="199" t="str">
        <f t="shared" si="13"/>
        <v/>
      </c>
      <c r="S32" s="200" t="str">
        <f t="shared" si="14"/>
        <v/>
      </c>
      <c r="T32" s="199" t="str">
        <f t="shared" si="15"/>
        <v/>
      </c>
      <c r="U32" s="199">
        <f t="shared" si="16"/>
        <v>0</v>
      </c>
      <c r="V32" s="199">
        <f t="shared" si="17"/>
        <v>0</v>
      </c>
      <c r="W32" s="199" t="str">
        <f>IF(E32=0,"",IF(F32&gt;2847000,0,$W$8*E32/30*N32))</f>
        <v/>
      </c>
      <c r="X32" s="201">
        <f t="shared" si="22"/>
        <v>0</v>
      </c>
      <c r="Y32" s="202">
        <v>0</v>
      </c>
      <c r="Z32" s="202">
        <f t="shared" si="1"/>
        <v>0</v>
      </c>
      <c r="AA32" s="202">
        <f t="shared" si="2"/>
        <v>0</v>
      </c>
      <c r="AB32" s="202">
        <f t="shared" si="3"/>
        <v>0</v>
      </c>
      <c r="AC32" s="202">
        <v>0</v>
      </c>
      <c r="AD32" s="202">
        <v>0</v>
      </c>
      <c r="AE32" s="203">
        <v>6.9599999999999995E-2</v>
      </c>
      <c r="AF32" s="202" t="str">
        <f t="shared" si="18"/>
        <v/>
      </c>
      <c r="AG32" s="202">
        <v>0</v>
      </c>
      <c r="AH32" s="202">
        <v>0</v>
      </c>
      <c r="AI32" s="204" t="str">
        <f t="shared" si="19"/>
        <v/>
      </c>
      <c r="AJ32" s="201">
        <v>0</v>
      </c>
      <c r="AK32" s="201">
        <f t="shared" si="9"/>
        <v>0</v>
      </c>
      <c r="AL32" s="201">
        <f t="shared" si="10"/>
        <v>0</v>
      </c>
      <c r="AM32" s="204">
        <f>ROUND(AL32*$AM$8,0)</f>
        <v>0</v>
      </c>
      <c r="AN32" s="201">
        <f t="shared" si="11"/>
        <v>0</v>
      </c>
      <c r="AO32" s="205" t="s">
        <v>13</v>
      </c>
      <c r="AP32" s="195"/>
    </row>
    <row r="33" spans="1:42" s="457" customFormat="1" ht="12">
      <c r="A33" s="459" t="s">
        <v>164</v>
      </c>
      <c r="B33" s="460" t="s">
        <v>611</v>
      </c>
      <c r="C33" s="460"/>
      <c r="D33" s="461"/>
      <c r="E33" s="462">
        <v>0</v>
      </c>
      <c r="F33" s="196">
        <v>1832465</v>
      </c>
      <c r="G33" s="197"/>
      <c r="H33" s="463"/>
      <c r="I33" s="463"/>
      <c r="J33" s="463"/>
      <c r="K33" s="463"/>
      <c r="L33" s="463"/>
      <c r="M33" s="463"/>
      <c r="N33" s="463"/>
      <c r="O33" s="463"/>
      <c r="P33" s="198">
        <f t="shared" si="21"/>
        <v>0</v>
      </c>
      <c r="Q33" s="199" t="str">
        <f t="shared" si="12"/>
        <v/>
      </c>
      <c r="R33" s="199" t="str">
        <f t="shared" si="13"/>
        <v/>
      </c>
      <c r="S33" s="200" t="str">
        <f t="shared" si="14"/>
        <v/>
      </c>
      <c r="T33" s="199" t="str">
        <f t="shared" si="15"/>
        <v/>
      </c>
      <c r="U33" s="199">
        <f t="shared" si="16"/>
        <v>0</v>
      </c>
      <c r="V33" s="199">
        <f t="shared" si="17"/>
        <v>0</v>
      </c>
      <c r="W33" s="199" t="str">
        <f>IF(E33=0,"",IF(F33&gt;2847000,0,$W$8*E33/30*N33))</f>
        <v/>
      </c>
      <c r="X33" s="201">
        <f t="shared" si="22"/>
        <v>0</v>
      </c>
      <c r="Y33" s="202">
        <v>0</v>
      </c>
      <c r="Z33" s="202">
        <f t="shared" si="1"/>
        <v>0</v>
      </c>
      <c r="AA33" s="202">
        <f t="shared" si="2"/>
        <v>0</v>
      </c>
      <c r="AB33" s="202">
        <f t="shared" si="3"/>
        <v>0</v>
      </c>
      <c r="AC33" s="202">
        <v>0</v>
      </c>
      <c r="AD33" s="202">
        <v>0</v>
      </c>
      <c r="AE33" s="203">
        <v>6.9599999999999995E-2</v>
      </c>
      <c r="AF33" s="202" t="str">
        <f t="shared" si="18"/>
        <v/>
      </c>
      <c r="AG33" s="202">
        <v>0</v>
      </c>
      <c r="AH33" s="202">
        <v>0</v>
      </c>
      <c r="AI33" s="204" t="str">
        <f t="shared" si="19"/>
        <v/>
      </c>
      <c r="AJ33" s="201">
        <v>0</v>
      </c>
      <c r="AK33" s="201">
        <f t="shared" si="9"/>
        <v>0</v>
      </c>
      <c r="AL33" s="201">
        <f t="shared" si="10"/>
        <v>0</v>
      </c>
      <c r="AM33" s="204">
        <f>ROUND(AL33*$AM$8,0)</f>
        <v>0</v>
      </c>
      <c r="AN33" s="201">
        <f t="shared" si="11"/>
        <v>0</v>
      </c>
      <c r="AO33" s="205" t="s">
        <v>13</v>
      </c>
      <c r="AP33" s="195"/>
    </row>
    <row r="34" spans="1:42" s="457" customFormat="1" ht="22.5">
      <c r="A34" s="465" t="s">
        <v>166</v>
      </c>
      <c r="B34" s="461" t="s">
        <v>167</v>
      </c>
      <c r="C34" s="494">
        <v>1214713916</v>
      </c>
      <c r="D34" s="461" t="s">
        <v>613</v>
      </c>
      <c r="E34" s="466">
        <v>1</v>
      </c>
      <c r="F34" s="207">
        <v>2617190</v>
      </c>
      <c r="G34" s="208">
        <v>2</v>
      </c>
      <c r="H34" s="463">
        <v>28</v>
      </c>
      <c r="I34" s="463">
        <v>2</v>
      </c>
      <c r="J34" s="463">
        <v>0</v>
      </c>
      <c r="K34" s="463">
        <v>0</v>
      </c>
      <c r="L34" s="463">
        <v>32</v>
      </c>
      <c r="M34" s="463">
        <v>16</v>
      </c>
      <c r="N34" s="463">
        <v>28</v>
      </c>
      <c r="O34" s="463">
        <v>0</v>
      </c>
      <c r="P34" s="198">
        <f t="shared" si="21"/>
        <v>2442711</v>
      </c>
      <c r="Q34" s="199">
        <f t="shared" si="12"/>
        <v>174479</v>
      </c>
      <c r="R34" s="199">
        <f t="shared" si="13"/>
        <v>0</v>
      </c>
      <c r="S34" s="200">
        <f t="shared" si="14"/>
        <v>0</v>
      </c>
      <c r="T34" s="199">
        <f t="shared" si="15"/>
        <v>0</v>
      </c>
      <c r="U34" s="199">
        <f t="shared" si="16"/>
        <v>304546</v>
      </c>
      <c r="V34" s="199">
        <f t="shared" si="17"/>
        <v>342614</v>
      </c>
      <c r="W34" s="199">
        <f>IF(E34=0,"",IF(F34&gt;2847000,0,$W$8*E34/30*N34))</f>
        <v>186666.66666666669</v>
      </c>
      <c r="X34" s="209">
        <f t="shared" si="22"/>
        <v>3451016.6666666665</v>
      </c>
      <c r="Y34" s="204">
        <f t="shared" ref="Y34:Y42" si="23">ROUND((X34-W34)*$Y$8,0)</f>
        <v>136025</v>
      </c>
      <c r="Z34" s="204">
        <f t="shared" si="1"/>
        <v>287573</v>
      </c>
      <c r="AA34" s="204">
        <f t="shared" si="2"/>
        <v>287573</v>
      </c>
      <c r="AB34" s="204">
        <f t="shared" si="3"/>
        <v>34510</v>
      </c>
      <c r="AC34" s="204">
        <f t="shared" ref="AC34:AC42" si="24">ROUND((X34-W34)*$AC$8,0)</f>
        <v>0</v>
      </c>
      <c r="AD34" s="204">
        <f t="shared" ref="AD34:AD42" si="25">ROUND((X34-W34)*$AD$8,0)</f>
        <v>391722</v>
      </c>
      <c r="AE34" s="203">
        <v>4.3499999999999997E-2</v>
      </c>
      <c r="AF34" s="204">
        <f t="shared" si="18"/>
        <v>134409</v>
      </c>
      <c r="AG34" s="204">
        <f t="shared" ref="AG34:AG42" si="26">ROUND((X34-W34)*$AG$8,0)</f>
        <v>0</v>
      </c>
      <c r="AH34" s="204">
        <f t="shared" ref="AH34:AH42" si="27">ROUND((X34-W34)*$AH$8,0)</f>
        <v>0</v>
      </c>
      <c r="AI34" s="204">
        <f t="shared" si="19"/>
        <v>123595</v>
      </c>
      <c r="AJ34" s="209">
        <f t="shared" ref="AJ34:AJ42" si="28">+X34+Y34+Z34+AA34+AB34+AC34+AD34+AF34+AG34+AH34+AI34</f>
        <v>4846423.666666666</v>
      </c>
      <c r="AK34" s="209">
        <f t="shared" si="9"/>
        <v>387714</v>
      </c>
      <c r="AL34" s="209">
        <f t="shared" si="10"/>
        <v>5234137.666666666</v>
      </c>
      <c r="AM34" s="210">
        <f t="shared" ref="AM34:AM53" si="29">ROUND((AJ34*10%)*$AM$8,0)</f>
        <v>92082</v>
      </c>
      <c r="AN34" s="209">
        <f t="shared" si="11"/>
        <v>5326219.666666666</v>
      </c>
      <c r="AO34" s="205" t="s">
        <v>13</v>
      </c>
      <c r="AP34" s="467" t="s">
        <v>168</v>
      </c>
    </row>
    <row r="35" spans="1:42" s="457" customFormat="1" ht="24.95" customHeight="1">
      <c r="A35" s="465" t="s">
        <v>169</v>
      </c>
      <c r="B35" s="461" t="s">
        <v>170</v>
      </c>
      <c r="C35" s="460">
        <v>1037044770</v>
      </c>
      <c r="D35" s="461" t="s">
        <v>614</v>
      </c>
      <c r="E35" s="466">
        <v>1</v>
      </c>
      <c r="F35" s="207">
        <v>2617190</v>
      </c>
      <c r="G35" s="208"/>
      <c r="H35" s="463">
        <v>30</v>
      </c>
      <c r="I35" s="463">
        <v>0</v>
      </c>
      <c r="J35" s="463">
        <v>0</v>
      </c>
      <c r="K35" s="463">
        <v>0</v>
      </c>
      <c r="L35" s="463">
        <v>40</v>
      </c>
      <c r="M35" s="463">
        <v>16</v>
      </c>
      <c r="N35" s="463">
        <v>29</v>
      </c>
      <c r="O35" s="463">
        <v>0</v>
      </c>
      <c r="P35" s="198">
        <f t="shared" si="21"/>
        <v>2617190</v>
      </c>
      <c r="Q35" s="199">
        <f t="shared" si="12"/>
        <v>0</v>
      </c>
      <c r="R35" s="199">
        <f t="shared" si="13"/>
        <v>0</v>
      </c>
      <c r="S35" s="200">
        <f t="shared" si="14"/>
        <v>0</v>
      </c>
      <c r="T35" s="199">
        <f t="shared" si="15"/>
        <v>0</v>
      </c>
      <c r="U35" s="199">
        <f t="shared" si="16"/>
        <v>380682</v>
      </c>
      <c r="V35" s="199">
        <f t="shared" si="17"/>
        <v>342614</v>
      </c>
      <c r="W35" s="199">
        <f t="shared" ref="W35:W54" si="30">IF(E35=0,"",IF(F35&gt;2847000,0,$W$8*E35/30*N35))</f>
        <v>193333.33333333334</v>
      </c>
      <c r="X35" s="201">
        <f t="shared" si="22"/>
        <v>3533819.3333333335</v>
      </c>
      <c r="Y35" s="204">
        <f t="shared" si="23"/>
        <v>139198</v>
      </c>
      <c r="Z35" s="204">
        <f t="shared" si="1"/>
        <v>294473</v>
      </c>
      <c r="AA35" s="204">
        <f t="shared" si="2"/>
        <v>294473</v>
      </c>
      <c r="AB35" s="204">
        <f t="shared" si="3"/>
        <v>35338</v>
      </c>
      <c r="AC35" s="204">
        <f t="shared" si="24"/>
        <v>0</v>
      </c>
      <c r="AD35" s="204">
        <f t="shared" si="25"/>
        <v>400858</v>
      </c>
      <c r="AE35" s="203">
        <v>4.3499999999999997E-2</v>
      </c>
      <c r="AF35" s="202">
        <f>IFERROR(ROUND((P35/30*29-SUM(Q35:S35)+U35+V35)*AE35,0),"")</f>
        <v>141516</v>
      </c>
      <c r="AG35" s="204">
        <f t="shared" si="26"/>
        <v>0</v>
      </c>
      <c r="AH35" s="204">
        <f t="shared" si="27"/>
        <v>0</v>
      </c>
      <c r="AI35" s="204">
        <f>IFERROR(ROUND((X35-SUM(Q35:S35)-W35)*$AI$8,0),"")</f>
        <v>133619</v>
      </c>
      <c r="AJ35" s="209">
        <f t="shared" si="28"/>
        <v>4973294.333333334</v>
      </c>
      <c r="AK35" s="209">
        <f t="shared" si="9"/>
        <v>397864</v>
      </c>
      <c r="AL35" s="209">
        <f t="shared" si="10"/>
        <v>5371158.333333334</v>
      </c>
      <c r="AM35" s="210">
        <f t="shared" si="29"/>
        <v>94493</v>
      </c>
      <c r="AN35" s="209">
        <f t="shared" si="11"/>
        <v>5465651.333333334</v>
      </c>
      <c r="AO35" s="205" t="s">
        <v>13</v>
      </c>
      <c r="AP35" s="467" t="s">
        <v>168</v>
      </c>
    </row>
    <row r="36" spans="1:42" s="457" customFormat="1" ht="24.95" customHeight="1">
      <c r="A36" s="465" t="s">
        <v>171</v>
      </c>
      <c r="B36" s="461" t="s">
        <v>172</v>
      </c>
      <c r="C36" s="460">
        <v>1020480076</v>
      </c>
      <c r="D36" s="461" t="s">
        <v>525</v>
      </c>
      <c r="E36" s="466">
        <v>1</v>
      </c>
      <c r="F36" s="207">
        <v>2199208</v>
      </c>
      <c r="G36" s="208"/>
      <c r="H36" s="463">
        <v>30</v>
      </c>
      <c r="I36" s="463">
        <v>0</v>
      </c>
      <c r="J36" s="463">
        <v>0</v>
      </c>
      <c r="K36" s="463">
        <v>0</v>
      </c>
      <c r="L36" s="463">
        <v>40</v>
      </c>
      <c r="M36" s="463">
        <v>16</v>
      </c>
      <c r="N36" s="463">
        <v>30</v>
      </c>
      <c r="O36" s="463">
        <v>0</v>
      </c>
      <c r="P36" s="198">
        <f t="shared" si="21"/>
        <v>2199208</v>
      </c>
      <c r="Q36" s="199">
        <f t="shared" si="12"/>
        <v>0</v>
      </c>
      <c r="R36" s="199">
        <f t="shared" si="13"/>
        <v>0</v>
      </c>
      <c r="S36" s="200">
        <f t="shared" si="14"/>
        <v>0</v>
      </c>
      <c r="T36" s="199">
        <f t="shared" si="15"/>
        <v>0</v>
      </c>
      <c r="U36" s="199">
        <f t="shared" si="16"/>
        <v>319885</v>
      </c>
      <c r="V36" s="199">
        <f t="shared" si="17"/>
        <v>287896</v>
      </c>
      <c r="W36" s="199">
        <f t="shared" si="30"/>
        <v>200000</v>
      </c>
      <c r="X36" s="201">
        <f t="shared" si="22"/>
        <v>3006989</v>
      </c>
      <c r="Y36" s="204">
        <f t="shared" si="23"/>
        <v>116967</v>
      </c>
      <c r="Z36" s="204">
        <f t="shared" si="1"/>
        <v>250572</v>
      </c>
      <c r="AA36" s="204">
        <f t="shared" si="2"/>
        <v>250572</v>
      </c>
      <c r="AB36" s="204">
        <f t="shared" si="3"/>
        <v>30070</v>
      </c>
      <c r="AC36" s="204">
        <f t="shared" si="24"/>
        <v>0</v>
      </c>
      <c r="AD36" s="204">
        <f t="shared" si="25"/>
        <v>336839</v>
      </c>
      <c r="AE36" s="203">
        <v>4.3499999999999997E-2</v>
      </c>
      <c r="AF36" s="202">
        <f t="shared" si="18"/>
        <v>122104</v>
      </c>
      <c r="AG36" s="204">
        <f t="shared" si="26"/>
        <v>0</v>
      </c>
      <c r="AH36" s="204">
        <f t="shared" si="27"/>
        <v>0</v>
      </c>
      <c r="AI36" s="204">
        <f t="shared" si="19"/>
        <v>112280</v>
      </c>
      <c r="AJ36" s="209">
        <f t="shared" si="28"/>
        <v>4226393</v>
      </c>
      <c r="AK36" s="209">
        <f t="shared" si="9"/>
        <v>338111</v>
      </c>
      <c r="AL36" s="209">
        <f t="shared" si="10"/>
        <v>4564504</v>
      </c>
      <c r="AM36" s="210">
        <f t="shared" si="29"/>
        <v>80301</v>
      </c>
      <c r="AN36" s="209">
        <f t="shared" si="11"/>
        <v>4644805</v>
      </c>
      <c r="AO36" s="205" t="s">
        <v>13</v>
      </c>
      <c r="AP36" s="467" t="s">
        <v>168</v>
      </c>
    </row>
    <row r="37" spans="1:42" s="457" customFormat="1" ht="24.95" customHeight="1">
      <c r="A37" s="465" t="s">
        <v>171</v>
      </c>
      <c r="B37" s="461" t="s">
        <v>172</v>
      </c>
      <c r="C37" s="494">
        <v>1035859375</v>
      </c>
      <c r="D37" s="461" t="s">
        <v>615</v>
      </c>
      <c r="E37" s="466">
        <v>1</v>
      </c>
      <c r="F37" s="207">
        <v>2199208</v>
      </c>
      <c r="G37" s="208">
        <v>1</v>
      </c>
      <c r="H37" s="463">
        <v>29</v>
      </c>
      <c r="I37" s="463">
        <v>1</v>
      </c>
      <c r="J37" s="463">
        <v>0</v>
      </c>
      <c r="K37" s="463">
        <v>0</v>
      </c>
      <c r="L37" s="463">
        <v>40</v>
      </c>
      <c r="M37" s="463">
        <v>16</v>
      </c>
      <c r="N37" s="463">
        <v>29</v>
      </c>
      <c r="O37" s="463">
        <v>0</v>
      </c>
      <c r="P37" s="198">
        <f t="shared" si="21"/>
        <v>2125901</v>
      </c>
      <c r="Q37" s="199">
        <f t="shared" si="12"/>
        <v>73307</v>
      </c>
      <c r="R37" s="199">
        <f t="shared" si="13"/>
        <v>0</v>
      </c>
      <c r="S37" s="200">
        <f t="shared" si="14"/>
        <v>0</v>
      </c>
      <c r="T37" s="199">
        <f t="shared" si="15"/>
        <v>0</v>
      </c>
      <c r="U37" s="199">
        <f t="shared" si="16"/>
        <v>319885</v>
      </c>
      <c r="V37" s="199">
        <f t="shared" si="17"/>
        <v>287896</v>
      </c>
      <c r="W37" s="199">
        <f t="shared" si="30"/>
        <v>193333.33333333334</v>
      </c>
      <c r="X37" s="201">
        <f t="shared" si="22"/>
        <v>3000322.3333333335</v>
      </c>
      <c r="Y37" s="204">
        <f t="shared" si="23"/>
        <v>116967</v>
      </c>
      <c r="Z37" s="204">
        <f t="shared" si="1"/>
        <v>250017</v>
      </c>
      <c r="AA37" s="204">
        <f t="shared" si="2"/>
        <v>250017</v>
      </c>
      <c r="AB37" s="204">
        <f t="shared" si="3"/>
        <v>30003</v>
      </c>
      <c r="AC37" s="204">
        <f t="shared" si="24"/>
        <v>0</v>
      </c>
      <c r="AD37" s="204">
        <f t="shared" si="25"/>
        <v>336839</v>
      </c>
      <c r="AE37" s="203">
        <v>4.3499999999999997E-2</v>
      </c>
      <c r="AF37" s="202">
        <f t="shared" si="18"/>
        <v>118915</v>
      </c>
      <c r="AG37" s="204">
        <f t="shared" si="26"/>
        <v>0</v>
      </c>
      <c r="AH37" s="204">
        <f t="shared" si="27"/>
        <v>0</v>
      </c>
      <c r="AI37" s="204">
        <f t="shared" si="19"/>
        <v>109347</v>
      </c>
      <c r="AJ37" s="209">
        <f t="shared" si="28"/>
        <v>4212427.333333334</v>
      </c>
      <c r="AK37" s="209">
        <f t="shared" si="9"/>
        <v>336994</v>
      </c>
      <c r="AL37" s="209">
        <f t="shared" si="10"/>
        <v>4549421.333333334</v>
      </c>
      <c r="AM37" s="210">
        <f t="shared" si="29"/>
        <v>80036</v>
      </c>
      <c r="AN37" s="209">
        <f t="shared" si="11"/>
        <v>4629457.333333334</v>
      </c>
      <c r="AO37" s="205" t="s">
        <v>13</v>
      </c>
      <c r="AP37" s="467" t="s">
        <v>168</v>
      </c>
    </row>
    <row r="38" spans="1:42" s="457" customFormat="1" ht="24.95" customHeight="1">
      <c r="A38" s="465" t="s">
        <v>171</v>
      </c>
      <c r="B38" s="461" t="s">
        <v>172</v>
      </c>
      <c r="C38" s="460">
        <v>1035868648</v>
      </c>
      <c r="D38" s="461" t="s">
        <v>616</v>
      </c>
      <c r="E38" s="466">
        <v>1</v>
      </c>
      <c r="F38" s="207">
        <v>2199208</v>
      </c>
      <c r="G38" s="208"/>
      <c r="H38" s="463">
        <v>30</v>
      </c>
      <c r="I38" s="463">
        <v>0</v>
      </c>
      <c r="J38" s="463">
        <v>0</v>
      </c>
      <c r="K38" s="463">
        <v>0</v>
      </c>
      <c r="L38" s="463">
        <v>40</v>
      </c>
      <c r="M38" s="463">
        <v>16</v>
      </c>
      <c r="N38" s="463">
        <v>30</v>
      </c>
      <c r="O38" s="463">
        <v>0</v>
      </c>
      <c r="P38" s="198">
        <f t="shared" si="21"/>
        <v>2199208</v>
      </c>
      <c r="Q38" s="199">
        <f t="shared" si="12"/>
        <v>0</v>
      </c>
      <c r="R38" s="199">
        <f t="shared" si="13"/>
        <v>0</v>
      </c>
      <c r="S38" s="200">
        <f t="shared" si="14"/>
        <v>0</v>
      </c>
      <c r="T38" s="199">
        <f t="shared" si="15"/>
        <v>0</v>
      </c>
      <c r="U38" s="199">
        <f t="shared" si="16"/>
        <v>319885</v>
      </c>
      <c r="V38" s="199">
        <f t="shared" si="17"/>
        <v>287896</v>
      </c>
      <c r="W38" s="199">
        <f t="shared" si="30"/>
        <v>200000</v>
      </c>
      <c r="X38" s="201">
        <f t="shared" si="22"/>
        <v>3006989</v>
      </c>
      <c r="Y38" s="204">
        <f t="shared" si="23"/>
        <v>116967</v>
      </c>
      <c r="Z38" s="204">
        <f t="shared" si="1"/>
        <v>250572</v>
      </c>
      <c r="AA38" s="204">
        <f t="shared" si="2"/>
        <v>250572</v>
      </c>
      <c r="AB38" s="204">
        <f t="shared" si="3"/>
        <v>30070</v>
      </c>
      <c r="AC38" s="204">
        <f t="shared" si="24"/>
        <v>0</v>
      </c>
      <c r="AD38" s="204">
        <f t="shared" si="25"/>
        <v>336839</v>
      </c>
      <c r="AE38" s="203">
        <v>4.3499999999999997E-2</v>
      </c>
      <c r="AF38" s="202">
        <f t="shared" si="18"/>
        <v>122104</v>
      </c>
      <c r="AG38" s="204">
        <f t="shared" si="26"/>
        <v>0</v>
      </c>
      <c r="AH38" s="204">
        <f t="shared" si="27"/>
        <v>0</v>
      </c>
      <c r="AI38" s="204">
        <f t="shared" si="19"/>
        <v>112280</v>
      </c>
      <c r="AJ38" s="209">
        <f t="shared" si="28"/>
        <v>4226393</v>
      </c>
      <c r="AK38" s="209">
        <f t="shared" si="9"/>
        <v>338111</v>
      </c>
      <c r="AL38" s="209">
        <f t="shared" si="10"/>
        <v>4564504</v>
      </c>
      <c r="AM38" s="210">
        <f t="shared" si="29"/>
        <v>80301</v>
      </c>
      <c r="AN38" s="209">
        <f t="shared" si="11"/>
        <v>4644805</v>
      </c>
      <c r="AO38" s="205" t="s">
        <v>13</v>
      </c>
      <c r="AP38" s="467" t="s">
        <v>168</v>
      </c>
    </row>
    <row r="39" spans="1:42" s="457" customFormat="1" ht="24.95" customHeight="1">
      <c r="A39" s="465" t="s">
        <v>171</v>
      </c>
      <c r="B39" s="461" t="s">
        <v>172</v>
      </c>
      <c r="C39" s="460">
        <v>39215945</v>
      </c>
      <c r="D39" s="461" t="s">
        <v>617</v>
      </c>
      <c r="E39" s="466">
        <v>1</v>
      </c>
      <c r="F39" s="207">
        <v>2199208</v>
      </c>
      <c r="G39" s="208"/>
      <c r="H39" s="463">
        <v>30</v>
      </c>
      <c r="I39" s="463">
        <v>0</v>
      </c>
      <c r="J39" s="463">
        <v>0</v>
      </c>
      <c r="K39" s="463">
        <v>0</v>
      </c>
      <c r="L39" s="463">
        <v>40</v>
      </c>
      <c r="M39" s="463">
        <v>16</v>
      </c>
      <c r="N39" s="463">
        <v>30</v>
      </c>
      <c r="O39" s="463">
        <v>0</v>
      </c>
      <c r="P39" s="198">
        <f t="shared" si="21"/>
        <v>2199208</v>
      </c>
      <c r="Q39" s="199">
        <f t="shared" si="12"/>
        <v>0</v>
      </c>
      <c r="R39" s="199">
        <f t="shared" si="13"/>
        <v>0</v>
      </c>
      <c r="S39" s="200">
        <f t="shared" si="14"/>
        <v>0</v>
      </c>
      <c r="T39" s="199">
        <f t="shared" si="15"/>
        <v>0</v>
      </c>
      <c r="U39" s="199">
        <f t="shared" si="16"/>
        <v>319885</v>
      </c>
      <c r="V39" s="199">
        <f t="shared" si="17"/>
        <v>287896</v>
      </c>
      <c r="W39" s="199">
        <f t="shared" si="30"/>
        <v>200000</v>
      </c>
      <c r="X39" s="201">
        <f t="shared" si="22"/>
        <v>3006989</v>
      </c>
      <c r="Y39" s="204">
        <f t="shared" si="23"/>
        <v>116967</v>
      </c>
      <c r="Z39" s="204">
        <f t="shared" si="1"/>
        <v>250572</v>
      </c>
      <c r="AA39" s="204">
        <f t="shared" si="2"/>
        <v>250572</v>
      </c>
      <c r="AB39" s="204">
        <f t="shared" si="3"/>
        <v>30070</v>
      </c>
      <c r="AC39" s="204">
        <f t="shared" si="24"/>
        <v>0</v>
      </c>
      <c r="AD39" s="204">
        <f t="shared" si="25"/>
        <v>336839</v>
      </c>
      <c r="AE39" s="203">
        <v>4.3499999999999997E-2</v>
      </c>
      <c r="AF39" s="202">
        <f t="shared" si="18"/>
        <v>122104</v>
      </c>
      <c r="AG39" s="204">
        <f t="shared" si="26"/>
        <v>0</v>
      </c>
      <c r="AH39" s="204">
        <f t="shared" si="27"/>
        <v>0</v>
      </c>
      <c r="AI39" s="204">
        <f t="shared" si="19"/>
        <v>112280</v>
      </c>
      <c r="AJ39" s="209">
        <f t="shared" si="28"/>
        <v>4226393</v>
      </c>
      <c r="AK39" s="209">
        <f t="shared" si="9"/>
        <v>338111</v>
      </c>
      <c r="AL39" s="209">
        <f t="shared" si="10"/>
        <v>4564504</v>
      </c>
      <c r="AM39" s="210">
        <f t="shared" si="29"/>
        <v>80301</v>
      </c>
      <c r="AN39" s="209">
        <f t="shared" si="11"/>
        <v>4644805</v>
      </c>
      <c r="AO39" s="205" t="s">
        <v>13</v>
      </c>
      <c r="AP39" s="467" t="s">
        <v>168</v>
      </c>
    </row>
    <row r="40" spans="1:42" s="457" customFormat="1" ht="24.95" customHeight="1">
      <c r="A40" s="465" t="s">
        <v>171</v>
      </c>
      <c r="B40" s="461" t="s">
        <v>172</v>
      </c>
      <c r="C40" s="460">
        <v>70142634</v>
      </c>
      <c r="D40" s="461" t="s">
        <v>618</v>
      </c>
      <c r="E40" s="466">
        <v>1</v>
      </c>
      <c r="F40" s="207">
        <v>2199208</v>
      </c>
      <c r="G40" s="208"/>
      <c r="H40" s="463">
        <v>30</v>
      </c>
      <c r="I40" s="463">
        <v>0</v>
      </c>
      <c r="J40" s="463">
        <v>0</v>
      </c>
      <c r="K40" s="463">
        <v>0</v>
      </c>
      <c r="L40" s="463">
        <v>40</v>
      </c>
      <c r="M40" s="463">
        <v>16</v>
      </c>
      <c r="N40" s="463">
        <v>30</v>
      </c>
      <c r="O40" s="463">
        <v>0</v>
      </c>
      <c r="P40" s="198">
        <f t="shared" si="21"/>
        <v>2199208</v>
      </c>
      <c r="Q40" s="199">
        <f t="shared" si="12"/>
        <v>0</v>
      </c>
      <c r="R40" s="199">
        <f t="shared" si="13"/>
        <v>0</v>
      </c>
      <c r="S40" s="200">
        <f t="shared" si="14"/>
        <v>0</v>
      </c>
      <c r="T40" s="199">
        <f t="shared" si="15"/>
        <v>0</v>
      </c>
      <c r="U40" s="199">
        <f t="shared" si="16"/>
        <v>319885</v>
      </c>
      <c r="V40" s="199">
        <f t="shared" si="17"/>
        <v>287896</v>
      </c>
      <c r="W40" s="199">
        <f t="shared" si="30"/>
        <v>200000</v>
      </c>
      <c r="X40" s="201">
        <f t="shared" si="22"/>
        <v>3006989</v>
      </c>
      <c r="Y40" s="204">
        <f t="shared" si="23"/>
        <v>116967</v>
      </c>
      <c r="Z40" s="204">
        <f t="shared" si="1"/>
        <v>250572</v>
      </c>
      <c r="AA40" s="204">
        <f t="shared" si="2"/>
        <v>250572</v>
      </c>
      <c r="AB40" s="204">
        <f t="shared" si="3"/>
        <v>30070</v>
      </c>
      <c r="AC40" s="204">
        <f t="shared" si="24"/>
        <v>0</v>
      </c>
      <c r="AD40" s="204">
        <f t="shared" si="25"/>
        <v>336839</v>
      </c>
      <c r="AE40" s="203">
        <v>4.3499999999999997E-2</v>
      </c>
      <c r="AF40" s="202">
        <f>IFERROR(ROUND((X40-SUM(Q40:S40)-W40)*AE40,0),"")</f>
        <v>122104</v>
      </c>
      <c r="AG40" s="204">
        <f t="shared" si="26"/>
        <v>0</v>
      </c>
      <c r="AH40" s="204">
        <f t="shared" si="27"/>
        <v>0</v>
      </c>
      <c r="AI40" s="204">
        <f t="shared" si="19"/>
        <v>112280</v>
      </c>
      <c r="AJ40" s="209">
        <f t="shared" si="28"/>
        <v>4226393</v>
      </c>
      <c r="AK40" s="209">
        <f t="shared" si="9"/>
        <v>338111</v>
      </c>
      <c r="AL40" s="209">
        <f t="shared" si="10"/>
        <v>4564504</v>
      </c>
      <c r="AM40" s="210">
        <f t="shared" si="29"/>
        <v>80301</v>
      </c>
      <c r="AN40" s="209">
        <f t="shared" si="11"/>
        <v>4644805</v>
      </c>
      <c r="AO40" s="205" t="s">
        <v>13</v>
      </c>
      <c r="AP40" s="467" t="s">
        <v>168</v>
      </c>
    </row>
    <row r="41" spans="1:42" s="457" customFormat="1" ht="24.95" customHeight="1">
      <c r="A41" s="465" t="s">
        <v>173</v>
      </c>
      <c r="B41" s="461" t="s">
        <v>174</v>
      </c>
      <c r="C41" s="460">
        <v>1017178437</v>
      </c>
      <c r="D41" s="461" t="s">
        <v>619</v>
      </c>
      <c r="E41" s="466">
        <v>1</v>
      </c>
      <c r="F41" s="207">
        <v>1832465</v>
      </c>
      <c r="G41" s="208"/>
      <c r="H41" s="463">
        <v>30</v>
      </c>
      <c r="I41" s="463">
        <v>0</v>
      </c>
      <c r="J41" s="463">
        <v>0</v>
      </c>
      <c r="K41" s="463">
        <v>0</v>
      </c>
      <c r="L41" s="463">
        <v>40</v>
      </c>
      <c r="M41" s="463">
        <v>16</v>
      </c>
      <c r="N41" s="463">
        <v>30</v>
      </c>
      <c r="O41" s="463">
        <v>0</v>
      </c>
      <c r="P41" s="198">
        <f t="shared" si="21"/>
        <v>1832465</v>
      </c>
      <c r="Q41" s="199">
        <f t="shared" si="12"/>
        <v>0</v>
      </c>
      <c r="R41" s="199">
        <f t="shared" si="13"/>
        <v>0</v>
      </c>
      <c r="S41" s="200">
        <f t="shared" si="14"/>
        <v>0</v>
      </c>
      <c r="T41" s="199">
        <f t="shared" si="15"/>
        <v>0</v>
      </c>
      <c r="U41" s="199">
        <f t="shared" si="16"/>
        <v>266540</v>
      </c>
      <c r="V41" s="199">
        <f>IFERROR(ROUND((F41/220)*$V$8*(M41),0),"")</f>
        <v>239886</v>
      </c>
      <c r="W41" s="199">
        <f t="shared" si="30"/>
        <v>200000</v>
      </c>
      <c r="X41" s="201">
        <f t="shared" si="22"/>
        <v>2538891</v>
      </c>
      <c r="Y41" s="204">
        <f t="shared" si="23"/>
        <v>97462</v>
      </c>
      <c r="Z41" s="204">
        <f t="shared" si="1"/>
        <v>211566</v>
      </c>
      <c r="AA41" s="204">
        <f t="shared" si="2"/>
        <v>211566</v>
      </c>
      <c r="AB41" s="204">
        <f t="shared" si="3"/>
        <v>25389</v>
      </c>
      <c r="AC41" s="204">
        <f t="shared" si="24"/>
        <v>0</v>
      </c>
      <c r="AD41" s="204">
        <f t="shared" si="25"/>
        <v>280667</v>
      </c>
      <c r="AE41" s="203">
        <v>4.3499999999999997E-2</v>
      </c>
      <c r="AF41" s="202">
        <f t="shared" si="18"/>
        <v>101742</v>
      </c>
      <c r="AG41" s="204">
        <f t="shared" si="26"/>
        <v>0</v>
      </c>
      <c r="AH41" s="204">
        <f t="shared" si="27"/>
        <v>0</v>
      </c>
      <c r="AI41" s="204">
        <f t="shared" si="19"/>
        <v>93556</v>
      </c>
      <c r="AJ41" s="209">
        <f t="shared" si="28"/>
        <v>3560839</v>
      </c>
      <c r="AK41" s="209">
        <f t="shared" si="9"/>
        <v>284867</v>
      </c>
      <c r="AL41" s="209">
        <f t="shared" si="10"/>
        <v>3845706</v>
      </c>
      <c r="AM41" s="210">
        <f t="shared" si="29"/>
        <v>67656</v>
      </c>
      <c r="AN41" s="209">
        <f t="shared" si="11"/>
        <v>3913362</v>
      </c>
      <c r="AO41" s="205" t="s">
        <v>13</v>
      </c>
      <c r="AP41" s="467" t="s">
        <v>168</v>
      </c>
    </row>
    <row r="42" spans="1:42" s="457" customFormat="1" ht="24.95" customHeight="1">
      <c r="A42" s="465" t="s">
        <v>175</v>
      </c>
      <c r="B42" s="461" t="s">
        <v>176</v>
      </c>
      <c r="C42" s="460">
        <v>72002230</v>
      </c>
      <c r="D42" s="461" t="s">
        <v>530</v>
      </c>
      <c r="E42" s="466">
        <v>1</v>
      </c>
      <c r="F42" s="207">
        <v>2617190</v>
      </c>
      <c r="G42" s="208"/>
      <c r="H42" s="463">
        <v>30</v>
      </c>
      <c r="I42" s="463">
        <v>0</v>
      </c>
      <c r="J42" s="463">
        <v>0</v>
      </c>
      <c r="K42" s="463">
        <v>0</v>
      </c>
      <c r="L42" s="463">
        <v>40</v>
      </c>
      <c r="M42" s="463">
        <v>16</v>
      </c>
      <c r="N42" s="463">
        <v>30</v>
      </c>
      <c r="O42" s="463">
        <v>0</v>
      </c>
      <c r="P42" s="198">
        <f t="shared" si="21"/>
        <v>2617190</v>
      </c>
      <c r="Q42" s="199">
        <f t="shared" si="12"/>
        <v>0</v>
      </c>
      <c r="R42" s="199">
        <f t="shared" si="13"/>
        <v>0</v>
      </c>
      <c r="S42" s="200">
        <f t="shared" si="14"/>
        <v>0</v>
      </c>
      <c r="T42" s="199">
        <f t="shared" si="15"/>
        <v>0</v>
      </c>
      <c r="U42" s="199">
        <f t="shared" si="16"/>
        <v>380682</v>
      </c>
      <c r="V42" s="199">
        <f t="shared" si="17"/>
        <v>342614</v>
      </c>
      <c r="W42" s="199">
        <f t="shared" si="30"/>
        <v>200000</v>
      </c>
      <c r="X42" s="201">
        <f t="shared" si="22"/>
        <v>3540486</v>
      </c>
      <c r="Y42" s="204">
        <f t="shared" si="23"/>
        <v>139198</v>
      </c>
      <c r="Z42" s="204">
        <f t="shared" si="1"/>
        <v>295029</v>
      </c>
      <c r="AA42" s="204">
        <f t="shared" si="2"/>
        <v>295029</v>
      </c>
      <c r="AB42" s="204">
        <f t="shared" si="3"/>
        <v>35405</v>
      </c>
      <c r="AC42" s="204">
        <f t="shared" si="24"/>
        <v>0</v>
      </c>
      <c r="AD42" s="204">
        <f t="shared" si="25"/>
        <v>400858</v>
      </c>
      <c r="AE42" s="203">
        <v>1.044E-2</v>
      </c>
      <c r="AF42" s="202">
        <f t="shared" si="18"/>
        <v>34875</v>
      </c>
      <c r="AG42" s="204">
        <f t="shared" si="26"/>
        <v>0</v>
      </c>
      <c r="AH42" s="204">
        <f t="shared" si="27"/>
        <v>0</v>
      </c>
      <c r="AI42" s="204">
        <f t="shared" si="19"/>
        <v>133619</v>
      </c>
      <c r="AJ42" s="209">
        <f t="shared" si="28"/>
        <v>4874499</v>
      </c>
      <c r="AK42" s="209">
        <f t="shared" si="9"/>
        <v>389960</v>
      </c>
      <c r="AL42" s="209">
        <f t="shared" si="10"/>
        <v>5264459</v>
      </c>
      <c r="AM42" s="210">
        <f t="shared" si="29"/>
        <v>92615</v>
      </c>
      <c r="AN42" s="209">
        <f t="shared" si="11"/>
        <v>5357074</v>
      </c>
      <c r="AO42" s="205" t="s">
        <v>13</v>
      </c>
      <c r="AP42" s="467" t="s">
        <v>168</v>
      </c>
    </row>
    <row r="43" spans="1:42" s="457" customFormat="1" ht="12">
      <c r="A43" s="465" t="s">
        <v>177</v>
      </c>
      <c r="B43" s="461" t="s">
        <v>178</v>
      </c>
      <c r="C43" s="460"/>
      <c r="D43" s="461"/>
      <c r="E43" s="466">
        <v>0</v>
      </c>
      <c r="F43" s="207">
        <v>1558733</v>
      </c>
      <c r="G43" s="208"/>
      <c r="H43" s="463"/>
      <c r="I43" s="463"/>
      <c r="J43" s="463"/>
      <c r="K43" s="463"/>
      <c r="L43" s="463"/>
      <c r="M43" s="463"/>
      <c r="N43" s="463"/>
      <c r="O43" s="463"/>
      <c r="P43" s="198">
        <f t="shared" si="21"/>
        <v>0</v>
      </c>
      <c r="Q43" s="199" t="str">
        <f>IF(E43=0,"",IF(I43="",0,IF(I43&lt;=4,ROUND(F43/30*I43,0),"REVISAR")))</f>
        <v/>
      </c>
      <c r="R43" s="199" t="str">
        <f t="shared" si="13"/>
        <v/>
      </c>
      <c r="S43" s="200" t="str">
        <f t="shared" si="14"/>
        <v/>
      </c>
      <c r="T43" s="199" t="str">
        <f t="shared" si="15"/>
        <v/>
      </c>
      <c r="U43" s="199">
        <f t="shared" si="16"/>
        <v>0</v>
      </c>
      <c r="V43" s="199">
        <f t="shared" si="17"/>
        <v>0</v>
      </c>
      <c r="W43" s="199" t="str">
        <f t="shared" si="30"/>
        <v/>
      </c>
      <c r="X43" s="201">
        <f t="shared" si="22"/>
        <v>0</v>
      </c>
      <c r="Y43" s="204">
        <v>0</v>
      </c>
      <c r="Z43" s="204">
        <f t="shared" si="1"/>
        <v>0</v>
      </c>
      <c r="AA43" s="204">
        <f t="shared" si="2"/>
        <v>0</v>
      </c>
      <c r="AB43" s="204">
        <f t="shared" si="3"/>
        <v>0</v>
      </c>
      <c r="AC43" s="204">
        <v>0</v>
      </c>
      <c r="AD43" s="204">
        <v>0</v>
      </c>
      <c r="AE43" s="203">
        <v>1.044E-2</v>
      </c>
      <c r="AF43" s="202" t="str">
        <f t="shared" si="18"/>
        <v/>
      </c>
      <c r="AG43" s="204">
        <v>0</v>
      </c>
      <c r="AH43" s="204">
        <v>0</v>
      </c>
      <c r="AI43" s="204" t="str">
        <f t="shared" si="19"/>
        <v/>
      </c>
      <c r="AJ43" s="209">
        <v>0</v>
      </c>
      <c r="AK43" s="209">
        <f t="shared" si="9"/>
        <v>0</v>
      </c>
      <c r="AL43" s="209">
        <f t="shared" si="10"/>
        <v>0</v>
      </c>
      <c r="AM43" s="210">
        <f t="shared" si="29"/>
        <v>0</v>
      </c>
      <c r="AN43" s="209">
        <f t="shared" si="11"/>
        <v>0</v>
      </c>
      <c r="AO43" s="205" t="s">
        <v>13</v>
      </c>
      <c r="AP43" s="467" t="s">
        <v>168</v>
      </c>
    </row>
    <row r="44" spans="1:42" s="457" customFormat="1" ht="24.95" customHeight="1">
      <c r="A44" s="465" t="s">
        <v>177</v>
      </c>
      <c r="B44" s="461" t="s">
        <v>178</v>
      </c>
      <c r="C44" s="460">
        <v>1007526445</v>
      </c>
      <c r="D44" s="468" t="s">
        <v>544</v>
      </c>
      <c r="E44" s="466">
        <v>1</v>
      </c>
      <c r="F44" s="207">
        <v>1558733</v>
      </c>
      <c r="G44" s="208"/>
      <c r="H44" s="463">
        <v>30</v>
      </c>
      <c r="I44" s="463">
        <v>0</v>
      </c>
      <c r="J44" s="463">
        <v>0</v>
      </c>
      <c r="K44" s="463">
        <v>0</v>
      </c>
      <c r="L44" s="463">
        <v>40</v>
      </c>
      <c r="M44" s="463">
        <v>16</v>
      </c>
      <c r="N44" s="463">
        <v>30</v>
      </c>
      <c r="O44" s="463">
        <v>0</v>
      </c>
      <c r="P44" s="198">
        <f t="shared" si="21"/>
        <v>1558733</v>
      </c>
      <c r="Q44" s="199">
        <f t="shared" si="12"/>
        <v>0</v>
      </c>
      <c r="R44" s="199">
        <f t="shared" si="13"/>
        <v>0</v>
      </c>
      <c r="S44" s="200">
        <f t="shared" si="14"/>
        <v>0</v>
      </c>
      <c r="T44" s="199">
        <f t="shared" si="15"/>
        <v>0</v>
      </c>
      <c r="U44" s="199">
        <f t="shared" si="16"/>
        <v>226725</v>
      </c>
      <c r="V44" s="199">
        <f t="shared" si="17"/>
        <v>204052</v>
      </c>
      <c r="W44" s="199">
        <f t="shared" si="30"/>
        <v>200000</v>
      </c>
      <c r="X44" s="201">
        <f t="shared" si="22"/>
        <v>2189510</v>
      </c>
      <c r="Y44" s="204">
        <f t="shared" ref="Y44:Y53" si="31">ROUND((X44-W44)*$Y$8,0)</f>
        <v>82903</v>
      </c>
      <c r="Z44" s="204">
        <f t="shared" si="1"/>
        <v>182452</v>
      </c>
      <c r="AA44" s="204">
        <f t="shared" si="2"/>
        <v>182452</v>
      </c>
      <c r="AB44" s="204">
        <f t="shared" si="3"/>
        <v>21895</v>
      </c>
      <c r="AC44" s="204">
        <f t="shared" ref="AC44:AC53" si="32">ROUND((X44-W44)*$AC$8,0)</f>
        <v>0</v>
      </c>
      <c r="AD44" s="204">
        <f t="shared" ref="AD44:AD53" si="33">ROUND((X44-W44)*$AD$8,0)</f>
        <v>238741</v>
      </c>
      <c r="AE44" s="203">
        <v>1.044E-2</v>
      </c>
      <c r="AF44" s="202">
        <f t="shared" si="18"/>
        <v>20770</v>
      </c>
      <c r="AG44" s="204">
        <f t="shared" ref="AG44:AG53" si="34">ROUND((X44-W44)*$AG$8,0)</f>
        <v>0</v>
      </c>
      <c r="AH44" s="204">
        <f t="shared" ref="AH44:AH53" si="35">ROUND((X44-W44)*$AH$8,0)</f>
        <v>0</v>
      </c>
      <c r="AI44" s="204">
        <f t="shared" si="19"/>
        <v>79580</v>
      </c>
      <c r="AJ44" s="209">
        <f t="shared" ref="AJ44:AJ53" si="36">+X44+Y44+Z44+AA44+AB44+AC44+AD44+AF44+AG44+AH44+AI44</f>
        <v>2998303</v>
      </c>
      <c r="AK44" s="209">
        <f t="shared" si="9"/>
        <v>239864</v>
      </c>
      <c r="AL44" s="209">
        <f t="shared" si="10"/>
        <v>3238167</v>
      </c>
      <c r="AM44" s="210">
        <f t="shared" si="29"/>
        <v>56968</v>
      </c>
      <c r="AN44" s="209">
        <f t="shared" si="11"/>
        <v>3295135</v>
      </c>
      <c r="AO44" s="205" t="s">
        <v>13</v>
      </c>
      <c r="AP44" s="467" t="s">
        <v>168</v>
      </c>
    </row>
    <row r="45" spans="1:42" s="457" customFormat="1" ht="24.95" customHeight="1">
      <c r="A45" s="465" t="s">
        <v>177</v>
      </c>
      <c r="B45" s="461" t="s">
        <v>178</v>
      </c>
      <c r="C45" s="494">
        <v>1035860980</v>
      </c>
      <c r="D45" s="468" t="s">
        <v>620</v>
      </c>
      <c r="E45" s="466">
        <v>1</v>
      </c>
      <c r="F45" s="207">
        <v>1558733</v>
      </c>
      <c r="G45" s="208">
        <v>2</v>
      </c>
      <c r="H45" s="463">
        <v>28</v>
      </c>
      <c r="I45" s="463">
        <v>2</v>
      </c>
      <c r="J45" s="463">
        <v>0</v>
      </c>
      <c r="K45" s="463">
        <v>0</v>
      </c>
      <c r="L45" s="463">
        <v>40</v>
      </c>
      <c r="M45" s="463">
        <v>16</v>
      </c>
      <c r="N45" s="463">
        <v>28</v>
      </c>
      <c r="O45" s="463">
        <v>0</v>
      </c>
      <c r="P45" s="198">
        <f t="shared" si="21"/>
        <v>1454817</v>
      </c>
      <c r="Q45" s="199">
        <f t="shared" si="12"/>
        <v>103916</v>
      </c>
      <c r="R45" s="199">
        <f t="shared" si="13"/>
        <v>0</v>
      </c>
      <c r="S45" s="200">
        <f t="shared" si="14"/>
        <v>0</v>
      </c>
      <c r="T45" s="199">
        <f t="shared" si="15"/>
        <v>0</v>
      </c>
      <c r="U45" s="199">
        <f t="shared" si="16"/>
        <v>226725</v>
      </c>
      <c r="V45" s="199">
        <f t="shared" si="17"/>
        <v>204052</v>
      </c>
      <c r="W45" s="199">
        <f t="shared" si="30"/>
        <v>186666.66666666669</v>
      </c>
      <c r="X45" s="201">
        <f t="shared" si="22"/>
        <v>2176176.6666666665</v>
      </c>
      <c r="Y45" s="204">
        <f t="shared" si="31"/>
        <v>82903</v>
      </c>
      <c r="Z45" s="204">
        <f t="shared" si="1"/>
        <v>181341</v>
      </c>
      <c r="AA45" s="204">
        <f t="shared" si="2"/>
        <v>181341</v>
      </c>
      <c r="AB45" s="204">
        <f t="shared" si="3"/>
        <v>21762</v>
      </c>
      <c r="AC45" s="204">
        <f t="shared" si="32"/>
        <v>0</v>
      </c>
      <c r="AD45" s="204">
        <f t="shared" si="33"/>
        <v>238741</v>
      </c>
      <c r="AE45" s="203">
        <v>1.044E-2</v>
      </c>
      <c r="AF45" s="202">
        <f>IFERROR(ROUND((X45-SUM(Q45:S45)-W45)*AE45,0),"")</f>
        <v>19686</v>
      </c>
      <c r="AG45" s="204">
        <f t="shared" si="34"/>
        <v>0</v>
      </c>
      <c r="AH45" s="204">
        <f t="shared" si="35"/>
        <v>0</v>
      </c>
      <c r="AI45" s="204">
        <f t="shared" si="19"/>
        <v>75424</v>
      </c>
      <c r="AJ45" s="209">
        <f t="shared" si="36"/>
        <v>2977374.6666666665</v>
      </c>
      <c r="AK45" s="209">
        <f t="shared" si="9"/>
        <v>238190</v>
      </c>
      <c r="AL45" s="209">
        <f t="shared" si="10"/>
        <v>3215564.6666666665</v>
      </c>
      <c r="AM45" s="210">
        <f t="shared" si="29"/>
        <v>56570</v>
      </c>
      <c r="AN45" s="209">
        <f t="shared" si="11"/>
        <v>3272134.6666666665</v>
      </c>
      <c r="AO45" s="205" t="s">
        <v>13</v>
      </c>
      <c r="AP45" s="467" t="s">
        <v>168</v>
      </c>
    </row>
    <row r="46" spans="1:42" s="457" customFormat="1" ht="24.95" customHeight="1">
      <c r="A46" s="465" t="s">
        <v>177</v>
      </c>
      <c r="B46" s="461" t="s">
        <v>178</v>
      </c>
      <c r="C46" s="460">
        <v>1067879174</v>
      </c>
      <c r="D46" s="468" t="s">
        <v>621</v>
      </c>
      <c r="E46" s="466">
        <v>1</v>
      </c>
      <c r="F46" s="207">
        <v>1558733</v>
      </c>
      <c r="G46" s="208"/>
      <c r="H46" s="463">
        <v>30</v>
      </c>
      <c r="I46" s="463">
        <v>0</v>
      </c>
      <c r="J46" s="463">
        <v>0</v>
      </c>
      <c r="K46" s="463">
        <v>0</v>
      </c>
      <c r="L46" s="463">
        <v>40</v>
      </c>
      <c r="M46" s="463">
        <v>16</v>
      </c>
      <c r="N46" s="463">
        <v>30</v>
      </c>
      <c r="O46" s="463">
        <v>0</v>
      </c>
      <c r="P46" s="198">
        <f t="shared" si="21"/>
        <v>1558733</v>
      </c>
      <c r="Q46" s="199">
        <f>IF(E46=0,"",IF(I46="",0,IF(I46&lt;=2,ROUND(F46/30*I46,0),"REVISAR")))</f>
        <v>0</v>
      </c>
      <c r="R46" s="199">
        <f t="shared" si="13"/>
        <v>0</v>
      </c>
      <c r="S46" s="200">
        <f t="shared" si="14"/>
        <v>0</v>
      </c>
      <c r="T46" s="199">
        <f t="shared" si="15"/>
        <v>0</v>
      </c>
      <c r="U46" s="199">
        <f t="shared" si="16"/>
        <v>226725</v>
      </c>
      <c r="V46" s="199">
        <f t="shared" si="17"/>
        <v>204052</v>
      </c>
      <c r="W46" s="199">
        <f t="shared" si="30"/>
        <v>200000</v>
      </c>
      <c r="X46" s="201">
        <f t="shared" si="22"/>
        <v>2189510</v>
      </c>
      <c r="Y46" s="204">
        <f t="shared" si="31"/>
        <v>82903</v>
      </c>
      <c r="Z46" s="204">
        <f t="shared" si="1"/>
        <v>182452</v>
      </c>
      <c r="AA46" s="204">
        <f t="shared" si="2"/>
        <v>182452</v>
      </c>
      <c r="AB46" s="204">
        <f t="shared" si="3"/>
        <v>21895</v>
      </c>
      <c r="AC46" s="204">
        <f t="shared" si="32"/>
        <v>0</v>
      </c>
      <c r="AD46" s="204">
        <f t="shared" si="33"/>
        <v>238741</v>
      </c>
      <c r="AE46" s="203">
        <v>1.044E-2</v>
      </c>
      <c r="AF46" s="202">
        <f t="shared" si="18"/>
        <v>20770</v>
      </c>
      <c r="AG46" s="204">
        <f t="shared" si="34"/>
        <v>0</v>
      </c>
      <c r="AH46" s="204">
        <f t="shared" si="35"/>
        <v>0</v>
      </c>
      <c r="AI46" s="204">
        <f t="shared" si="19"/>
        <v>79580</v>
      </c>
      <c r="AJ46" s="209">
        <f t="shared" si="36"/>
        <v>2998303</v>
      </c>
      <c r="AK46" s="209">
        <f t="shared" si="9"/>
        <v>239864</v>
      </c>
      <c r="AL46" s="209">
        <f t="shared" si="10"/>
        <v>3238167</v>
      </c>
      <c r="AM46" s="210">
        <f t="shared" si="29"/>
        <v>56968</v>
      </c>
      <c r="AN46" s="209">
        <f t="shared" si="11"/>
        <v>3295135</v>
      </c>
      <c r="AO46" s="205" t="s">
        <v>13</v>
      </c>
      <c r="AP46" s="467" t="s">
        <v>168</v>
      </c>
    </row>
    <row r="47" spans="1:42" s="457" customFormat="1" ht="24.95" customHeight="1">
      <c r="A47" s="465" t="s">
        <v>177</v>
      </c>
      <c r="B47" s="461" t="s">
        <v>178</v>
      </c>
      <c r="C47" s="460">
        <v>1193138309</v>
      </c>
      <c r="D47" s="468" t="s">
        <v>537</v>
      </c>
      <c r="E47" s="466">
        <v>1</v>
      </c>
      <c r="F47" s="207">
        <v>1558733</v>
      </c>
      <c r="G47" s="208"/>
      <c r="H47" s="463">
        <v>30</v>
      </c>
      <c r="I47" s="463">
        <v>0</v>
      </c>
      <c r="J47" s="463">
        <v>0</v>
      </c>
      <c r="K47" s="463">
        <v>0</v>
      </c>
      <c r="L47" s="463">
        <v>16</v>
      </c>
      <c r="M47" s="463">
        <v>16</v>
      </c>
      <c r="N47" s="463">
        <v>30</v>
      </c>
      <c r="O47" s="463">
        <v>0</v>
      </c>
      <c r="P47" s="198">
        <f t="shared" si="21"/>
        <v>1558733</v>
      </c>
      <c r="Q47" s="199">
        <f t="shared" si="12"/>
        <v>0</v>
      </c>
      <c r="R47" s="199">
        <f t="shared" si="13"/>
        <v>0</v>
      </c>
      <c r="S47" s="200">
        <f t="shared" si="14"/>
        <v>0</v>
      </c>
      <c r="T47" s="199">
        <f t="shared" si="15"/>
        <v>0</v>
      </c>
      <c r="U47" s="199">
        <f t="shared" si="16"/>
        <v>90690</v>
      </c>
      <c r="V47" s="199">
        <f t="shared" si="17"/>
        <v>204052</v>
      </c>
      <c r="W47" s="199">
        <f t="shared" si="30"/>
        <v>200000</v>
      </c>
      <c r="X47" s="201">
        <f t="shared" si="22"/>
        <v>2053475</v>
      </c>
      <c r="Y47" s="204">
        <f t="shared" si="31"/>
        <v>77234</v>
      </c>
      <c r="Z47" s="204">
        <f t="shared" si="1"/>
        <v>171116</v>
      </c>
      <c r="AA47" s="204">
        <f t="shared" si="2"/>
        <v>171116</v>
      </c>
      <c r="AB47" s="204">
        <f t="shared" si="3"/>
        <v>20535</v>
      </c>
      <c r="AC47" s="204">
        <f t="shared" si="32"/>
        <v>0</v>
      </c>
      <c r="AD47" s="204">
        <f t="shared" si="33"/>
        <v>222417</v>
      </c>
      <c r="AE47" s="203">
        <v>1.044E-2</v>
      </c>
      <c r="AF47" s="202">
        <f t="shared" si="18"/>
        <v>19350</v>
      </c>
      <c r="AG47" s="204">
        <f t="shared" si="34"/>
        <v>0</v>
      </c>
      <c r="AH47" s="204">
        <f t="shared" si="35"/>
        <v>0</v>
      </c>
      <c r="AI47" s="204">
        <f t="shared" si="19"/>
        <v>74139</v>
      </c>
      <c r="AJ47" s="209">
        <f t="shared" si="36"/>
        <v>2809382</v>
      </c>
      <c r="AK47" s="209">
        <f t="shared" si="9"/>
        <v>224751</v>
      </c>
      <c r="AL47" s="209">
        <f t="shared" si="10"/>
        <v>3034133</v>
      </c>
      <c r="AM47" s="210">
        <f t="shared" si="29"/>
        <v>53378</v>
      </c>
      <c r="AN47" s="209">
        <f t="shared" si="11"/>
        <v>3087511</v>
      </c>
      <c r="AO47" s="205" t="s">
        <v>13</v>
      </c>
      <c r="AP47" s="467" t="s">
        <v>168</v>
      </c>
    </row>
    <row r="48" spans="1:42" s="457" customFormat="1" ht="24.95" customHeight="1">
      <c r="A48" s="465" t="s">
        <v>177</v>
      </c>
      <c r="B48" s="461" t="s">
        <v>178</v>
      </c>
      <c r="C48" s="460">
        <v>15507791</v>
      </c>
      <c r="D48" s="468" t="s">
        <v>622</v>
      </c>
      <c r="E48" s="466">
        <v>1</v>
      </c>
      <c r="F48" s="207">
        <v>1558733</v>
      </c>
      <c r="G48" s="208"/>
      <c r="H48" s="463">
        <v>30</v>
      </c>
      <c r="I48" s="463">
        <v>0</v>
      </c>
      <c r="J48" s="463">
        <v>0</v>
      </c>
      <c r="K48" s="463">
        <v>0</v>
      </c>
      <c r="L48" s="463">
        <v>40</v>
      </c>
      <c r="M48" s="463">
        <v>16</v>
      </c>
      <c r="N48" s="463">
        <v>30</v>
      </c>
      <c r="O48" s="463">
        <v>0</v>
      </c>
      <c r="P48" s="198">
        <f t="shared" si="21"/>
        <v>1558733</v>
      </c>
      <c r="Q48" s="199">
        <f t="shared" si="12"/>
        <v>0</v>
      </c>
      <c r="R48" s="199">
        <f t="shared" si="13"/>
        <v>0</v>
      </c>
      <c r="S48" s="200">
        <f t="shared" si="14"/>
        <v>0</v>
      </c>
      <c r="T48" s="199">
        <f t="shared" si="15"/>
        <v>0</v>
      </c>
      <c r="U48" s="199">
        <f t="shared" si="16"/>
        <v>226725</v>
      </c>
      <c r="V48" s="199">
        <f t="shared" si="17"/>
        <v>204052</v>
      </c>
      <c r="W48" s="199">
        <f t="shared" si="30"/>
        <v>200000</v>
      </c>
      <c r="X48" s="201">
        <f t="shared" si="22"/>
        <v>2189510</v>
      </c>
      <c r="Y48" s="204">
        <f t="shared" si="31"/>
        <v>82903</v>
      </c>
      <c r="Z48" s="204">
        <f t="shared" si="1"/>
        <v>182452</v>
      </c>
      <c r="AA48" s="204">
        <f t="shared" si="2"/>
        <v>182452</v>
      </c>
      <c r="AB48" s="204">
        <f t="shared" si="3"/>
        <v>21895</v>
      </c>
      <c r="AC48" s="204">
        <f t="shared" si="32"/>
        <v>0</v>
      </c>
      <c r="AD48" s="204">
        <f t="shared" si="33"/>
        <v>238741</v>
      </c>
      <c r="AE48" s="203">
        <v>1.044E-2</v>
      </c>
      <c r="AF48" s="202">
        <f t="shared" si="18"/>
        <v>20770</v>
      </c>
      <c r="AG48" s="204">
        <f t="shared" si="34"/>
        <v>0</v>
      </c>
      <c r="AH48" s="204">
        <f t="shared" si="35"/>
        <v>0</v>
      </c>
      <c r="AI48" s="204">
        <f t="shared" si="19"/>
        <v>79580</v>
      </c>
      <c r="AJ48" s="209">
        <f t="shared" si="36"/>
        <v>2998303</v>
      </c>
      <c r="AK48" s="209">
        <f t="shared" si="9"/>
        <v>239864</v>
      </c>
      <c r="AL48" s="209">
        <f t="shared" si="10"/>
        <v>3238167</v>
      </c>
      <c r="AM48" s="210">
        <f t="shared" si="29"/>
        <v>56968</v>
      </c>
      <c r="AN48" s="209">
        <f t="shared" si="11"/>
        <v>3295135</v>
      </c>
      <c r="AO48" s="205" t="s">
        <v>13</v>
      </c>
      <c r="AP48" s="467" t="s">
        <v>168</v>
      </c>
    </row>
    <row r="49" spans="1:42" s="457" customFormat="1" ht="24.95" customHeight="1">
      <c r="A49" s="465" t="s">
        <v>177</v>
      </c>
      <c r="B49" s="461" t="s">
        <v>178</v>
      </c>
      <c r="C49" s="460">
        <v>39354581</v>
      </c>
      <c r="D49" s="468" t="s">
        <v>539</v>
      </c>
      <c r="E49" s="466">
        <v>1</v>
      </c>
      <c r="F49" s="207">
        <v>1558733</v>
      </c>
      <c r="G49" s="208"/>
      <c r="H49" s="463">
        <v>30</v>
      </c>
      <c r="I49" s="463">
        <v>0</v>
      </c>
      <c r="J49" s="463">
        <v>0</v>
      </c>
      <c r="K49" s="463">
        <v>0</v>
      </c>
      <c r="L49" s="463">
        <v>40</v>
      </c>
      <c r="M49" s="463">
        <v>16</v>
      </c>
      <c r="N49" s="463">
        <v>30</v>
      </c>
      <c r="O49" s="463">
        <v>0</v>
      </c>
      <c r="P49" s="198">
        <f t="shared" si="21"/>
        <v>1558733</v>
      </c>
      <c r="Q49" s="199">
        <f t="shared" si="12"/>
        <v>0</v>
      </c>
      <c r="R49" s="199">
        <f t="shared" si="13"/>
        <v>0</v>
      </c>
      <c r="S49" s="200">
        <f t="shared" si="14"/>
        <v>0</v>
      </c>
      <c r="T49" s="199">
        <f t="shared" si="15"/>
        <v>0</v>
      </c>
      <c r="U49" s="199">
        <f t="shared" si="16"/>
        <v>226725</v>
      </c>
      <c r="V49" s="199">
        <f t="shared" si="17"/>
        <v>204052</v>
      </c>
      <c r="W49" s="199">
        <f t="shared" si="30"/>
        <v>200000</v>
      </c>
      <c r="X49" s="201">
        <f t="shared" si="22"/>
        <v>2189510</v>
      </c>
      <c r="Y49" s="204">
        <f t="shared" si="31"/>
        <v>82903</v>
      </c>
      <c r="Z49" s="204">
        <f t="shared" si="1"/>
        <v>182452</v>
      </c>
      <c r="AA49" s="204">
        <f t="shared" si="2"/>
        <v>182452</v>
      </c>
      <c r="AB49" s="204">
        <f t="shared" si="3"/>
        <v>21895</v>
      </c>
      <c r="AC49" s="204">
        <f t="shared" si="32"/>
        <v>0</v>
      </c>
      <c r="AD49" s="204">
        <f t="shared" si="33"/>
        <v>238741</v>
      </c>
      <c r="AE49" s="203">
        <v>1.044E-2</v>
      </c>
      <c r="AF49" s="202">
        <f t="shared" si="18"/>
        <v>20770</v>
      </c>
      <c r="AG49" s="204">
        <f t="shared" si="34"/>
        <v>0</v>
      </c>
      <c r="AH49" s="204">
        <f t="shared" si="35"/>
        <v>0</v>
      </c>
      <c r="AI49" s="204">
        <f t="shared" si="19"/>
        <v>79580</v>
      </c>
      <c r="AJ49" s="209">
        <f t="shared" si="36"/>
        <v>2998303</v>
      </c>
      <c r="AK49" s="209">
        <f t="shared" si="9"/>
        <v>239864</v>
      </c>
      <c r="AL49" s="209">
        <f t="shared" si="10"/>
        <v>3238167</v>
      </c>
      <c r="AM49" s="210">
        <f t="shared" si="29"/>
        <v>56968</v>
      </c>
      <c r="AN49" s="209">
        <f t="shared" si="11"/>
        <v>3295135</v>
      </c>
      <c r="AO49" s="205" t="s">
        <v>13</v>
      </c>
      <c r="AP49" s="467" t="s">
        <v>168</v>
      </c>
    </row>
    <row r="50" spans="1:42" s="457" customFormat="1" ht="24.95" customHeight="1">
      <c r="A50" s="465" t="s">
        <v>177</v>
      </c>
      <c r="B50" s="461" t="s">
        <v>178</v>
      </c>
      <c r="C50" s="494">
        <v>39356068</v>
      </c>
      <c r="D50" s="468" t="s">
        <v>623</v>
      </c>
      <c r="E50" s="466">
        <v>1</v>
      </c>
      <c r="F50" s="207">
        <v>1558733</v>
      </c>
      <c r="G50" s="208">
        <v>2</v>
      </c>
      <c r="H50" s="463">
        <v>28</v>
      </c>
      <c r="I50" s="463">
        <v>2</v>
      </c>
      <c r="J50" s="463">
        <v>0</v>
      </c>
      <c r="K50" s="463">
        <v>0</v>
      </c>
      <c r="L50" s="463">
        <v>32</v>
      </c>
      <c r="M50" s="463">
        <v>16</v>
      </c>
      <c r="N50" s="463">
        <v>28</v>
      </c>
      <c r="O50" s="463">
        <v>0</v>
      </c>
      <c r="P50" s="198">
        <f t="shared" si="21"/>
        <v>1454817</v>
      </c>
      <c r="Q50" s="199">
        <f t="shared" si="12"/>
        <v>103916</v>
      </c>
      <c r="R50" s="199">
        <f>IF(J50="","",IF(J50=0,0,IF(J50&lt;=2,"Revisar",ROUND(F50/30*66.67%*J50,0))))</f>
        <v>0</v>
      </c>
      <c r="S50" s="200">
        <f t="shared" si="14"/>
        <v>0</v>
      </c>
      <c r="T50" s="199">
        <f t="shared" si="15"/>
        <v>0</v>
      </c>
      <c r="U50" s="199">
        <f t="shared" si="16"/>
        <v>181380</v>
      </c>
      <c r="V50" s="199">
        <f t="shared" si="17"/>
        <v>204052</v>
      </c>
      <c r="W50" s="199">
        <f t="shared" si="30"/>
        <v>186666.66666666669</v>
      </c>
      <c r="X50" s="201">
        <f t="shared" si="22"/>
        <v>2130831.6666666665</v>
      </c>
      <c r="Y50" s="204">
        <f t="shared" si="31"/>
        <v>81013</v>
      </c>
      <c r="Z50" s="204">
        <f t="shared" si="1"/>
        <v>177562</v>
      </c>
      <c r="AA50" s="204">
        <f t="shared" si="2"/>
        <v>177562</v>
      </c>
      <c r="AB50" s="204">
        <f t="shared" si="3"/>
        <v>21308</v>
      </c>
      <c r="AC50" s="204">
        <f t="shared" si="32"/>
        <v>0</v>
      </c>
      <c r="AD50" s="204">
        <f t="shared" si="33"/>
        <v>233300</v>
      </c>
      <c r="AE50" s="203">
        <v>1.044E-2</v>
      </c>
      <c r="AF50" s="202">
        <f t="shared" si="18"/>
        <v>19212</v>
      </c>
      <c r="AG50" s="204">
        <f t="shared" si="34"/>
        <v>0</v>
      </c>
      <c r="AH50" s="204">
        <f t="shared" si="35"/>
        <v>0</v>
      </c>
      <c r="AI50" s="204">
        <f t="shared" si="19"/>
        <v>73610</v>
      </c>
      <c r="AJ50" s="209">
        <f t="shared" si="36"/>
        <v>2914398.6666666665</v>
      </c>
      <c r="AK50" s="209">
        <f t="shared" si="9"/>
        <v>233152</v>
      </c>
      <c r="AL50" s="209">
        <f t="shared" si="10"/>
        <v>3147550.6666666665</v>
      </c>
      <c r="AM50" s="210">
        <f t="shared" si="29"/>
        <v>55374</v>
      </c>
      <c r="AN50" s="209">
        <f t="shared" si="11"/>
        <v>3202924.6666666665</v>
      </c>
      <c r="AO50" s="205" t="s">
        <v>13</v>
      </c>
      <c r="AP50" s="467" t="s">
        <v>168</v>
      </c>
    </row>
    <row r="51" spans="1:42" s="457" customFormat="1" ht="24.95" customHeight="1">
      <c r="A51" s="465" t="s">
        <v>177</v>
      </c>
      <c r="B51" s="461" t="s">
        <v>178</v>
      </c>
      <c r="C51" s="460">
        <v>39209813</v>
      </c>
      <c r="D51" s="468" t="s">
        <v>624</v>
      </c>
      <c r="E51" s="466">
        <v>1</v>
      </c>
      <c r="F51" s="207">
        <v>1558733</v>
      </c>
      <c r="G51" s="208"/>
      <c r="H51" s="463">
        <v>30</v>
      </c>
      <c r="I51" s="463">
        <v>0</v>
      </c>
      <c r="J51" s="463">
        <v>0</v>
      </c>
      <c r="K51" s="463">
        <v>0</v>
      </c>
      <c r="L51" s="463">
        <v>40</v>
      </c>
      <c r="M51" s="463">
        <v>8</v>
      </c>
      <c r="N51" s="463">
        <v>30</v>
      </c>
      <c r="O51" s="463">
        <v>0</v>
      </c>
      <c r="P51" s="198">
        <f t="shared" si="21"/>
        <v>1558733</v>
      </c>
      <c r="Q51" s="199">
        <f>IF(E51=0,"",IF(I51="",0,IF(I51&lt;=2,ROUND(F51/30*I51,0),"REVISAR")))</f>
        <v>0</v>
      </c>
      <c r="R51" s="199" t="str">
        <f>IF(J51=0,"",IF(J51&lt;=2,ROUND(F51/30*66.67%*J51,0),ROUND(F51/30*66.67%*J51,0)))</f>
        <v/>
      </c>
      <c r="S51" s="200">
        <f t="shared" si="14"/>
        <v>0</v>
      </c>
      <c r="T51" s="199">
        <f t="shared" si="15"/>
        <v>0</v>
      </c>
      <c r="U51" s="199">
        <f t="shared" si="16"/>
        <v>226725</v>
      </c>
      <c r="V51" s="199">
        <f t="shared" si="17"/>
        <v>102026</v>
      </c>
      <c r="W51" s="199">
        <f t="shared" si="30"/>
        <v>200000</v>
      </c>
      <c r="X51" s="201">
        <f t="shared" si="22"/>
        <v>2087484</v>
      </c>
      <c r="Y51" s="204">
        <f t="shared" si="31"/>
        <v>78651</v>
      </c>
      <c r="Z51" s="204">
        <f t="shared" si="1"/>
        <v>173950</v>
      </c>
      <c r="AA51" s="204">
        <f t="shared" si="2"/>
        <v>173950</v>
      </c>
      <c r="AB51" s="204">
        <f t="shared" si="3"/>
        <v>20875</v>
      </c>
      <c r="AC51" s="204">
        <f t="shared" si="32"/>
        <v>0</v>
      </c>
      <c r="AD51" s="204">
        <f t="shared" si="33"/>
        <v>226498</v>
      </c>
      <c r="AE51" s="203">
        <v>1.044E-2</v>
      </c>
      <c r="AF51" s="202">
        <f t="shared" si="18"/>
        <v>19705</v>
      </c>
      <c r="AG51" s="204">
        <f t="shared" si="34"/>
        <v>0</v>
      </c>
      <c r="AH51" s="204">
        <f t="shared" si="35"/>
        <v>0</v>
      </c>
      <c r="AI51" s="204">
        <f t="shared" si="19"/>
        <v>75499</v>
      </c>
      <c r="AJ51" s="209">
        <f t="shared" si="36"/>
        <v>2856612</v>
      </c>
      <c r="AK51" s="209">
        <f t="shared" si="9"/>
        <v>228529</v>
      </c>
      <c r="AL51" s="209">
        <f t="shared" si="10"/>
        <v>3085141</v>
      </c>
      <c r="AM51" s="210">
        <f t="shared" si="29"/>
        <v>54276</v>
      </c>
      <c r="AN51" s="209">
        <f t="shared" si="11"/>
        <v>3139417</v>
      </c>
      <c r="AO51" s="205" t="s">
        <v>13</v>
      </c>
      <c r="AP51" s="467" t="s">
        <v>168</v>
      </c>
    </row>
    <row r="52" spans="1:42" s="457" customFormat="1" ht="24.95" customHeight="1">
      <c r="A52" s="465" t="s">
        <v>177</v>
      </c>
      <c r="B52" s="461" t="s">
        <v>178</v>
      </c>
      <c r="C52" s="494">
        <v>1035233464</v>
      </c>
      <c r="D52" s="468" t="s">
        <v>625</v>
      </c>
      <c r="E52" s="466">
        <v>1</v>
      </c>
      <c r="F52" s="207">
        <v>1558733</v>
      </c>
      <c r="G52" s="208">
        <v>3</v>
      </c>
      <c r="H52" s="463">
        <v>27</v>
      </c>
      <c r="I52" s="463">
        <v>1</v>
      </c>
      <c r="J52" s="463">
        <v>0</v>
      </c>
      <c r="K52" s="463">
        <v>0</v>
      </c>
      <c r="L52" s="463">
        <v>32</v>
      </c>
      <c r="M52" s="463">
        <v>16</v>
      </c>
      <c r="N52" s="463">
        <v>27</v>
      </c>
      <c r="O52" s="463">
        <v>0</v>
      </c>
      <c r="P52" s="198">
        <f t="shared" si="21"/>
        <v>1402860</v>
      </c>
      <c r="Q52" s="199">
        <f t="shared" si="12"/>
        <v>51958</v>
      </c>
      <c r="R52" s="199">
        <f t="shared" si="13"/>
        <v>0</v>
      </c>
      <c r="S52" s="200">
        <f t="shared" si="14"/>
        <v>0</v>
      </c>
      <c r="T52" s="199">
        <f t="shared" si="15"/>
        <v>0</v>
      </c>
      <c r="U52" s="199">
        <f t="shared" si="16"/>
        <v>181380</v>
      </c>
      <c r="V52" s="199">
        <f t="shared" si="17"/>
        <v>204052</v>
      </c>
      <c r="W52" s="199">
        <f t="shared" si="30"/>
        <v>180000</v>
      </c>
      <c r="X52" s="201">
        <f>SUM(P52:W52)</f>
        <v>2020250</v>
      </c>
      <c r="Y52" s="204">
        <f t="shared" si="31"/>
        <v>76683</v>
      </c>
      <c r="Z52" s="204">
        <f t="shared" si="1"/>
        <v>168347</v>
      </c>
      <c r="AA52" s="204">
        <f t="shared" si="2"/>
        <v>168347</v>
      </c>
      <c r="AB52" s="204">
        <f t="shared" si="3"/>
        <v>20203</v>
      </c>
      <c r="AC52" s="204">
        <f t="shared" si="32"/>
        <v>0</v>
      </c>
      <c r="AD52" s="204">
        <f t="shared" si="33"/>
        <v>220830</v>
      </c>
      <c r="AE52" s="203">
        <v>1.044E-2</v>
      </c>
      <c r="AF52" s="495">
        <f>IFERROR(ROUND((X52-SUM(Q52:S52)-W52)*AE52,0),"")</f>
        <v>18670</v>
      </c>
      <c r="AG52" s="204">
        <f t="shared" si="34"/>
        <v>0</v>
      </c>
      <c r="AH52" s="204">
        <f t="shared" si="35"/>
        <v>0</v>
      </c>
      <c r="AI52" s="204">
        <f t="shared" si="19"/>
        <v>71532</v>
      </c>
      <c r="AJ52" s="209">
        <f t="shared" si="36"/>
        <v>2764862</v>
      </c>
      <c r="AK52" s="209">
        <f t="shared" si="9"/>
        <v>221189</v>
      </c>
      <c r="AL52" s="209">
        <f t="shared" si="10"/>
        <v>2986051</v>
      </c>
      <c r="AM52" s="210">
        <f t="shared" si="29"/>
        <v>52532</v>
      </c>
      <c r="AN52" s="209">
        <f t="shared" si="11"/>
        <v>3038583</v>
      </c>
      <c r="AO52" s="205" t="s">
        <v>13</v>
      </c>
      <c r="AP52" s="467" t="s">
        <v>168</v>
      </c>
    </row>
    <row r="53" spans="1:42" s="457" customFormat="1" ht="22.5">
      <c r="A53" s="465" t="s">
        <v>177</v>
      </c>
      <c r="B53" s="461" t="s">
        <v>178</v>
      </c>
      <c r="C53" s="460">
        <v>1035426772</v>
      </c>
      <c r="D53" s="468" t="s">
        <v>545</v>
      </c>
      <c r="E53" s="466">
        <v>1</v>
      </c>
      <c r="F53" s="207">
        <v>1558733</v>
      </c>
      <c r="G53" s="208"/>
      <c r="H53" s="463">
        <v>30</v>
      </c>
      <c r="I53" s="463">
        <v>0</v>
      </c>
      <c r="J53" s="463">
        <v>0</v>
      </c>
      <c r="K53" s="463">
        <v>0</v>
      </c>
      <c r="L53" s="463">
        <v>32</v>
      </c>
      <c r="M53" s="463">
        <v>8</v>
      </c>
      <c r="N53" s="463">
        <v>30</v>
      </c>
      <c r="O53" s="463">
        <v>0</v>
      </c>
      <c r="P53" s="198">
        <f t="shared" si="21"/>
        <v>1558733</v>
      </c>
      <c r="Q53" s="199">
        <f t="shared" si="12"/>
        <v>0</v>
      </c>
      <c r="R53" s="199">
        <f t="shared" si="13"/>
        <v>0</v>
      </c>
      <c r="S53" s="200">
        <f t="shared" si="14"/>
        <v>0</v>
      </c>
      <c r="T53" s="199">
        <f t="shared" si="15"/>
        <v>0</v>
      </c>
      <c r="U53" s="199">
        <f t="shared" si="16"/>
        <v>181380</v>
      </c>
      <c r="V53" s="199">
        <f t="shared" si="17"/>
        <v>102026</v>
      </c>
      <c r="W53" s="199">
        <f t="shared" si="30"/>
        <v>200000</v>
      </c>
      <c r="X53" s="201">
        <f t="shared" si="22"/>
        <v>2042139</v>
      </c>
      <c r="Y53" s="204">
        <f t="shared" si="31"/>
        <v>76762</v>
      </c>
      <c r="Z53" s="204">
        <f t="shared" si="1"/>
        <v>170171</v>
      </c>
      <c r="AA53" s="204">
        <f t="shared" si="2"/>
        <v>170171</v>
      </c>
      <c r="AB53" s="204">
        <f t="shared" si="3"/>
        <v>20421</v>
      </c>
      <c r="AC53" s="204">
        <f t="shared" si="32"/>
        <v>0</v>
      </c>
      <c r="AD53" s="204">
        <f t="shared" si="33"/>
        <v>221057</v>
      </c>
      <c r="AE53" s="203">
        <v>1.044E-2</v>
      </c>
      <c r="AF53" s="202">
        <f t="shared" si="18"/>
        <v>19232</v>
      </c>
      <c r="AG53" s="204">
        <f t="shared" si="34"/>
        <v>0</v>
      </c>
      <c r="AH53" s="204">
        <f t="shared" si="35"/>
        <v>0</v>
      </c>
      <c r="AI53" s="204">
        <f t="shared" si="19"/>
        <v>73686</v>
      </c>
      <c r="AJ53" s="209">
        <f t="shared" si="36"/>
        <v>2793639</v>
      </c>
      <c r="AK53" s="209">
        <f t="shared" si="9"/>
        <v>223491</v>
      </c>
      <c r="AL53" s="209">
        <f t="shared" si="10"/>
        <v>3017130</v>
      </c>
      <c r="AM53" s="210">
        <f t="shared" si="29"/>
        <v>53079</v>
      </c>
      <c r="AN53" s="209">
        <f t="shared" si="11"/>
        <v>3070209</v>
      </c>
      <c r="AO53" s="205" t="s">
        <v>13</v>
      </c>
      <c r="AP53" s="467" t="s">
        <v>168</v>
      </c>
    </row>
    <row r="54" spans="1:42" s="457" customFormat="1" ht="22.5">
      <c r="A54" s="465" t="s">
        <v>177</v>
      </c>
      <c r="B54" s="461" t="s">
        <v>178</v>
      </c>
      <c r="C54" s="460">
        <v>1035230804</v>
      </c>
      <c r="D54" s="468" t="s">
        <v>626</v>
      </c>
      <c r="E54" s="466">
        <v>1</v>
      </c>
      <c r="F54" s="207">
        <v>1558733</v>
      </c>
      <c r="G54" s="208"/>
      <c r="H54" s="463">
        <v>30</v>
      </c>
      <c r="I54" s="463">
        <v>0</v>
      </c>
      <c r="J54" s="463">
        <v>0</v>
      </c>
      <c r="K54" s="463">
        <v>0</v>
      </c>
      <c r="L54" s="463">
        <v>32</v>
      </c>
      <c r="M54" s="463">
        <v>16</v>
      </c>
      <c r="N54" s="463">
        <v>30</v>
      </c>
      <c r="O54" s="463">
        <v>0</v>
      </c>
      <c r="P54" s="198">
        <f>IFERROR(ROUND(F54/30*H54,0),"")</f>
        <v>1558733</v>
      </c>
      <c r="Q54" s="199">
        <f>IF(E54=0,"",IF(I54="",0,IF(I54&lt;=2,ROUND(F54/30*I54,0),"REVISAR")))</f>
        <v>0</v>
      </c>
      <c r="R54" s="199">
        <f>IF(J54="","",IF(J54=0,0,IF(J54&lt;=2,"Revisar",ROUND(F54/30*66.67%*J54,0))))</f>
        <v>0</v>
      </c>
      <c r="S54" s="200">
        <f>IF(K54="","",ROUND(F54/30*K54,0))</f>
        <v>0</v>
      </c>
      <c r="T54" s="199">
        <f t="shared" si="15"/>
        <v>0</v>
      </c>
      <c r="U54" s="199">
        <f t="shared" si="16"/>
        <v>181380</v>
      </c>
      <c r="V54" s="199">
        <f t="shared" si="17"/>
        <v>204052</v>
      </c>
      <c r="W54" s="199">
        <f t="shared" si="30"/>
        <v>200000</v>
      </c>
      <c r="X54" s="201">
        <f>SUM(P54:W54)</f>
        <v>2144165</v>
      </c>
      <c r="Y54" s="204">
        <f>ROUND((X54-W54)*$Y$8,0)</f>
        <v>81013</v>
      </c>
      <c r="Z54" s="204">
        <f>ROUND((X54)*$Z$8,0)</f>
        <v>178673</v>
      </c>
      <c r="AA54" s="204">
        <f>ROUND((X54)*$AA$8,0)</f>
        <v>178673</v>
      </c>
      <c r="AB54" s="204">
        <f>ROUND((X54)*$AB$8,0)</f>
        <v>21442</v>
      </c>
      <c r="AC54" s="204">
        <f>ROUND((X54-W54)*$AC$8,0)</f>
        <v>0</v>
      </c>
      <c r="AD54" s="204">
        <f>ROUND((X54-W54)*$AD$8,0)</f>
        <v>233300</v>
      </c>
      <c r="AE54" s="203">
        <v>1.044E-2</v>
      </c>
      <c r="AF54" s="202">
        <f>IFERROR(ROUND((X54-SUM(Q54:S54)-W54)*AE54,0),"")</f>
        <v>20297</v>
      </c>
      <c r="AG54" s="204">
        <f>ROUND((X54-W54)*$AG$8,0)</f>
        <v>0</v>
      </c>
      <c r="AH54" s="204">
        <f>ROUND((X54-W54)*$AH$8,0)</f>
        <v>0</v>
      </c>
      <c r="AI54" s="204">
        <f>IFERROR(ROUND((X54-SUM(Q54:S54)-W54)*$AI$8,0),"")</f>
        <v>77767</v>
      </c>
      <c r="AJ54" s="209">
        <f>+X54+Y54+Z54+AA54+AB54+AC54+AD54+AF54+AG54+AH54+AI54</f>
        <v>2935330</v>
      </c>
      <c r="AK54" s="209">
        <f>ROUND(AJ54*$AK$8,0)</f>
        <v>234826</v>
      </c>
      <c r="AL54" s="209">
        <f>+AJ54+AK54</f>
        <v>3170156</v>
      </c>
      <c r="AM54" s="210">
        <f>ROUND((AJ54*10%)*$AM$8,0)</f>
        <v>55771</v>
      </c>
      <c r="AN54" s="209">
        <f>+AL54+AM54</f>
        <v>3225927</v>
      </c>
      <c r="AO54" s="205" t="s">
        <v>13</v>
      </c>
      <c r="AP54" s="467" t="s">
        <v>168</v>
      </c>
    </row>
    <row r="55" spans="1:42" s="457" customFormat="1" ht="24.95" customHeight="1">
      <c r="A55" s="465" t="s">
        <v>177</v>
      </c>
      <c r="B55" s="461" t="s">
        <v>178</v>
      </c>
      <c r="C55" s="494">
        <v>70978820</v>
      </c>
      <c r="D55" s="468" t="s">
        <v>552</v>
      </c>
      <c r="E55" s="466">
        <v>1</v>
      </c>
      <c r="F55" s="207">
        <v>1558733</v>
      </c>
      <c r="G55" s="208"/>
      <c r="H55" s="463">
        <v>3</v>
      </c>
      <c r="I55" s="463">
        <v>0</v>
      </c>
      <c r="J55" s="463">
        <v>0</v>
      </c>
      <c r="K55" s="463">
        <v>0</v>
      </c>
      <c r="L55" s="463">
        <v>0</v>
      </c>
      <c r="M55" s="463">
        <v>0</v>
      </c>
      <c r="N55" s="463">
        <v>3</v>
      </c>
      <c r="O55" s="463">
        <v>0</v>
      </c>
      <c r="P55" s="198">
        <f>IFERROR(ROUND(F55/30*H55,0),"")</f>
        <v>155873</v>
      </c>
      <c r="Q55" s="199">
        <f>IF(E55=0,"",IF(I55="",0,IF(I55&lt;=2,ROUND(F55/30*I55,0),"REVISAR")))</f>
        <v>0</v>
      </c>
      <c r="R55" s="199">
        <f>IF(J55="","",IF(J55=0,0,IF(J55&lt;=2,"Revisar",ROUND(F55/30*66.67%*J55,0))))</f>
        <v>0</v>
      </c>
      <c r="S55" s="200">
        <f>IF(K55="","",ROUND(F55/30*K55,0))</f>
        <v>0</v>
      </c>
      <c r="T55" s="199">
        <f t="shared" si="15"/>
        <v>0</v>
      </c>
      <c r="U55" s="199">
        <f t="shared" si="16"/>
        <v>0</v>
      </c>
      <c r="V55" s="199">
        <f t="shared" si="17"/>
        <v>0</v>
      </c>
      <c r="W55" s="199">
        <f>IF(E55=0,"",IF(F55&gt;2847000,0,$W$8*E55/30*N55))</f>
        <v>20000</v>
      </c>
      <c r="X55" s="201">
        <f>SUM(P55:W55)</f>
        <v>175873</v>
      </c>
      <c r="Y55" s="204">
        <f>ROUND((X55-W55)*$Y$8,0)</f>
        <v>6495</v>
      </c>
      <c r="Z55" s="204">
        <f>ROUND((X55)*$Z$8,0)</f>
        <v>14655</v>
      </c>
      <c r="AA55" s="204">
        <f>ROUND((X55)*$AA$8,0)</f>
        <v>14655</v>
      </c>
      <c r="AB55" s="204">
        <f>ROUND((X55)*$AB$8,0)</f>
        <v>1759</v>
      </c>
      <c r="AC55" s="204">
        <f>ROUND((X55-W55)*$AC$8,0)</f>
        <v>0</v>
      </c>
      <c r="AD55" s="204">
        <f>ROUND((X55-W55)*$AD$8,0)</f>
        <v>18705</v>
      </c>
      <c r="AE55" s="203">
        <v>1.044E-2</v>
      </c>
      <c r="AF55" s="202">
        <f>IFERROR(ROUND((X55-SUM(Q55:S55)-W55)*AE55,0),"")</f>
        <v>1627</v>
      </c>
      <c r="AG55" s="204">
        <f>ROUND((X55-W55)*$AG$8,0)</f>
        <v>0</v>
      </c>
      <c r="AH55" s="204">
        <f>ROUND((X55-W55)*$AH$8,0)</f>
        <v>0</v>
      </c>
      <c r="AI55" s="204">
        <f>IFERROR(ROUND((X55-SUM(Q55:S55)-W55)*$AI$8,0),"")</f>
        <v>6235</v>
      </c>
      <c r="AJ55" s="209">
        <f>+X55+Y55+Z55+AA55+AB55+AC55+AD55+AF55+AG55+AH55+AI55</f>
        <v>240004</v>
      </c>
      <c r="AK55" s="209">
        <f>ROUND(AJ55*$AK$8,0)</f>
        <v>19200</v>
      </c>
      <c r="AL55" s="209">
        <f>+AJ55+AK55</f>
        <v>259204</v>
      </c>
      <c r="AM55" s="210">
        <f>ROUND((AJ55*10%)*$AM$8,0)</f>
        <v>4560</v>
      </c>
      <c r="AN55" s="209">
        <f>+AL55+AM55</f>
        <v>263764</v>
      </c>
      <c r="AO55" s="205" t="s">
        <v>13</v>
      </c>
      <c r="AP55" s="467" t="s">
        <v>168</v>
      </c>
    </row>
    <row r="56" spans="1:42" s="457" customFormat="1" ht="24.95" customHeight="1">
      <c r="A56" s="465" t="s">
        <v>177</v>
      </c>
      <c r="B56" s="461" t="s">
        <v>178</v>
      </c>
      <c r="C56" s="460">
        <v>43817373</v>
      </c>
      <c r="D56" s="468" t="s">
        <v>627</v>
      </c>
      <c r="E56" s="466">
        <v>1</v>
      </c>
      <c r="F56" s="207">
        <v>1558733</v>
      </c>
      <c r="G56" s="208"/>
      <c r="H56" s="463">
        <v>30</v>
      </c>
      <c r="I56" s="463">
        <v>0</v>
      </c>
      <c r="J56" s="463">
        <v>0</v>
      </c>
      <c r="K56" s="463">
        <v>0</v>
      </c>
      <c r="L56" s="463">
        <v>40</v>
      </c>
      <c r="M56" s="463">
        <v>16</v>
      </c>
      <c r="N56" s="463">
        <v>30</v>
      </c>
      <c r="O56" s="463">
        <v>0</v>
      </c>
      <c r="P56" s="198">
        <f>IFERROR(ROUND(F56/30*H56,0),"")</f>
        <v>1558733</v>
      </c>
      <c r="Q56" s="199">
        <f>IF(E56=0,"",IF(I56="",0,IF(I56&lt;=2,ROUND(F56/30*I56,0),"REVISAR")))</f>
        <v>0</v>
      </c>
      <c r="R56" s="199">
        <f>IF(J56="","",IF(J56=0,0,IF(J56&lt;=2,"Revisar",ROUND(F56/30*66.67%*J56,0))))</f>
        <v>0</v>
      </c>
      <c r="S56" s="200">
        <f>IF(K56="","",ROUND(F56/30*K56,0))</f>
        <v>0</v>
      </c>
      <c r="T56" s="199">
        <f t="shared" si="15"/>
        <v>0</v>
      </c>
      <c r="U56" s="199">
        <f t="shared" si="16"/>
        <v>226725</v>
      </c>
      <c r="V56" s="199">
        <f t="shared" si="17"/>
        <v>204052</v>
      </c>
      <c r="W56" s="199">
        <f>IF(E56=0,"",IF(F56&gt;2847000,0,$W$8*E56/30*N56))</f>
        <v>200000</v>
      </c>
      <c r="X56" s="201">
        <f>SUM(P56:W56)</f>
        <v>2189510</v>
      </c>
      <c r="Y56" s="204">
        <f>ROUND((X56-W56)*$Y$8,0)</f>
        <v>82903</v>
      </c>
      <c r="Z56" s="204">
        <f>ROUND((X56)*$Z$8,0)</f>
        <v>182452</v>
      </c>
      <c r="AA56" s="204">
        <f>ROUND((X56)*$AA$8,0)</f>
        <v>182452</v>
      </c>
      <c r="AB56" s="204">
        <f>ROUND((X56)*$AB$8,0)</f>
        <v>21895</v>
      </c>
      <c r="AC56" s="204">
        <f>ROUND((X56-W56)*$AC$8,0)</f>
        <v>0</v>
      </c>
      <c r="AD56" s="204">
        <f>ROUND((X56-W56)*$AD$8,0)</f>
        <v>238741</v>
      </c>
      <c r="AE56" s="203">
        <v>1.044E-2</v>
      </c>
      <c r="AF56" s="202">
        <f>IFERROR(ROUND((X56-SUM(Q56:S56)-W56)*AE56,0),"")</f>
        <v>20770</v>
      </c>
      <c r="AG56" s="204">
        <f>ROUND((X56-W56)*$AG$8,0)</f>
        <v>0</v>
      </c>
      <c r="AH56" s="204">
        <f>ROUND((X56-W56)*$AH$8,0)</f>
        <v>0</v>
      </c>
      <c r="AI56" s="204">
        <f>IFERROR(ROUND((X56-SUM(Q56:S56)-W56)*$AI$8,0),"")</f>
        <v>79580</v>
      </c>
      <c r="AJ56" s="209">
        <f>+X56+Y56+Z56+AA56+AB56+AC56+AD56+AF56+AG56+AH56+AI56</f>
        <v>2998303</v>
      </c>
      <c r="AK56" s="209">
        <f>ROUND(AJ56*$AK$8,0)</f>
        <v>239864</v>
      </c>
      <c r="AL56" s="209">
        <f>+AJ56+AK56</f>
        <v>3238167</v>
      </c>
      <c r="AM56" s="210">
        <f>ROUND((AJ56*10%)*$AM$8,0)</f>
        <v>56968</v>
      </c>
      <c r="AN56" s="209">
        <f>+AL56+AM56</f>
        <v>3295135</v>
      </c>
      <c r="AO56" s="205" t="s">
        <v>13</v>
      </c>
      <c r="AP56" s="467" t="s">
        <v>168</v>
      </c>
    </row>
    <row r="57" spans="1:42" s="457" customFormat="1" ht="12">
      <c r="A57" s="465" t="s">
        <v>177</v>
      </c>
      <c r="B57" s="461" t="s">
        <v>178</v>
      </c>
      <c r="C57" s="460">
        <v>1023522678</v>
      </c>
      <c r="D57" s="468" t="s">
        <v>550</v>
      </c>
      <c r="E57" s="466">
        <v>1</v>
      </c>
      <c r="F57" s="207">
        <v>1558733</v>
      </c>
      <c r="G57" s="208"/>
      <c r="H57" s="463">
        <v>30</v>
      </c>
      <c r="I57" s="463">
        <v>0</v>
      </c>
      <c r="J57" s="463">
        <v>0</v>
      </c>
      <c r="K57" s="463">
        <v>0</v>
      </c>
      <c r="L57" s="463">
        <v>40</v>
      </c>
      <c r="M57" s="463">
        <v>16</v>
      </c>
      <c r="N57" s="463">
        <v>30</v>
      </c>
      <c r="O57" s="463">
        <v>0</v>
      </c>
      <c r="P57" s="198">
        <f>IFERROR(ROUND(F57/30*H57,0),"")</f>
        <v>1558733</v>
      </c>
      <c r="Q57" s="199">
        <f>IF(E57=0,"",IF(I57="",0,IF(I57&lt;=2,ROUND(F57/30*I57,0),"REVISAR")))</f>
        <v>0</v>
      </c>
      <c r="R57" s="199">
        <f>IF(J57="","",IF(J57=0,0,IF(J57&lt;=2,"Revisar",ROUND(F57/30*66.67%*J57,0))))</f>
        <v>0</v>
      </c>
      <c r="S57" s="200">
        <f>IF(K57="","",ROUND(F57/30*K57,0))</f>
        <v>0</v>
      </c>
      <c r="T57" s="199">
        <f t="shared" si="15"/>
        <v>0</v>
      </c>
      <c r="U57" s="199">
        <f t="shared" si="16"/>
        <v>226725</v>
      </c>
      <c r="V57" s="199">
        <f t="shared" si="17"/>
        <v>204052</v>
      </c>
      <c r="W57" s="199">
        <f>IF(E57=0,"",IF(F57&gt;2847000,0,$W$8*E57/30*N57))</f>
        <v>200000</v>
      </c>
      <c r="X57" s="201">
        <f>SUM(P57:W57)</f>
        <v>2189510</v>
      </c>
      <c r="Y57" s="204">
        <f>ROUND((X57-W57)*$Y$8,0)</f>
        <v>82903</v>
      </c>
      <c r="Z57" s="204">
        <f>ROUND((X57)*$Z$8,0)</f>
        <v>182452</v>
      </c>
      <c r="AA57" s="204">
        <f>ROUND((X57)*$AA$8,0)</f>
        <v>182452</v>
      </c>
      <c r="AB57" s="204">
        <f>ROUND((X57)*$AB$8,0)</f>
        <v>21895</v>
      </c>
      <c r="AC57" s="204">
        <f>ROUND((X57-W57)*$AC$8,0)</f>
        <v>0</v>
      </c>
      <c r="AD57" s="204">
        <f>ROUND((X57-W57)*$AD$8,0)</f>
        <v>238741</v>
      </c>
      <c r="AE57" s="203">
        <v>1.044E-2</v>
      </c>
      <c r="AF57" s="202">
        <f>IFERROR(ROUND((X57-SUM(Q57:S57)-W57)*AE57,0),"")</f>
        <v>20770</v>
      </c>
      <c r="AG57" s="204">
        <f>ROUND((X57-W57)*$AG$8,0)</f>
        <v>0</v>
      </c>
      <c r="AH57" s="204">
        <f>ROUND((X57-W57)*$AH$8,0)</f>
        <v>0</v>
      </c>
      <c r="AI57" s="204">
        <f>IFERROR(ROUND((X57-SUM(Q57:S57)-W57)*$AI$8,0),"")</f>
        <v>79580</v>
      </c>
      <c r="AJ57" s="209">
        <f>+X57+Y57+Z57+AA57+AB57+AC57+AD57+AF57+AG57+AH57+AI57</f>
        <v>2998303</v>
      </c>
      <c r="AK57" s="209">
        <f>ROUND(AJ57*$AK$8,0)</f>
        <v>239864</v>
      </c>
      <c r="AL57" s="209">
        <f>+AJ57+AK57</f>
        <v>3238167</v>
      </c>
      <c r="AM57" s="210">
        <f>ROUND((AJ57*10%)*$AM$8,0)</f>
        <v>56968</v>
      </c>
      <c r="AN57" s="209">
        <f>+AL57+AM57</f>
        <v>3295135</v>
      </c>
      <c r="AO57" s="205" t="s">
        <v>13</v>
      </c>
      <c r="AP57" s="467" t="s">
        <v>168</v>
      </c>
    </row>
    <row r="58" spans="1:42" s="457" customFormat="1" ht="22.5">
      <c r="A58" s="465" t="s">
        <v>177</v>
      </c>
      <c r="B58" s="461" t="s">
        <v>178</v>
      </c>
      <c r="C58" s="460">
        <v>39354019</v>
      </c>
      <c r="D58" s="468" t="s">
        <v>551</v>
      </c>
      <c r="E58" s="466">
        <v>1</v>
      </c>
      <c r="F58" s="207">
        <v>1558733</v>
      </c>
      <c r="G58" s="208"/>
      <c r="H58" s="463">
        <v>30</v>
      </c>
      <c r="I58" s="463">
        <v>0</v>
      </c>
      <c r="J58" s="463">
        <v>0</v>
      </c>
      <c r="K58" s="463">
        <v>0</v>
      </c>
      <c r="L58" s="463">
        <v>40</v>
      </c>
      <c r="M58" s="463">
        <v>16</v>
      </c>
      <c r="N58" s="463">
        <v>30</v>
      </c>
      <c r="O58" s="463">
        <v>0</v>
      </c>
      <c r="P58" s="198">
        <f>IFERROR(ROUND(F58/30*H58,0),"")</f>
        <v>1558733</v>
      </c>
      <c r="Q58" s="199">
        <f>IF(E58=0,"",IF(I58="",0,IF(I58&lt;=2,ROUND(F58/30*I58,0),"REVISAR")))</f>
        <v>0</v>
      </c>
      <c r="R58" s="199">
        <f>IF(J58="","",IF(J58=0,0,IF(J58&lt;=2,"Revisar",ROUND(F58/30*66.67%*J58,0))))</f>
        <v>0</v>
      </c>
      <c r="S58" s="200">
        <f>IF(K58="","",ROUND(F58/30*K58,0))</f>
        <v>0</v>
      </c>
      <c r="T58" s="199">
        <f t="shared" si="15"/>
        <v>0</v>
      </c>
      <c r="U58" s="199">
        <f t="shared" si="16"/>
        <v>226725</v>
      </c>
      <c r="V58" s="199">
        <f t="shared" si="17"/>
        <v>204052</v>
      </c>
      <c r="W58" s="199">
        <f>IF(E58=0,"",IF(F58&gt;2847000,0,$W$8*E58/30*N58))</f>
        <v>200000</v>
      </c>
      <c r="X58" s="201">
        <f>SUM(P58:W58)</f>
        <v>2189510</v>
      </c>
      <c r="Y58" s="204">
        <f>ROUND((X58-W58)*$Y$8,0)</f>
        <v>82903</v>
      </c>
      <c r="Z58" s="204">
        <f>ROUND((X58)*$Z$8,0)</f>
        <v>182452</v>
      </c>
      <c r="AA58" s="204">
        <f>ROUND((X58)*$AA$8,0)</f>
        <v>182452</v>
      </c>
      <c r="AB58" s="204">
        <f>ROUND((X58)*$AB$8,0)</f>
        <v>21895</v>
      </c>
      <c r="AC58" s="204">
        <f>ROUND((X58-W58)*$AC$8,0)</f>
        <v>0</v>
      </c>
      <c r="AD58" s="204">
        <f>ROUND((X58-W58)*$AD$8,0)</f>
        <v>238741</v>
      </c>
      <c r="AE58" s="203">
        <v>1.044E-2</v>
      </c>
      <c r="AF58" s="202">
        <f>IFERROR(ROUND((X58-SUM(Q58:S58)-W58)*AE58,0),"")</f>
        <v>20770</v>
      </c>
      <c r="AG58" s="204">
        <f>ROUND((X58-W58)*$AG$8,0)</f>
        <v>0</v>
      </c>
      <c r="AH58" s="204">
        <f>ROUND((X58-W58)*$AH$8,0)</f>
        <v>0</v>
      </c>
      <c r="AI58" s="204">
        <f>IFERROR(ROUND((X58-SUM(Q58:S58)-W58)*$AI$8,0),"")</f>
        <v>79580</v>
      </c>
      <c r="AJ58" s="209">
        <f>+X58+Y58+Z58+AA58+AB58+AC58+AD58+AF58+AG58+AH58+AI58</f>
        <v>2998303</v>
      </c>
      <c r="AK58" s="209">
        <f>ROUND(AJ58*$AK$8,0)</f>
        <v>239864</v>
      </c>
      <c r="AL58" s="209">
        <f>+AJ58+AK58</f>
        <v>3238167</v>
      </c>
      <c r="AM58" s="210">
        <f>ROUND((AJ58*10%)*$AM$8,0)</f>
        <v>56968</v>
      </c>
      <c r="AN58" s="209">
        <f>+AL58+AM58</f>
        <v>3295135</v>
      </c>
      <c r="AO58" s="205" t="s">
        <v>13</v>
      </c>
      <c r="AP58" s="467" t="s">
        <v>168</v>
      </c>
    </row>
    <row r="59" spans="1:42" s="457" customFormat="1" ht="12">
      <c r="A59" s="465" t="s">
        <v>177</v>
      </c>
      <c r="B59" s="461" t="s">
        <v>178</v>
      </c>
      <c r="C59" s="461"/>
      <c r="D59" s="461"/>
      <c r="E59" s="466">
        <v>0</v>
      </c>
      <c r="F59" s="207">
        <v>1558733</v>
      </c>
      <c r="G59" s="208"/>
      <c r="H59" s="463"/>
      <c r="I59" s="463"/>
      <c r="J59" s="463"/>
      <c r="K59" s="463"/>
      <c r="L59" s="463"/>
      <c r="M59" s="463"/>
      <c r="N59" s="463"/>
      <c r="O59" s="463"/>
      <c r="P59" s="198">
        <f t="shared" si="21"/>
        <v>0</v>
      </c>
      <c r="Q59" s="199" t="str">
        <f t="shared" si="12"/>
        <v/>
      </c>
      <c r="R59" s="199" t="str">
        <f t="shared" si="13"/>
        <v/>
      </c>
      <c r="S59" s="200" t="str">
        <f t="shared" si="14"/>
        <v/>
      </c>
      <c r="T59" s="199" t="str">
        <f t="shared" si="15"/>
        <v/>
      </c>
      <c r="U59" s="199">
        <f t="shared" si="16"/>
        <v>0</v>
      </c>
      <c r="V59" s="199">
        <f t="shared" si="17"/>
        <v>0</v>
      </c>
      <c r="W59" s="199">
        <v>0</v>
      </c>
      <c r="X59" s="201">
        <f t="shared" si="22"/>
        <v>0</v>
      </c>
      <c r="Y59" s="204">
        <f t="shared" ref="Y59:Y88" si="37">ROUND((X59-W59)*$Y$8,0)</f>
        <v>0</v>
      </c>
      <c r="Z59" s="204">
        <f t="shared" ref="Z59:Z88" si="38">ROUND((X59)*$Z$8,0)</f>
        <v>0</v>
      </c>
      <c r="AA59" s="204">
        <f t="shared" ref="AA59:AA88" si="39">ROUND((X59)*$AA$8,0)</f>
        <v>0</v>
      </c>
      <c r="AB59" s="204">
        <f t="shared" ref="AB59:AB88" si="40">ROUND((X59)*$AB$8,0)</f>
        <v>0</v>
      </c>
      <c r="AC59" s="204">
        <f t="shared" ref="AC59:AC88" si="41">ROUND((X59-W59)*$AC$8,0)</f>
        <v>0</v>
      </c>
      <c r="AD59" s="204">
        <f t="shared" ref="AD59:AD88" si="42">ROUND((X59-W59)*$AD$8,0)</f>
        <v>0</v>
      </c>
      <c r="AE59" s="203">
        <v>1.044E-2</v>
      </c>
      <c r="AF59" s="202">
        <f t="shared" si="18"/>
        <v>0</v>
      </c>
      <c r="AG59" s="204">
        <f t="shared" ref="AG59:AG88" si="43">ROUND((X59-W59)*$AG$8,0)</f>
        <v>0</v>
      </c>
      <c r="AH59" s="204">
        <f t="shared" ref="AH59:AH88" si="44">ROUND((X59-W59)*$AH$8,0)</f>
        <v>0</v>
      </c>
      <c r="AI59" s="204">
        <f t="shared" si="19"/>
        <v>0</v>
      </c>
      <c r="AJ59" s="209">
        <f t="shared" ref="AJ59:AJ96" si="45">+X59+Y59+Z59+AA59+AB59+AC59+AD59+AF59+AG59+AH59+AI59</f>
        <v>0</v>
      </c>
      <c r="AK59" s="209">
        <f t="shared" ref="AK59:AK88" si="46">ROUND(AJ59*$AK$8,0)</f>
        <v>0</v>
      </c>
      <c r="AL59" s="209">
        <f t="shared" ref="AL59:AL96" si="47">+AJ59+AK59</f>
        <v>0</v>
      </c>
      <c r="AM59" s="210">
        <f t="shared" ref="AM59:AM73" si="48">ROUND((AJ59*10%)*$AM$8,0)</f>
        <v>0</v>
      </c>
      <c r="AN59" s="209">
        <f t="shared" ref="AN59:AN96" si="49">+AL59+AM59</f>
        <v>0</v>
      </c>
      <c r="AO59" s="205" t="s">
        <v>13</v>
      </c>
      <c r="AP59" s="467" t="s">
        <v>168</v>
      </c>
    </row>
    <row r="60" spans="1:42" s="457" customFormat="1" ht="12">
      <c r="A60" s="465" t="s">
        <v>177</v>
      </c>
      <c r="B60" s="461" t="s">
        <v>178</v>
      </c>
      <c r="C60" s="461"/>
      <c r="D60" s="461"/>
      <c r="E60" s="466">
        <v>0</v>
      </c>
      <c r="F60" s="207">
        <v>1558733</v>
      </c>
      <c r="G60" s="208"/>
      <c r="H60" s="463"/>
      <c r="I60" s="463"/>
      <c r="J60" s="463"/>
      <c r="K60" s="463"/>
      <c r="L60" s="463"/>
      <c r="M60" s="463"/>
      <c r="N60" s="463"/>
      <c r="O60" s="463"/>
      <c r="P60" s="198">
        <f t="shared" si="21"/>
        <v>0</v>
      </c>
      <c r="Q60" s="199" t="str">
        <f t="shared" si="12"/>
        <v/>
      </c>
      <c r="R60" s="199" t="str">
        <f t="shared" si="13"/>
        <v/>
      </c>
      <c r="S60" s="200" t="str">
        <f t="shared" si="14"/>
        <v/>
      </c>
      <c r="T60" s="199" t="str">
        <f t="shared" si="15"/>
        <v/>
      </c>
      <c r="U60" s="199">
        <f t="shared" si="16"/>
        <v>0</v>
      </c>
      <c r="V60" s="199">
        <f t="shared" si="17"/>
        <v>0</v>
      </c>
      <c r="W60" s="199">
        <v>0</v>
      </c>
      <c r="X60" s="201">
        <f t="shared" si="22"/>
        <v>0</v>
      </c>
      <c r="Y60" s="204">
        <f t="shared" si="37"/>
        <v>0</v>
      </c>
      <c r="Z60" s="204">
        <f t="shared" si="38"/>
        <v>0</v>
      </c>
      <c r="AA60" s="204">
        <f t="shared" si="39"/>
        <v>0</v>
      </c>
      <c r="AB60" s="204">
        <f t="shared" si="40"/>
        <v>0</v>
      </c>
      <c r="AC60" s="204">
        <f t="shared" si="41"/>
        <v>0</v>
      </c>
      <c r="AD60" s="204">
        <f t="shared" si="42"/>
        <v>0</v>
      </c>
      <c r="AE60" s="203">
        <v>1.044E-2</v>
      </c>
      <c r="AF60" s="202">
        <f t="shared" si="18"/>
        <v>0</v>
      </c>
      <c r="AG60" s="204">
        <f t="shared" si="43"/>
        <v>0</v>
      </c>
      <c r="AH60" s="204">
        <f t="shared" si="44"/>
        <v>0</v>
      </c>
      <c r="AI60" s="204">
        <f t="shared" si="19"/>
        <v>0</v>
      </c>
      <c r="AJ60" s="209">
        <f t="shared" si="45"/>
        <v>0</v>
      </c>
      <c r="AK60" s="209">
        <f t="shared" si="46"/>
        <v>0</v>
      </c>
      <c r="AL60" s="209">
        <f t="shared" si="47"/>
        <v>0</v>
      </c>
      <c r="AM60" s="210">
        <f t="shared" si="48"/>
        <v>0</v>
      </c>
      <c r="AN60" s="209">
        <f t="shared" si="49"/>
        <v>0</v>
      </c>
      <c r="AO60" s="205" t="s">
        <v>13</v>
      </c>
      <c r="AP60" s="467" t="s">
        <v>168</v>
      </c>
    </row>
    <row r="61" spans="1:42" s="457" customFormat="1" ht="12">
      <c r="A61" s="465" t="s">
        <v>177</v>
      </c>
      <c r="B61" s="461" t="s">
        <v>178</v>
      </c>
      <c r="C61" s="461"/>
      <c r="D61" s="461"/>
      <c r="E61" s="466">
        <v>0</v>
      </c>
      <c r="F61" s="207">
        <v>1558733</v>
      </c>
      <c r="G61" s="208"/>
      <c r="H61" s="463"/>
      <c r="I61" s="463"/>
      <c r="J61" s="463"/>
      <c r="K61" s="463"/>
      <c r="L61" s="463"/>
      <c r="M61" s="463"/>
      <c r="N61" s="463"/>
      <c r="O61" s="463"/>
      <c r="P61" s="198">
        <f t="shared" si="21"/>
        <v>0</v>
      </c>
      <c r="Q61" s="199" t="str">
        <f t="shared" si="12"/>
        <v/>
      </c>
      <c r="R61" s="199" t="str">
        <f t="shared" si="13"/>
        <v/>
      </c>
      <c r="S61" s="200" t="str">
        <f t="shared" si="14"/>
        <v/>
      </c>
      <c r="T61" s="199" t="str">
        <f t="shared" si="15"/>
        <v/>
      </c>
      <c r="U61" s="199">
        <f t="shared" si="16"/>
        <v>0</v>
      </c>
      <c r="V61" s="199">
        <f t="shared" si="17"/>
        <v>0</v>
      </c>
      <c r="W61" s="199">
        <v>0</v>
      </c>
      <c r="X61" s="201">
        <f t="shared" si="22"/>
        <v>0</v>
      </c>
      <c r="Y61" s="204">
        <f t="shared" si="37"/>
        <v>0</v>
      </c>
      <c r="Z61" s="204">
        <f t="shared" si="38"/>
        <v>0</v>
      </c>
      <c r="AA61" s="204">
        <f t="shared" si="39"/>
        <v>0</v>
      </c>
      <c r="AB61" s="204">
        <f t="shared" si="40"/>
        <v>0</v>
      </c>
      <c r="AC61" s="204">
        <f t="shared" si="41"/>
        <v>0</v>
      </c>
      <c r="AD61" s="204">
        <f t="shared" si="42"/>
        <v>0</v>
      </c>
      <c r="AE61" s="203">
        <v>1.044E-2</v>
      </c>
      <c r="AF61" s="202">
        <f t="shared" si="18"/>
        <v>0</v>
      </c>
      <c r="AG61" s="204">
        <f t="shared" si="43"/>
        <v>0</v>
      </c>
      <c r="AH61" s="204">
        <f t="shared" si="44"/>
        <v>0</v>
      </c>
      <c r="AI61" s="204">
        <f t="shared" si="19"/>
        <v>0</v>
      </c>
      <c r="AJ61" s="209">
        <f t="shared" si="45"/>
        <v>0</v>
      </c>
      <c r="AK61" s="209">
        <f t="shared" si="46"/>
        <v>0</v>
      </c>
      <c r="AL61" s="209">
        <f t="shared" si="47"/>
        <v>0</v>
      </c>
      <c r="AM61" s="210">
        <f t="shared" si="48"/>
        <v>0</v>
      </c>
      <c r="AN61" s="209">
        <f t="shared" si="49"/>
        <v>0</v>
      </c>
      <c r="AO61" s="205" t="s">
        <v>13</v>
      </c>
      <c r="AP61" s="467" t="s">
        <v>168</v>
      </c>
    </row>
    <row r="62" spans="1:42" s="457" customFormat="1" ht="12">
      <c r="A62" s="465" t="s">
        <v>177</v>
      </c>
      <c r="B62" s="461" t="s">
        <v>178</v>
      </c>
      <c r="C62" s="461"/>
      <c r="D62" s="461"/>
      <c r="E62" s="466">
        <v>0</v>
      </c>
      <c r="F62" s="207">
        <v>1558733</v>
      </c>
      <c r="G62" s="208"/>
      <c r="H62" s="463"/>
      <c r="I62" s="463"/>
      <c r="J62" s="463"/>
      <c r="K62" s="463"/>
      <c r="L62" s="463"/>
      <c r="M62" s="463"/>
      <c r="N62" s="463"/>
      <c r="O62" s="463"/>
      <c r="P62" s="198">
        <f t="shared" si="21"/>
        <v>0</v>
      </c>
      <c r="Q62" s="199" t="str">
        <f t="shared" si="12"/>
        <v/>
      </c>
      <c r="R62" s="199" t="str">
        <f t="shared" si="13"/>
        <v/>
      </c>
      <c r="S62" s="200" t="str">
        <f t="shared" si="14"/>
        <v/>
      </c>
      <c r="T62" s="199" t="str">
        <f t="shared" si="15"/>
        <v/>
      </c>
      <c r="U62" s="199">
        <f t="shared" si="16"/>
        <v>0</v>
      </c>
      <c r="V62" s="199">
        <f t="shared" si="17"/>
        <v>0</v>
      </c>
      <c r="W62" s="199">
        <v>0</v>
      </c>
      <c r="X62" s="201">
        <f t="shared" si="22"/>
        <v>0</v>
      </c>
      <c r="Y62" s="204">
        <f t="shared" si="37"/>
        <v>0</v>
      </c>
      <c r="Z62" s="204">
        <f t="shared" si="38"/>
        <v>0</v>
      </c>
      <c r="AA62" s="204">
        <f t="shared" si="39"/>
        <v>0</v>
      </c>
      <c r="AB62" s="204">
        <f t="shared" si="40"/>
        <v>0</v>
      </c>
      <c r="AC62" s="204">
        <f t="shared" si="41"/>
        <v>0</v>
      </c>
      <c r="AD62" s="204">
        <f t="shared" si="42"/>
        <v>0</v>
      </c>
      <c r="AE62" s="203">
        <v>1.044E-2</v>
      </c>
      <c r="AF62" s="202">
        <f t="shared" si="18"/>
        <v>0</v>
      </c>
      <c r="AG62" s="204">
        <f t="shared" si="43"/>
        <v>0</v>
      </c>
      <c r="AH62" s="204">
        <f t="shared" si="44"/>
        <v>0</v>
      </c>
      <c r="AI62" s="204">
        <f t="shared" si="19"/>
        <v>0</v>
      </c>
      <c r="AJ62" s="209">
        <f t="shared" si="45"/>
        <v>0</v>
      </c>
      <c r="AK62" s="209">
        <f t="shared" si="46"/>
        <v>0</v>
      </c>
      <c r="AL62" s="209">
        <f t="shared" si="47"/>
        <v>0</v>
      </c>
      <c r="AM62" s="210">
        <f t="shared" si="48"/>
        <v>0</v>
      </c>
      <c r="AN62" s="209">
        <f t="shared" si="49"/>
        <v>0</v>
      </c>
      <c r="AO62" s="205" t="s">
        <v>13</v>
      </c>
      <c r="AP62" s="467" t="s">
        <v>168</v>
      </c>
    </row>
    <row r="63" spans="1:42" s="457" customFormat="1" ht="12">
      <c r="A63" s="465" t="s">
        <v>177</v>
      </c>
      <c r="B63" s="461" t="s">
        <v>178</v>
      </c>
      <c r="C63" s="461"/>
      <c r="D63" s="461"/>
      <c r="E63" s="466">
        <v>0</v>
      </c>
      <c r="F63" s="207">
        <v>1558733</v>
      </c>
      <c r="G63" s="208"/>
      <c r="H63" s="463"/>
      <c r="I63" s="463"/>
      <c r="J63" s="463"/>
      <c r="K63" s="463"/>
      <c r="L63" s="463"/>
      <c r="M63" s="463"/>
      <c r="N63" s="463"/>
      <c r="O63" s="463"/>
      <c r="P63" s="198">
        <f t="shared" si="21"/>
        <v>0</v>
      </c>
      <c r="Q63" s="199" t="str">
        <f t="shared" si="12"/>
        <v/>
      </c>
      <c r="R63" s="199" t="str">
        <f t="shared" si="13"/>
        <v/>
      </c>
      <c r="S63" s="200" t="str">
        <f t="shared" si="14"/>
        <v/>
      </c>
      <c r="T63" s="199" t="str">
        <f t="shared" si="15"/>
        <v/>
      </c>
      <c r="U63" s="199">
        <f t="shared" si="16"/>
        <v>0</v>
      </c>
      <c r="V63" s="199">
        <f t="shared" si="17"/>
        <v>0</v>
      </c>
      <c r="W63" s="199">
        <v>0</v>
      </c>
      <c r="X63" s="201">
        <f t="shared" si="22"/>
        <v>0</v>
      </c>
      <c r="Y63" s="204">
        <f t="shared" si="37"/>
        <v>0</v>
      </c>
      <c r="Z63" s="204">
        <f t="shared" si="38"/>
        <v>0</v>
      </c>
      <c r="AA63" s="204">
        <f t="shared" si="39"/>
        <v>0</v>
      </c>
      <c r="AB63" s="204">
        <f t="shared" si="40"/>
        <v>0</v>
      </c>
      <c r="AC63" s="204">
        <f t="shared" si="41"/>
        <v>0</v>
      </c>
      <c r="AD63" s="204">
        <f t="shared" si="42"/>
        <v>0</v>
      </c>
      <c r="AE63" s="203">
        <v>1.044E-2</v>
      </c>
      <c r="AF63" s="202">
        <f t="shared" si="18"/>
        <v>0</v>
      </c>
      <c r="AG63" s="204">
        <f t="shared" si="43"/>
        <v>0</v>
      </c>
      <c r="AH63" s="204">
        <f t="shared" si="44"/>
        <v>0</v>
      </c>
      <c r="AI63" s="204">
        <f t="shared" si="19"/>
        <v>0</v>
      </c>
      <c r="AJ63" s="209">
        <f t="shared" si="45"/>
        <v>0</v>
      </c>
      <c r="AK63" s="209">
        <f t="shared" si="46"/>
        <v>0</v>
      </c>
      <c r="AL63" s="209">
        <f t="shared" si="47"/>
        <v>0</v>
      </c>
      <c r="AM63" s="210">
        <f t="shared" si="48"/>
        <v>0</v>
      </c>
      <c r="AN63" s="209">
        <f t="shared" si="49"/>
        <v>0</v>
      </c>
      <c r="AO63" s="205" t="s">
        <v>13</v>
      </c>
      <c r="AP63" s="467" t="s">
        <v>168</v>
      </c>
    </row>
    <row r="64" spans="1:42" s="457" customFormat="1" ht="12">
      <c r="A64" s="465" t="s">
        <v>177</v>
      </c>
      <c r="B64" s="461" t="s">
        <v>178</v>
      </c>
      <c r="C64" s="461"/>
      <c r="D64" s="461"/>
      <c r="E64" s="466">
        <v>0</v>
      </c>
      <c r="F64" s="207">
        <v>1558733</v>
      </c>
      <c r="G64" s="208"/>
      <c r="H64" s="463"/>
      <c r="I64" s="463"/>
      <c r="J64" s="463"/>
      <c r="K64" s="463"/>
      <c r="L64" s="463"/>
      <c r="M64" s="463"/>
      <c r="N64" s="463"/>
      <c r="O64" s="463"/>
      <c r="P64" s="198">
        <f t="shared" si="21"/>
        <v>0</v>
      </c>
      <c r="Q64" s="199" t="str">
        <f t="shared" si="12"/>
        <v/>
      </c>
      <c r="R64" s="199" t="str">
        <f t="shared" si="13"/>
        <v/>
      </c>
      <c r="S64" s="200" t="str">
        <f t="shared" si="14"/>
        <v/>
      </c>
      <c r="T64" s="199" t="str">
        <f t="shared" si="15"/>
        <v/>
      </c>
      <c r="U64" s="199">
        <f t="shared" si="16"/>
        <v>0</v>
      </c>
      <c r="V64" s="199">
        <f t="shared" si="17"/>
        <v>0</v>
      </c>
      <c r="W64" s="199">
        <v>0</v>
      </c>
      <c r="X64" s="201">
        <f t="shared" si="22"/>
        <v>0</v>
      </c>
      <c r="Y64" s="204">
        <f t="shared" si="37"/>
        <v>0</v>
      </c>
      <c r="Z64" s="204">
        <f t="shared" si="38"/>
        <v>0</v>
      </c>
      <c r="AA64" s="204">
        <f t="shared" si="39"/>
        <v>0</v>
      </c>
      <c r="AB64" s="204">
        <f t="shared" si="40"/>
        <v>0</v>
      </c>
      <c r="AC64" s="204">
        <f t="shared" si="41"/>
        <v>0</v>
      </c>
      <c r="AD64" s="204">
        <f t="shared" si="42"/>
        <v>0</v>
      </c>
      <c r="AE64" s="203">
        <v>1.044E-2</v>
      </c>
      <c r="AF64" s="202">
        <f t="shared" si="18"/>
        <v>0</v>
      </c>
      <c r="AG64" s="204">
        <f t="shared" si="43"/>
        <v>0</v>
      </c>
      <c r="AH64" s="204">
        <f t="shared" si="44"/>
        <v>0</v>
      </c>
      <c r="AI64" s="204">
        <f t="shared" si="19"/>
        <v>0</v>
      </c>
      <c r="AJ64" s="209">
        <f t="shared" si="45"/>
        <v>0</v>
      </c>
      <c r="AK64" s="209">
        <f t="shared" si="46"/>
        <v>0</v>
      </c>
      <c r="AL64" s="209">
        <f t="shared" si="47"/>
        <v>0</v>
      </c>
      <c r="AM64" s="210">
        <f t="shared" si="48"/>
        <v>0</v>
      </c>
      <c r="AN64" s="209">
        <f t="shared" si="49"/>
        <v>0</v>
      </c>
      <c r="AO64" s="205" t="s">
        <v>13</v>
      </c>
      <c r="AP64" s="467" t="s">
        <v>168</v>
      </c>
    </row>
    <row r="65" spans="1:42" s="457" customFormat="1" ht="12">
      <c r="A65" s="465" t="s">
        <v>177</v>
      </c>
      <c r="B65" s="461" t="s">
        <v>178</v>
      </c>
      <c r="C65" s="461"/>
      <c r="D65" s="461"/>
      <c r="E65" s="466">
        <v>0</v>
      </c>
      <c r="F65" s="207">
        <v>1558733</v>
      </c>
      <c r="G65" s="208"/>
      <c r="H65" s="463"/>
      <c r="I65" s="463"/>
      <c r="J65" s="463"/>
      <c r="K65" s="463"/>
      <c r="L65" s="463"/>
      <c r="M65" s="463"/>
      <c r="N65" s="463"/>
      <c r="O65" s="463"/>
      <c r="P65" s="198">
        <f t="shared" si="21"/>
        <v>0</v>
      </c>
      <c r="Q65" s="199" t="str">
        <f t="shared" si="12"/>
        <v/>
      </c>
      <c r="R65" s="199" t="str">
        <f t="shared" si="13"/>
        <v/>
      </c>
      <c r="S65" s="200" t="str">
        <f t="shared" si="14"/>
        <v/>
      </c>
      <c r="T65" s="199" t="str">
        <f t="shared" si="15"/>
        <v/>
      </c>
      <c r="U65" s="199">
        <f t="shared" si="16"/>
        <v>0</v>
      </c>
      <c r="V65" s="199">
        <f t="shared" si="17"/>
        <v>0</v>
      </c>
      <c r="W65" s="199">
        <v>0</v>
      </c>
      <c r="X65" s="201">
        <f t="shared" si="22"/>
        <v>0</v>
      </c>
      <c r="Y65" s="204">
        <f t="shared" si="37"/>
        <v>0</v>
      </c>
      <c r="Z65" s="204">
        <f t="shared" si="38"/>
        <v>0</v>
      </c>
      <c r="AA65" s="204">
        <f t="shared" si="39"/>
        <v>0</v>
      </c>
      <c r="AB65" s="204">
        <f t="shared" si="40"/>
        <v>0</v>
      </c>
      <c r="AC65" s="204">
        <f t="shared" si="41"/>
        <v>0</v>
      </c>
      <c r="AD65" s="204">
        <f t="shared" si="42"/>
        <v>0</v>
      </c>
      <c r="AE65" s="203">
        <v>1.044E-2</v>
      </c>
      <c r="AF65" s="202">
        <f t="shared" si="18"/>
        <v>0</v>
      </c>
      <c r="AG65" s="204">
        <f t="shared" si="43"/>
        <v>0</v>
      </c>
      <c r="AH65" s="204">
        <f t="shared" si="44"/>
        <v>0</v>
      </c>
      <c r="AI65" s="204">
        <f t="shared" si="19"/>
        <v>0</v>
      </c>
      <c r="AJ65" s="209">
        <f t="shared" si="45"/>
        <v>0</v>
      </c>
      <c r="AK65" s="209">
        <f t="shared" si="46"/>
        <v>0</v>
      </c>
      <c r="AL65" s="209">
        <f t="shared" si="47"/>
        <v>0</v>
      </c>
      <c r="AM65" s="210">
        <f t="shared" si="48"/>
        <v>0</v>
      </c>
      <c r="AN65" s="209">
        <f t="shared" si="49"/>
        <v>0</v>
      </c>
      <c r="AO65" s="205" t="s">
        <v>13</v>
      </c>
      <c r="AP65" s="467" t="s">
        <v>168</v>
      </c>
    </row>
    <row r="66" spans="1:42" s="457" customFormat="1" ht="12">
      <c r="A66" s="465" t="s">
        <v>177</v>
      </c>
      <c r="B66" s="461" t="s">
        <v>178</v>
      </c>
      <c r="C66" s="461"/>
      <c r="D66" s="461"/>
      <c r="E66" s="466">
        <v>0</v>
      </c>
      <c r="F66" s="207">
        <v>1558733</v>
      </c>
      <c r="G66" s="208"/>
      <c r="H66" s="463"/>
      <c r="I66" s="463"/>
      <c r="J66" s="463"/>
      <c r="K66" s="463"/>
      <c r="L66" s="463"/>
      <c r="M66" s="463"/>
      <c r="N66" s="463"/>
      <c r="O66" s="463"/>
      <c r="P66" s="198">
        <f t="shared" si="21"/>
        <v>0</v>
      </c>
      <c r="Q66" s="199" t="str">
        <f t="shared" si="12"/>
        <v/>
      </c>
      <c r="R66" s="199" t="str">
        <f t="shared" si="13"/>
        <v/>
      </c>
      <c r="S66" s="200" t="str">
        <f t="shared" si="14"/>
        <v/>
      </c>
      <c r="T66" s="199" t="str">
        <f t="shared" si="15"/>
        <v/>
      </c>
      <c r="U66" s="199">
        <f t="shared" si="16"/>
        <v>0</v>
      </c>
      <c r="V66" s="199">
        <f t="shared" si="17"/>
        <v>0</v>
      </c>
      <c r="W66" s="199">
        <v>0</v>
      </c>
      <c r="X66" s="201">
        <f t="shared" si="22"/>
        <v>0</v>
      </c>
      <c r="Y66" s="204">
        <f t="shared" si="37"/>
        <v>0</v>
      </c>
      <c r="Z66" s="204">
        <f t="shared" si="38"/>
        <v>0</v>
      </c>
      <c r="AA66" s="204">
        <f t="shared" si="39"/>
        <v>0</v>
      </c>
      <c r="AB66" s="204">
        <f t="shared" si="40"/>
        <v>0</v>
      </c>
      <c r="AC66" s="204">
        <f t="shared" si="41"/>
        <v>0</v>
      </c>
      <c r="AD66" s="204">
        <f t="shared" si="42"/>
        <v>0</v>
      </c>
      <c r="AE66" s="203">
        <v>1.044E-2</v>
      </c>
      <c r="AF66" s="202">
        <f t="shared" si="18"/>
        <v>0</v>
      </c>
      <c r="AG66" s="204">
        <f t="shared" si="43"/>
        <v>0</v>
      </c>
      <c r="AH66" s="204">
        <f t="shared" si="44"/>
        <v>0</v>
      </c>
      <c r="AI66" s="204">
        <f t="shared" si="19"/>
        <v>0</v>
      </c>
      <c r="AJ66" s="209">
        <f t="shared" si="45"/>
        <v>0</v>
      </c>
      <c r="AK66" s="209">
        <f t="shared" si="46"/>
        <v>0</v>
      </c>
      <c r="AL66" s="209">
        <f t="shared" si="47"/>
        <v>0</v>
      </c>
      <c r="AM66" s="210">
        <f t="shared" si="48"/>
        <v>0</v>
      </c>
      <c r="AN66" s="209">
        <f t="shared" si="49"/>
        <v>0</v>
      </c>
      <c r="AO66" s="205" t="s">
        <v>13</v>
      </c>
      <c r="AP66" s="467" t="s">
        <v>168</v>
      </c>
    </row>
    <row r="67" spans="1:42" s="457" customFormat="1" ht="12">
      <c r="A67" s="465" t="s">
        <v>177</v>
      </c>
      <c r="B67" s="461" t="s">
        <v>178</v>
      </c>
      <c r="C67" s="461"/>
      <c r="D67" s="461"/>
      <c r="E67" s="466">
        <v>0</v>
      </c>
      <c r="F67" s="207">
        <v>1558733</v>
      </c>
      <c r="G67" s="208"/>
      <c r="H67" s="463"/>
      <c r="I67" s="463"/>
      <c r="J67" s="463"/>
      <c r="K67" s="463"/>
      <c r="L67" s="463"/>
      <c r="M67" s="463"/>
      <c r="N67" s="463"/>
      <c r="O67" s="463"/>
      <c r="P67" s="198">
        <f t="shared" si="21"/>
        <v>0</v>
      </c>
      <c r="Q67" s="199" t="str">
        <f t="shared" si="12"/>
        <v/>
      </c>
      <c r="R67" s="199" t="str">
        <f t="shared" si="13"/>
        <v/>
      </c>
      <c r="S67" s="200" t="str">
        <f t="shared" si="14"/>
        <v/>
      </c>
      <c r="T67" s="199" t="str">
        <f t="shared" si="15"/>
        <v/>
      </c>
      <c r="U67" s="199">
        <f t="shared" si="16"/>
        <v>0</v>
      </c>
      <c r="V67" s="199">
        <f t="shared" si="17"/>
        <v>0</v>
      </c>
      <c r="W67" s="199">
        <v>0</v>
      </c>
      <c r="X67" s="201">
        <f t="shared" si="22"/>
        <v>0</v>
      </c>
      <c r="Y67" s="204">
        <f t="shared" si="37"/>
        <v>0</v>
      </c>
      <c r="Z67" s="204">
        <f t="shared" si="38"/>
        <v>0</v>
      </c>
      <c r="AA67" s="204">
        <f t="shared" si="39"/>
        <v>0</v>
      </c>
      <c r="AB67" s="204">
        <f t="shared" si="40"/>
        <v>0</v>
      </c>
      <c r="AC67" s="204">
        <f t="shared" si="41"/>
        <v>0</v>
      </c>
      <c r="AD67" s="204">
        <f t="shared" si="42"/>
        <v>0</v>
      </c>
      <c r="AE67" s="203">
        <v>1.044E-2</v>
      </c>
      <c r="AF67" s="202">
        <f t="shared" si="18"/>
        <v>0</v>
      </c>
      <c r="AG67" s="204">
        <f t="shared" si="43"/>
        <v>0</v>
      </c>
      <c r="AH67" s="204">
        <f t="shared" si="44"/>
        <v>0</v>
      </c>
      <c r="AI67" s="204">
        <f t="shared" si="19"/>
        <v>0</v>
      </c>
      <c r="AJ67" s="209">
        <f t="shared" si="45"/>
        <v>0</v>
      </c>
      <c r="AK67" s="209">
        <f t="shared" si="46"/>
        <v>0</v>
      </c>
      <c r="AL67" s="209">
        <f t="shared" si="47"/>
        <v>0</v>
      </c>
      <c r="AM67" s="210">
        <f t="shared" si="48"/>
        <v>0</v>
      </c>
      <c r="AN67" s="209">
        <f t="shared" si="49"/>
        <v>0</v>
      </c>
      <c r="AO67" s="205" t="s">
        <v>13</v>
      </c>
      <c r="AP67" s="467" t="s">
        <v>168</v>
      </c>
    </row>
    <row r="68" spans="1:42" s="457" customFormat="1" ht="24.95" customHeight="1">
      <c r="A68" s="465" t="s">
        <v>179</v>
      </c>
      <c r="B68" s="461" t="s">
        <v>180</v>
      </c>
      <c r="C68" s="460">
        <v>1001243801</v>
      </c>
      <c r="D68" s="461" t="s">
        <v>628</v>
      </c>
      <c r="E68" s="466">
        <v>1</v>
      </c>
      <c r="F68" s="207">
        <v>1773335</v>
      </c>
      <c r="G68" s="208"/>
      <c r="H68" s="463">
        <v>30</v>
      </c>
      <c r="I68" s="463">
        <v>0</v>
      </c>
      <c r="J68" s="463">
        <v>0</v>
      </c>
      <c r="K68" s="463">
        <v>0</v>
      </c>
      <c r="L68" s="463">
        <v>40</v>
      </c>
      <c r="M68" s="463">
        <v>16</v>
      </c>
      <c r="N68" s="463">
        <v>30</v>
      </c>
      <c r="O68" s="463">
        <v>0</v>
      </c>
      <c r="P68" s="198">
        <f t="shared" si="21"/>
        <v>1773335</v>
      </c>
      <c r="Q68" s="199">
        <f t="shared" si="12"/>
        <v>0</v>
      </c>
      <c r="R68" s="199">
        <f t="shared" si="13"/>
        <v>0</v>
      </c>
      <c r="S68" s="200">
        <f t="shared" si="14"/>
        <v>0</v>
      </c>
      <c r="T68" s="199">
        <f t="shared" si="15"/>
        <v>0</v>
      </c>
      <c r="U68" s="199">
        <f t="shared" si="16"/>
        <v>257940</v>
      </c>
      <c r="V68" s="199">
        <f>IFERROR(ROUND((F68/220)*$V$8*(M68),0),"")</f>
        <v>232146</v>
      </c>
      <c r="W68" s="199">
        <f>IF(E68=0,"",IF(F68&gt;2847000,0,$W$8*E68/30*N68))</f>
        <v>200000</v>
      </c>
      <c r="X68" s="201">
        <f t="shared" si="22"/>
        <v>2463421</v>
      </c>
      <c r="Y68" s="204">
        <f t="shared" si="37"/>
        <v>94317</v>
      </c>
      <c r="Z68" s="204">
        <f t="shared" si="38"/>
        <v>205277</v>
      </c>
      <c r="AA68" s="204">
        <f t="shared" si="39"/>
        <v>205277</v>
      </c>
      <c r="AB68" s="204">
        <f t="shared" si="40"/>
        <v>24634</v>
      </c>
      <c r="AC68" s="204">
        <f t="shared" si="41"/>
        <v>0</v>
      </c>
      <c r="AD68" s="204">
        <f t="shared" si="42"/>
        <v>271611</v>
      </c>
      <c r="AE68" s="203">
        <v>2.436E-2</v>
      </c>
      <c r="AF68" s="202">
        <f t="shared" si="18"/>
        <v>55137</v>
      </c>
      <c r="AG68" s="204">
        <f t="shared" si="43"/>
        <v>0</v>
      </c>
      <c r="AH68" s="204">
        <f t="shared" si="44"/>
        <v>0</v>
      </c>
      <c r="AI68" s="204">
        <f t="shared" si="19"/>
        <v>90537</v>
      </c>
      <c r="AJ68" s="209">
        <f t="shared" si="45"/>
        <v>3410211</v>
      </c>
      <c r="AK68" s="209">
        <f t="shared" si="46"/>
        <v>272817</v>
      </c>
      <c r="AL68" s="209">
        <f t="shared" si="47"/>
        <v>3683028</v>
      </c>
      <c r="AM68" s="210">
        <f t="shared" si="48"/>
        <v>64794</v>
      </c>
      <c r="AN68" s="209">
        <f t="shared" si="49"/>
        <v>3747822</v>
      </c>
      <c r="AO68" s="205" t="s">
        <v>13</v>
      </c>
      <c r="AP68" s="467" t="s">
        <v>168</v>
      </c>
    </row>
    <row r="69" spans="1:42" s="457" customFormat="1" ht="24.95" customHeight="1">
      <c r="A69" s="465" t="s">
        <v>179</v>
      </c>
      <c r="B69" s="461" t="s">
        <v>180</v>
      </c>
      <c r="C69" s="460">
        <v>1035222867</v>
      </c>
      <c r="D69" s="461" t="s">
        <v>556</v>
      </c>
      <c r="E69" s="466">
        <v>1</v>
      </c>
      <c r="F69" s="207">
        <v>1773335</v>
      </c>
      <c r="G69" s="208"/>
      <c r="H69" s="463">
        <v>30</v>
      </c>
      <c r="I69" s="463">
        <v>0</v>
      </c>
      <c r="J69" s="463">
        <v>0</v>
      </c>
      <c r="K69" s="463">
        <v>0</v>
      </c>
      <c r="L69" s="463">
        <v>40</v>
      </c>
      <c r="M69" s="463">
        <v>16</v>
      </c>
      <c r="N69" s="463">
        <v>30</v>
      </c>
      <c r="O69" s="463">
        <v>0</v>
      </c>
      <c r="P69" s="198">
        <f t="shared" si="21"/>
        <v>1773335</v>
      </c>
      <c r="Q69" s="199">
        <f t="shared" si="12"/>
        <v>0</v>
      </c>
      <c r="R69" s="199">
        <f t="shared" si="13"/>
        <v>0</v>
      </c>
      <c r="S69" s="200">
        <f t="shared" si="14"/>
        <v>0</v>
      </c>
      <c r="T69" s="199">
        <f t="shared" si="15"/>
        <v>0</v>
      </c>
      <c r="U69" s="199">
        <f t="shared" si="16"/>
        <v>257940</v>
      </c>
      <c r="V69" s="199">
        <f>IFERROR(ROUND((F69/220)*$V$8*(M69),0),"")</f>
        <v>232146</v>
      </c>
      <c r="W69" s="199">
        <f>IF(E69=0,"",IF(F69&gt;2847000,0,$W$8*E69/30*N69))</f>
        <v>200000</v>
      </c>
      <c r="X69" s="201">
        <f t="shared" si="22"/>
        <v>2463421</v>
      </c>
      <c r="Y69" s="204">
        <f t="shared" si="37"/>
        <v>94317</v>
      </c>
      <c r="Z69" s="204">
        <f t="shared" si="38"/>
        <v>205277</v>
      </c>
      <c r="AA69" s="204">
        <f t="shared" si="39"/>
        <v>205277</v>
      </c>
      <c r="AB69" s="204">
        <f t="shared" si="40"/>
        <v>24634</v>
      </c>
      <c r="AC69" s="204">
        <f t="shared" si="41"/>
        <v>0</v>
      </c>
      <c r="AD69" s="204">
        <f t="shared" si="42"/>
        <v>271611</v>
      </c>
      <c r="AE69" s="203">
        <v>2.436E-2</v>
      </c>
      <c r="AF69" s="202">
        <f t="shared" si="18"/>
        <v>55137</v>
      </c>
      <c r="AG69" s="204">
        <f t="shared" si="43"/>
        <v>0</v>
      </c>
      <c r="AH69" s="204">
        <f t="shared" si="44"/>
        <v>0</v>
      </c>
      <c r="AI69" s="204">
        <f t="shared" si="19"/>
        <v>90537</v>
      </c>
      <c r="AJ69" s="209">
        <f t="shared" si="45"/>
        <v>3410211</v>
      </c>
      <c r="AK69" s="209">
        <f t="shared" si="46"/>
        <v>272817</v>
      </c>
      <c r="AL69" s="209">
        <f t="shared" si="47"/>
        <v>3683028</v>
      </c>
      <c r="AM69" s="210">
        <f t="shared" si="48"/>
        <v>64794</v>
      </c>
      <c r="AN69" s="209">
        <f t="shared" si="49"/>
        <v>3747822</v>
      </c>
      <c r="AO69" s="205" t="s">
        <v>13</v>
      </c>
      <c r="AP69" s="467" t="s">
        <v>168</v>
      </c>
    </row>
    <row r="70" spans="1:42" s="457" customFormat="1" ht="24.95" customHeight="1">
      <c r="A70" s="465" t="s">
        <v>179</v>
      </c>
      <c r="B70" s="461" t="s">
        <v>180</v>
      </c>
      <c r="C70" s="460">
        <v>70134244</v>
      </c>
      <c r="D70" s="461" t="s">
        <v>629</v>
      </c>
      <c r="E70" s="466">
        <v>1</v>
      </c>
      <c r="F70" s="207">
        <v>1773335</v>
      </c>
      <c r="G70" s="208"/>
      <c r="H70" s="463">
        <v>30</v>
      </c>
      <c r="I70" s="463">
        <v>0</v>
      </c>
      <c r="J70" s="463">
        <v>0</v>
      </c>
      <c r="K70" s="463">
        <v>0</v>
      </c>
      <c r="L70" s="463">
        <v>40</v>
      </c>
      <c r="M70" s="463">
        <v>16</v>
      </c>
      <c r="N70" s="463">
        <v>30</v>
      </c>
      <c r="O70" s="463">
        <v>0</v>
      </c>
      <c r="P70" s="198">
        <f t="shared" si="21"/>
        <v>1773335</v>
      </c>
      <c r="Q70" s="199">
        <f t="shared" si="12"/>
        <v>0</v>
      </c>
      <c r="R70" s="199">
        <f t="shared" si="13"/>
        <v>0</v>
      </c>
      <c r="S70" s="200">
        <f t="shared" si="14"/>
        <v>0</v>
      </c>
      <c r="T70" s="199">
        <f t="shared" si="15"/>
        <v>0</v>
      </c>
      <c r="U70" s="199">
        <f t="shared" si="16"/>
        <v>257940</v>
      </c>
      <c r="V70" s="199">
        <f>IFERROR(ROUND((F70/220)*$V$8*(M70),0),"")</f>
        <v>232146</v>
      </c>
      <c r="W70" s="199">
        <f>IF(E70=0,"",IF(F70&gt;2847000,0,$W$8*E70/30*N70))</f>
        <v>200000</v>
      </c>
      <c r="X70" s="201">
        <f t="shared" si="22"/>
        <v>2463421</v>
      </c>
      <c r="Y70" s="204">
        <f t="shared" si="37"/>
        <v>94317</v>
      </c>
      <c r="Z70" s="204">
        <f t="shared" si="38"/>
        <v>205277</v>
      </c>
      <c r="AA70" s="204">
        <f t="shared" si="39"/>
        <v>205277</v>
      </c>
      <c r="AB70" s="204">
        <f t="shared" si="40"/>
        <v>24634</v>
      </c>
      <c r="AC70" s="204">
        <f t="shared" si="41"/>
        <v>0</v>
      </c>
      <c r="AD70" s="204">
        <f t="shared" si="42"/>
        <v>271611</v>
      </c>
      <c r="AE70" s="203">
        <v>2.436E-2</v>
      </c>
      <c r="AF70" s="202">
        <f t="shared" si="18"/>
        <v>55137</v>
      </c>
      <c r="AG70" s="204">
        <f t="shared" si="43"/>
        <v>0</v>
      </c>
      <c r="AH70" s="204">
        <f t="shared" si="44"/>
        <v>0</v>
      </c>
      <c r="AI70" s="204">
        <f t="shared" si="19"/>
        <v>90537</v>
      </c>
      <c r="AJ70" s="209">
        <f t="shared" si="45"/>
        <v>3410211</v>
      </c>
      <c r="AK70" s="209">
        <f t="shared" si="46"/>
        <v>272817</v>
      </c>
      <c r="AL70" s="209">
        <f t="shared" si="47"/>
        <v>3683028</v>
      </c>
      <c r="AM70" s="210">
        <f t="shared" si="48"/>
        <v>64794</v>
      </c>
      <c r="AN70" s="209">
        <f t="shared" si="49"/>
        <v>3747822</v>
      </c>
      <c r="AO70" s="205" t="s">
        <v>13</v>
      </c>
      <c r="AP70" s="467" t="s">
        <v>168</v>
      </c>
    </row>
    <row r="71" spans="1:42" s="457" customFormat="1" ht="24.95" customHeight="1">
      <c r="A71" s="465" t="s">
        <v>179</v>
      </c>
      <c r="B71" s="461" t="s">
        <v>180</v>
      </c>
      <c r="C71" s="461"/>
      <c r="D71" s="461"/>
      <c r="E71" s="466">
        <v>0</v>
      </c>
      <c r="F71" s="207">
        <v>1773335</v>
      </c>
      <c r="G71" s="208"/>
      <c r="H71" s="463"/>
      <c r="I71" s="463"/>
      <c r="J71" s="463"/>
      <c r="K71" s="463"/>
      <c r="L71" s="463"/>
      <c r="M71" s="463"/>
      <c r="N71" s="463"/>
      <c r="O71" s="463"/>
      <c r="P71" s="198">
        <f t="shared" si="21"/>
        <v>0</v>
      </c>
      <c r="Q71" s="199" t="str">
        <f t="shared" si="12"/>
        <v/>
      </c>
      <c r="R71" s="199" t="str">
        <f t="shared" si="13"/>
        <v/>
      </c>
      <c r="S71" s="200" t="str">
        <f t="shared" si="14"/>
        <v/>
      </c>
      <c r="T71" s="199" t="str">
        <f t="shared" si="15"/>
        <v/>
      </c>
      <c r="U71" s="199">
        <f t="shared" si="16"/>
        <v>0</v>
      </c>
      <c r="V71" s="199">
        <f t="shared" si="17"/>
        <v>0</v>
      </c>
      <c r="W71" s="199">
        <v>0</v>
      </c>
      <c r="X71" s="201">
        <f t="shared" si="22"/>
        <v>0</v>
      </c>
      <c r="Y71" s="204">
        <f t="shared" si="37"/>
        <v>0</v>
      </c>
      <c r="Z71" s="204">
        <f t="shared" si="38"/>
        <v>0</v>
      </c>
      <c r="AA71" s="204">
        <f t="shared" si="39"/>
        <v>0</v>
      </c>
      <c r="AB71" s="204">
        <f t="shared" si="40"/>
        <v>0</v>
      </c>
      <c r="AC71" s="204">
        <f t="shared" si="41"/>
        <v>0</v>
      </c>
      <c r="AD71" s="204">
        <f t="shared" si="42"/>
        <v>0</v>
      </c>
      <c r="AE71" s="203">
        <v>2.436E-2</v>
      </c>
      <c r="AF71" s="202">
        <f t="shared" si="18"/>
        <v>0</v>
      </c>
      <c r="AG71" s="204">
        <f t="shared" si="43"/>
        <v>0</v>
      </c>
      <c r="AH71" s="204">
        <f t="shared" si="44"/>
        <v>0</v>
      </c>
      <c r="AI71" s="204">
        <f t="shared" si="19"/>
        <v>0</v>
      </c>
      <c r="AJ71" s="209">
        <f t="shared" si="45"/>
        <v>0</v>
      </c>
      <c r="AK71" s="209">
        <f t="shared" si="46"/>
        <v>0</v>
      </c>
      <c r="AL71" s="209">
        <f t="shared" si="47"/>
        <v>0</v>
      </c>
      <c r="AM71" s="210">
        <f t="shared" si="48"/>
        <v>0</v>
      </c>
      <c r="AN71" s="209">
        <f t="shared" si="49"/>
        <v>0</v>
      </c>
      <c r="AO71" s="205" t="s">
        <v>13</v>
      </c>
      <c r="AP71" s="467" t="s">
        <v>168</v>
      </c>
    </row>
    <row r="72" spans="1:42" s="457" customFormat="1" ht="24.95" customHeight="1">
      <c r="A72" s="465" t="s">
        <v>179</v>
      </c>
      <c r="B72" s="461" t="s">
        <v>180</v>
      </c>
      <c r="C72" s="461"/>
      <c r="D72" s="461"/>
      <c r="E72" s="466">
        <v>0</v>
      </c>
      <c r="F72" s="207">
        <v>1773335</v>
      </c>
      <c r="G72" s="208"/>
      <c r="H72" s="463"/>
      <c r="I72" s="463"/>
      <c r="J72" s="463"/>
      <c r="K72" s="463"/>
      <c r="L72" s="463"/>
      <c r="M72" s="463"/>
      <c r="N72" s="463"/>
      <c r="O72" s="463"/>
      <c r="P72" s="198">
        <f t="shared" si="21"/>
        <v>0</v>
      </c>
      <c r="Q72" s="199" t="str">
        <f t="shared" si="12"/>
        <v/>
      </c>
      <c r="R72" s="199" t="str">
        <f t="shared" si="13"/>
        <v/>
      </c>
      <c r="S72" s="200" t="str">
        <f t="shared" si="14"/>
        <v/>
      </c>
      <c r="T72" s="199" t="str">
        <f t="shared" si="15"/>
        <v/>
      </c>
      <c r="U72" s="199">
        <f t="shared" si="16"/>
        <v>0</v>
      </c>
      <c r="V72" s="199">
        <f t="shared" si="17"/>
        <v>0</v>
      </c>
      <c r="W72" s="199">
        <v>0</v>
      </c>
      <c r="X72" s="201">
        <f t="shared" si="22"/>
        <v>0</v>
      </c>
      <c r="Y72" s="204">
        <f t="shared" si="37"/>
        <v>0</v>
      </c>
      <c r="Z72" s="204">
        <f t="shared" si="38"/>
        <v>0</v>
      </c>
      <c r="AA72" s="204">
        <f t="shared" si="39"/>
        <v>0</v>
      </c>
      <c r="AB72" s="204">
        <f t="shared" si="40"/>
        <v>0</v>
      </c>
      <c r="AC72" s="204">
        <f t="shared" si="41"/>
        <v>0</v>
      </c>
      <c r="AD72" s="204">
        <f t="shared" si="42"/>
        <v>0</v>
      </c>
      <c r="AE72" s="203">
        <v>2.436E-2</v>
      </c>
      <c r="AF72" s="202">
        <f t="shared" ref="AF72:AF107" si="50">IFERROR(ROUND((X72-SUM(Q72:S72)-W72)*AE72,0),"")</f>
        <v>0</v>
      </c>
      <c r="AG72" s="204">
        <f t="shared" si="43"/>
        <v>0</v>
      </c>
      <c r="AH72" s="204">
        <f t="shared" si="44"/>
        <v>0</v>
      </c>
      <c r="AI72" s="204">
        <f t="shared" si="19"/>
        <v>0</v>
      </c>
      <c r="AJ72" s="209">
        <f t="shared" si="45"/>
        <v>0</v>
      </c>
      <c r="AK72" s="209">
        <f t="shared" si="46"/>
        <v>0</v>
      </c>
      <c r="AL72" s="209">
        <f t="shared" si="47"/>
        <v>0</v>
      </c>
      <c r="AM72" s="210">
        <f t="shared" si="48"/>
        <v>0</v>
      </c>
      <c r="AN72" s="209">
        <f t="shared" si="49"/>
        <v>0</v>
      </c>
      <c r="AO72" s="205" t="s">
        <v>13</v>
      </c>
      <c r="AP72" s="467" t="s">
        <v>168</v>
      </c>
    </row>
    <row r="73" spans="1:42" s="457" customFormat="1" ht="24.95" customHeight="1">
      <c r="A73" s="465" t="s">
        <v>179</v>
      </c>
      <c r="B73" s="461" t="s">
        <v>180</v>
      </c>
      <c r="C73" s="461"/>
      <c r="D73" s="461"/>
      <c r="E73" s="466">
        <v>0</v>
      </c>
      <c r="F73" s="207">
        <v>1773335</v>
      </c>
      <c r="G73" s="208"/>
      <c r="H73" s="463"/>
      <c r="I73" s="463"/>
      <c r="J73" s="463"/>
      <c r="K73" s="463"/>
      <c r="L73" s="463"/>
      <c r="M73" s="463"/>
      <c r="N73" s="463"/>
      <c r="O73" s="463"/>
      <c r="P73" s="198">
        <f t="shared" si="21"/>
        <v>0</v>
      </c>
      <c r="Q73" s="199" t="str">
        <f t="shared" si="12"/>
        <v/>
      </c>
      <c r="R73" s="199" t="str">
        <f t="shared" si="13"/>
        <v/>
      </c>
      <c r="S73" s="200" t="str">
        <f t="shared" si="14"/>
        <v/>
      </c>
      <c r="T73" s="199" t="str">
        <f t="shared" si="15"/>
        <v/>
      </c>
      <c r="U73" s="199">
        <f t="shared" si="16"/>
        <v>0</v>
      </c>
      <c r="V73" s="199">
        <f t="shared" si="17"/>
        <v>0</v>
      </c>
      <c r="W73" s="199">
        <v>0</v>
      </c>
      <c r="X73" s="201">
        <f t="shared" si="22"/>
        <v>0</v>
      </c>
      <c r="Y73" s="204">
        <f t="shared" si="37"/>
        <v>0</v>
      </c>
      <c r="Z73" s="204">
        <f t="shared" si="38"/>
        <v>0</v>
      </c>
      <c r="AA73" s="204">
        <f t="shared" si="39"/>
        <v>0</v>
      </c>
      <c r="AB73" s="204">
        <f t="shared" si="40"/>
        <v>0</v>
      </c>
      <c r="AC73" s="204">
        <f t="shared" si="41"/>
        <v>0</v>
      </c>
      <c r="AD73" s="204">
        <f t="shared" si="42"/>
        <v>0</v>
      </c>
      <c r="AE73" s="203">
        <v>2.436E-2</v>
      </c>
      <c r="AF73" s="202">
        <f t="shared" si="50"/>
        <v>0</v>
      </c>
      <c r="AG73" s="204">
        <f t="shared" si="43"/>
        <v>0</v>
      </c>
      <c r="AH73" s="204">
        <f t="shared" si="44"/>
        <v>0</v>
      </c>
      <c r="AI73" s="204">
        <f t="shared" si="19"/>
        <v>0</v>
      </c>
      <c r="AJ73" s="209">
        <f t="shared" si="45"/>
        <v>0</v>
      </c>
      <c r="AK73" s="209">
        <f t="shared" si="46"/>
        <v>0</v>
      </c>
      <c r="AL73" s="209">
        <f t="shared" si="47"/>
        <v>0</v>
      </c>
      <c r="AM73" s="210">
        <f t="shared" si="48"/>
        <v>0</v>
      </c>
      <c r="AN73" s="209">
        <f t="shared" si="49"/>
        <v>0</v>
      </c>
      <c r="AO73" s="205" t="s">
        <v>13</v>
      </c>
      <c r="AP73" s="467" t="s">
        <v>168</v>
      </c>
    </row>
    <row r="74" spans="1:42" s="457" customFormat="1" ht="24.95" customHeight="1">
      <c r="A74" s="459" t="s">
        <v>181</v>
      </c>
      <c r="B74" s="460" t="s">
        <v>182</v>
      </c>
      <c r="C74" s="460">
        <v>39356767</v>
      </c>
      <c r="D74" s="461" t="s">
        <v>630</v>
      </c>
      <c r="E74" s="462">
        <v>1</v>
      </c>
      <c r="F74" s="207">
        <v>2617190</v>
      </c>
      <c r="G74" s="208"/>
      <c r="H74" s="463">
        <v>30</v>
      </c>
      <c r="I74" s="463">
        <v>0</v>
      </c>
      <c r="J74" s="463">
        <v>0</v>
      </c>
      <c r="K74" s="463">
        <v>0</v>
      </c>
      <c r="L74" s="463">
        <v>40</v>
      </c>
      <c r="M74" s="463">
        <v>16</v>
      </c>
      <c r="N74" s="463">
        <v>30</v>
      </c>
      <c r="O74" s="463">
        <v>0</v>
      </c>
      <c r="P74" s="198">
        <f t="shared" si="21"/>
        <v>2617190</v>
      </c>
      <c r="Q74" s="199">
        <f t="shared" ref="Q74:Q99" si="51">IF(E74=0,"",IF(I74="",0,IF(I74&lt;=2,ROUND(F74/30*I74,0),"REVISAR")))</f>
        <v>0</v>
      </c>
      <c r="R74" s="199">
        <f t="shared" ref="R74:R99" si="52">IF(J74="","",IF(J74=0,0,IF(J74&lt;=2,"Revisar",ROUND(F74/30*66.67%*J74,0))))</f>
        <v>0</v>
      </c>
      <c r="S74" s="200">
        <f t="shared" ref="S74:S99" si="53">IF(K74="","",ROUND(F74/30*K74,0))</f>
        <v>0</v>
      </c>
      <c r="T74" s="199">
        <f t="shared" ref="T74:T99" si="54">IF(O74="","",ROUND(F74/220*1.25*O74,0))</f>
        <v>0</v>
      </c>
      <c r="U74" s="199">
        <f t="shared" ref="U74:U99" si="55">IFERROR(ROUND((F74/220)*$U$8*(L74),0),"")</f>
        <v>380682</v>
      </c>
      <c r="V74" s="199">
        <f t="shared" ref="V74:V99" si="56">IFERROR(ROUND((F74/220)*$V$8*(M74),0),"")</f>
        <v>342614</v>
      </c>
      <c r="W74" s="199">
        <f t="shared" ref="W74:W90" si="57">IF(E74=0,"",IF(F74&gt;2847000,0,$W$8*E74/30*N74))</f>
        <v>200000</v>
      </c>
      <c r="X74" s="201">
        <f t="shared" si="22"/>
        <v>3540486</v>
      </c>
      <c r="Y74" s="202">
        <f t="shared" si="37"/>
        <v>139198</v>
      </c>
      <c r="Z74" s="202">
        <f t="shared" si="38"/>
        <v>295029</v>
      </c>
      <c r="AA74" s="202">
        <f t="shared" si="39"/>
        <v>295029</v>
      </c>
      <c r="AB74" s="202">
        <f t="shared" si="40"/>
        <v>35405</v>
      </c>
      <c r="AC74" s="202">
        <f t="shared" si="41"/>
        <v>0</v>
      </c>
      <c r="AD74" s="202">
        <f t="shared" si="42"/>
        <v>400858</v>
      </c>
      <c r="AE74" s="203">
        <v>6.9599999999999995E-2</v>
      </c>
      <c r="AF74" s="202">
        <f t="shared" si="50"/>
        <v>232498</v>
      </c>
      <c r="AG74" s="202">
        <f t="shared" si="43"/>
        <v>0</v>
      </c>
      <c r="AH74" s="202">
        <f t="shared" si="44"/>
        <v>0</v>
      </c>
      <c r="AI74" s="204">
        <f t="shared" ref="AI74:AI89" si="58">IFERROR(ROUND((X74-SUM(Q74:S74)-W74)*$AI$8,0),"")</f>
        <v>133619</v>
      </c>
      <c r="AJ74" s="201">
        <f t="shared" si="45"/>
        <v>5072122</v>
      </c>
      <c r="AK74" s="201">
        <f t="shared" si="46"/>
        <v>405770</v>
      </c>
      <c r="AL74" s="201">
        <f t="shared" si="47"/>
        <v>5477892</v>
      </c>
      <c r="AM74" s="204">
        <f>ROUND(AL74*$AM$8,0)</f>
        <v>1040799</v>
      </c>
      <c r="AN74" s="201">
        <f t="shared" si="49"/>
        <v>6518691</v>
      </c>
      <c r="AO74" s="205" t="s">
        <v>13</v>
      </c>
      <c r="AP74" s="195"/>
    </row>
    <row r="75" spans="1:42" s="457" customFormat="1" ht="24.95" customHeight="1">
      <c r="A75" s="459" t="s">
        <v>183</v>
      </c>
      <c r="B75" s="460" t="s">
        <v>184</v>
      </c>
      <c r="C75" s="460">
        <v>1000557194</v>
      </c>
      <c r="D75" s="461" t="s">
        <v>573</v>
      </c>
      <c r="E75" s="462">
        <v>1</v>
      </c>
      <c r="F75" s="196">
        <v>2269777</v>
      </c>
      <c r="G75" s="197"/>
      <c r="H75" s="463">
        <v>30</v>
      </c>
      <c r="I75" s="463">
        <v>0</v>
      </c>
      <c r="J75" s="463">
        <v>0</v>
      </c>
      <c r="K75" s="463">
        <v>0</v>
      </c>
      <c r="L75" s="463">
        <v>40</v>
      </c>
      <c r="M75" s="463">
        <v>16</v>
      </c>
      <c r="N75" s="463">
        <v>30</v>
      </c>
      <c r="O75" s="463">
        <v>0</v>
      </c>
      <c r="P75" s="198">
        <f t="shared" ref="P75:P107" si="59">IFERROR(ROUND(F75/30*H75,0),"")</f>
        <v>2269777</v>
      </c>
      <c r="Q75" s="199">
        <f t="shared" si="51"/>
        <v>0</v>
      </c>
      <c r="R75" s="199">
        <f t="shared" si="52"/>
        <v>0</v>
      </c>
      <c r="S75" s="200">
        <f t="shared" si="53"/>
        <v>0</v>
      </c>
      <c r="T75" s="199">
        <f t="shared" si="54"/>
        <v>0</v>
      </c>
      <c r="U75" s="199">
        <f t="shared" si="55"/>
        <v>330149</v>
      </c>
      <c r="V75" s="199">
        <f t="shared" si="56"/>
        <v>297134</v>
      </c>
      <c r="W75" s="199">
        <f t="shared" si="57"/>
        <v>200000</v>
      </c>
      <c r="X75" s="201">
        <f t="shared" ref="X75:X99" si="60">SUM(P75:W75)</f>
        <v>3097060</v>
      </c>
      <c r="Y75" s="202">
        <f t="shared" si="37"/>
        <v>120720</v>
      </c>
      <c r="Z75" s="202">
        <f t="shared" si="38"/>
        <v>258078</v>
      </c>
      <c r="AA75" s="202">
        <f t="shared" si="39"/>
        <v>258078</v>
      </c>
      <c r="AB75" s="202">
        <f t="shared" si="40"/>
        <v>30971</v>
      </c>
      <c r="AC75" s="202">
        <f t="shared" si="41"/>
        <v>0</v>
      </c>
      <c r="AD75" s="202">
        <f t="shared" si="42"/>
        <v>347647</v>
      </c>
      <c r="AE75" s="203">
        <v>6.9599999999999995E-2</v>
      </c>
      <c r="AF75" s="202">
        <f t="shared" si="50"/>
        <v>201635</v>
      </c>
      <c r="AG75" s="202">
        <f t="shared" si="43"/>
        <v>0</v>
      </c>
      <c r="AH75" s="202">
        <f t="shared" si="44"/>
        <v>0</v>
      </c>
      <c r="AI75" s="204">
        <f t="shared" si="58"/>
        <v>115882</v>
      </c>
      <c r="AJ75" s="201">
        <f t="shared" si="45"/>
        <v>4430071</v>
      </c>
      <c r="AK75" s="201">
        <f t="shared" si="46"/>
        <v>354406</v>
      </c>
      <c r="AL75" s="201">
        <f t="shared" si="47"/>
        <v>4784477</v>
      </c>
      <c r="AM75" s="204">
        <f>ROUND(AL75*$AM$8,0)</f>
        <v>909051</v>
      </c>
      <c r="AN75" s="201">
        <f t="shared" si="49"/>
        <v>5693528</v>
      </c>
      <c r="AO75" s="205" t="s">
        <v>13</v>
      </c>
      <c r="AP75" s="195"/>
    </row>
    <row r="76" spans="1:42" s="457" customFormat="1" ht="24.95" customHeight="1">
      <c r="A76" s="459" t="s">
        <v>183</v>
      </c>
      <c r="B76" s="460" t="s">
        <v>184</v>
      </c>
      <c r="C76" s="460">
        <v>1020467591</v>
      </c>
      <c r="D76" s="468" t="s">
        <v>631</v>
      </c>
      <c r="E76" s="462">
        <v>1</v>
      </c>
      <c r="F76" s="196">
        <v>2269777</v>
      </c>
      <c r="G76" s="197"/>
      <c r="H76" s="463">
        <v>30</v>
      </c>
      <c r="I76" s="463">
        <v>0</v>
      </c>
      <c r="J76" s="463">
        <v>0</v>
      </c>
      <c r="K76" s="463">
        <v>0</v>
      </c>
      <c r="L76" s="463">
        <v>40</v>
      </c>
      <c r="M76" s="463">
        <v>16</v>
      </c>
      <c r="N76" s="463">
        <v>30</v>
      </c>
      <c r="O76" s="463">
        <v>0</v>
      </c>
      <c r="P76" s="198">
        <f t="shared" si="59"/>
        <v>2269777</v>
      </c>
      <c r="Q76" s="199">
        <f t="shared" si="51"/>
        <v>0</v>
      </c>
      <c r="R76" s="199">
        <f t="shared" si="52"/>
        <v>0</v>
      </c>
      <c r="S76" s="200">
        <f t="shared" si="53"/>
        <v>0</v>
      </c>
      <c r="T76" s="199">
        <f t="shared" si="54"/>
        <v>0</v>
      </c>
      <c r="U76" s="199">
        <f t="shared" si="55"/>
        <v>330149</v>
      </c>
      <c r="V76" s="199">
        <f t="shared" si="56"/>
        <v>297134</v>
      </c>
      <c r="W76" s="199">
        <f t="shared" si="57"/>
        <v>200000</v>
      </c>
      <c r="X76" s="201">
        <f t="shared" si="60"/>
        <v>3097060</v>
      </c>
      <c r="Y76" s="202">
        <f t="shared" si="37"/>
        <v>120720</v>
      </c>
      <c r="Z76" s="202">
        <f t="shared" si="38"/>
        <v>258078</v>
      </c>
      <c r="AA76" s="202">
        <f t="shared" si="39"/>
        <v>258078</v>
      </c>
      <c r="AB76" s="202">
        <f t="shared" si="40"/>
        <v>30971</v>
      </c>
      <c r="AC76" s="202">
        <f t="shared" si="41"/>
        <v>0</v>
      </c>
      <c r="AD76" s="202">
        <f t="shared" si="42"/>
        <v>347647</v>
      </c>
      <c r="AE76" s="203">
        <v>6.9599999999999995E-2</v>
      </c>
      <c r="AF76" s="202">
        <f t="shared" si="50"/>
        <v>201635</v>
      </c>
      <c r="AG76" s="202">
        <f t="shared" si="43"/>
        <v>0</v>
      </c>
      <c r="AH76" s="202">
        <f t="shared" si="44"/>
        <v>0</v>
      </c>
      <c r="AI76" s="204">
        <f t="shared" si="58"/>
        <v>115882</v>
      </c>
      <c r="AJ76" s="201">
        <f t="shared" si="45"/>
        <v>4430071</v>
      </c>
      <c r="AK76" s="201">
        <f t="shared" si="46"/>
        <v>354406</v>
      </c>
      <c r="AL76" s="201">
        <f t="shared" si="47"/>
        <v>4784477</v>
      </c>
      <c r="AM76" s="204">
        <f t="shared" ref="AM76:AM88" si="61">ROUND(AL76*$AM$8,0)</f>
        <v>909051</v>
      </c>
      <c r="AN76" s="201">
        <f t="shared" si="49"/>
        <v>5693528</v>
      </c>
      <c r="AO76" s="205" t="s">
        <v>13</v>
      </c>
      <c r="AP76" s="195"/>
    </row>
    <row r="77" spans="1:42" s="457" customFormat="1" ht="24.95" customHeight="1">
      <c r="A77" s="459" t="s">
        <v>183</v>
      </c>
      <c r="B77" s="460" t="s">
        <v>184</v>
      </c>
      <c r="C77" s="460">
        <v>1020479937</v>
      </c>
      <c r="D77" s="468" t="s">
        <v>632</v>
      </c>
      <c r="E77" s="462">
        <v>1</v>
      </c>
      <c r="F77" s="196">
        <v>2269777</v>
      </c>
      <c r="G77" s="197"/>
      <c r="H77" s="463">
        <v>30</v>
      </c>
      <c r="I77" s="463">
        <v>0</v>
      </c>
      <c r="J77" s="463">
        <v>0</v>
      </c>
      <c r="K77" s="463">
        <v>0</v>
      </c>
      <c r="L77" s="463">
        <v>32</v>
      </c>
      <c r="M77" s="463">
        <v>16</v>
      </c>
      <c r="N77" s="463">
        <v>30</v>
      </c>
      <c r="O77" s="463">
        <v>0</v>
      </c>
      <c r="P77" s="198">
        <f t="shared" si="59"/>
        <v>2269777</v>
      </c>
      <c r="Q77" s="199">
        <f t="shared" si="51"/>
        <v>0</v>
      </c>
      <c r="R77" s="199">
        <f>IF(J77="","",IF(J77=0,0,IF(J77&lt;=2,"Revisar",ROUND(F77/30*66.67%*J77,0))))</f>
        <v>0</v>
      </c>
      <c r="S77" s="200">
        <f t="shared" si="53"/>
        <v>0</v>
      </c>
      <c r="T77" s="199">
        <f t="shared" si="54"/>
        <v>0</v>
      </c>
      <c r="U77" s="199">
        <f t="shared" si="55"/>
        <v>264120</v>
      </c>
      <c r="V77" s="199">
        <f t="shared" si="56"/>
        <v>297134</v>
      </c>
      <c r="W77" s="199">
        <f t="shared" si="57"/>
        <v>200000</v>
      </c>
      <c r="X77" s="201">
        <f t="shared" si="60"/>
        <v>3031031</v>
      </c>
      <c r="Y77" s="202">
        <f t="shared" si="37"/>
        <v>117969</v>
      </c>
      <c r="Z77" s="202">
        <f t="shared" si="38"/>
        <v>252576</v>
      </c>
      <c r="AA77" s="202">
        <f t="shared" si="39"/>
        <v>252576</v>
      </c>
      <c r="AB77" s="202">
        <f t="shared" si="40"/>
        <v>30310</v>
      </c>
      <c r="AC77" s="202">
        <f t="shared" si="41"/>
        <v>0</v>
      </c>
      <c r="AD77" s="202">
        <f t="shared" si="42"/>
        <v>339724</v>
      </c>
      <c r="AE77" s="203">
        <v>6.9599999999999995E-2</v>
      </c>
      <c r="AF77" s="202">
        <f t="shared" si="50"/>
        <v>197040</v>
      </c>
      <c r="AG77" s="202">
        <f t="shared" si="43"/>
        <v>0</v>
      </c>
      <c r="AH77" s="202">
        <f t="shared" si="44"/>
        <v>0</v>
      </c>
      <c r="AI77" s="204">
        <f t="shared" si="58"/>
        <v>113241</v>
      </c>
      <c r="AJ77" s="201">
        <f t="shared" si="45"/>
        <v>4334467</v>
      </c>
      <c r="AK77" s="201">
        <f t="shared" si="46"/>
        <v>346757</v>
      </c>
      <c r="AL77" s="201">
        <f t="shared" si="47"/>
        <v>4681224</v>
      </c>
      <c r="AM77" s="204">
        <f t="shared" si="61"/>
        <v>889433</v>
      </c>
      <c r="AN77" s="201">
        <f t="shared" si="49"/>
        <v>5570657</v>
      </c>
      <c r="AO77" s="205" t="s">
        <v>13</v>
      </c>
      <c r="AP77" s="195"/>
    </row>
    <row r="78" spans="1:42" s="457" customFormat="1" ht="24.95" customHeight="1">
      <c r="A78" s="459" t="s">
        <v>183</v>
      </c>
      <c r="B78" s="460" t="s">
        <v>184</v>
      </c>
      <c r="C78" s="460">
        <v>1035227154</v>
      </c>
      <c r="D78" s="468" t="s">
        <v>633</v>
      </c>
      <c r="E78" s="462">
        <v>1</v>
      </c>
      <c r="F78" s="196">
        <v>2269777</v>
      </c>
      <c r="G78" s="197"/>
      <c r="H78" s="463">
        <v>30</v>
      </c>
      <c r="I78" s="463">
        <v>0</v>
      </c>
      <c r="J78" s="463">
        <v>0</v>
      </c>
      <c r="K78" s="463">
        <v>0</v>
      </c>
      <c r="L78" s="463">
        <v>40</v>
      </c>
      <c r="M78" s="463">
        <v>16</v>
      </c>
      <c r="N78" s="463">
        <v>30</v>
      </c>
      <c r="O78" s="463">
        <v>0</v>
      </c>
      <c r="P78" s="198">
        <f t="shared" si="59"/>
        <v>2269777</v>
      </c>
      <c r="Q78" s="199">
        <f t="shared" si="51"/>
        <v>0</v>
      </c>
      <c r="R78" s="199">
        <f t="shared" si="52"/>
        <v>0</v>
      </c>
      <c r="S78" s="200">
        <f t="shared" si="53"/>
        <v>0</v>
      </c>
      <c r="T78" s="199">
        <f t="shared" si="54"/>
        <v>0</v>
      </c>
      <c r="U78" s="199">
        <f t="shared" si="55"/>
        <v>330149</v>
      </c>
      <c r="V78" s="199">
        <f t="shared" si="56"/>
        <v>297134</v>
      </c>
      <c r="W78" s="199">
        <f t="shared" si="57"/>
        <v>200000</v>
      </c>
      <c r="X78" s="201">
        <f t="shared" si="60"/>
        <v>3097060</v>
      </c>
      <c r="Y78" s="202">
        <f t="shared" si="37"/>
        <v>120720</v>
      </c>
      <c r="Z78" s="202">
        <f t="shared" si="38"/>
        <v>258078</v>
      </c>
      <c r="AA78" s="202">
        <f t="shared" si="39"/>
        <v>258078</v>
      </c>
      <c r="AB78" s="202">
        <f t="shared" si="40"/>
        <v>30971</v>
      </c>
      <c r="AC78" s="202">
        <f t="shared" si="41"/>
        <v>0</v>
      </c>
      <c r="AD78" s="202">
        <f t="shared" si="42"/>
        <v>347647</v>
      </c>
      <c r="AE78" s="203">
        <v>6.9599999999999995E-2</v>
      </c>
      <c r="AF78" s="202">
        <f t="shared" si="50"/>
        <v>201635</v>
      </c>
      <c r="AG78" s="202">
        <f t="shared" si="43"/>
        <v>0</v>
      </c>
      <c r="AH78" s="202">
        <f t="shared" si="44"/>
        <v>0</v>
      </c>
      <c r="AI78" s="204">
        <f t="shared" si="58"/>
        <v>115882</v>
      </c>
      <c r="AJ78" s="201">
        <f t="shared" si="45"/>
        <v>4430071</v>
      </c>
      <c r="AK78" s="201">
        <f t="shared" si="46"/>
        <v>354406</v>
      </c>
      <c r="AL78" s="201">
        <f t="shared" si="47"/>
        <v>4784477</v>
      </c>
      <c r="AM78" s="204">
        <f t="shared" si="61"/>
        <v>909051</v>
      </c>
      <c r="AN78" s="201">
        <f t="shared" si="49"/>
        <v>5693528</v>
      </c>
      <c r="AO78" s="205" t="s">
        <v>13</v>
      </c>
      <c r="AP78" s="195"/>
    </row>
    <row r="79" spans="1:42" s="457" customFormat="1" ht="24.95" customHeight="1">
      <c r="A79" s="459" t="s">
        <v>183</v>
      </c>
      <c r="B79" s="460" t="s">
        <v>184</v>
      </c>
      <c r="C79" s="460">
        <v>1035856956</v>
      </c>
      <c r="D79" s="468" t="s">
        <v>634</v>
      </c>
      <c r="E79" s="462">
        <v>1</v>
      </c>
      <c r="F79" s="196">
        <v>2269777</v>
      </c>
      <c r="G79" s="197"/>
      <c r="H79" s="463">
        <v>30</v>
      </c>
      <c r="I79" s="463">
        <v>0</v>
      </c>
      <c r="J79" s="463">
        <v>0</v>
      </c>
      <c r="K79" s="463">
        <v>0</v>
      </c>
      <c r="L79" s="463">
        <v>40</v>
      </c>
      <c r="M79" s="463">
        <v>16</v>
      </c>
      <c r="N79" s="463">
        <v>30</v>
      </c>
      <c r="O79" s="463">
        <v>0</v>
      </c>
      <c r="P79" s="198">
        <f t="shared" si="59"/>
        <v>2269777</v>
      </c>
      <c r="Q79" s="199">
        <f t="shared" si="51"/>
        <v>0</v>
      </c>
      <c r="R79" s="199">
        <f t="shared" si="52"/>
        <v>0</v>
      </c>
      <c r="S79" s="200">
        <f t="shared" si="53"/>
        <v>0</v>
      </c>
      <c r="T79" s="199">
        <f t="shared" si="54"/>
        <v>0</v>
      </c>
      <c r="U79" s="199">
        <f t="shared" si="55"/>
        <v>330149</v>
      </c>
      <c r="V79" s="199">
        <f t="shared" si="56"/>
        <v>297134</v>
      </c>
      <c r="W79" s="199">
        <f t="shared" si="57"/>
        <v>200000</v>
      </c>
      <c r="X79" s="201">
        <f t="shared" si="60"/>
        <v>3097060</v>
      </c>
      <c r="Y79" s="202">
        <f t="shared" si="37"/>
        <v>120720</v>
      </c>
      <c r="Z79" s="202">
        <f t="shared" si="38"/>
        <v>258078</v>
      </c>
      <c r="AA79" s="202">
        <f t="shared" si="39"/>
        <v>258078</v>
      </c>
      <c r="AB79" s="202">
        <f t="shared" si="40"/>
        <v>30971</v>
      </c>
      <c r="AC79" s="202">
        <f t="shared" si="41"/>
        <v>0</v>
      </c>
      <c r="AD79" s="202">
        <f t="shared" si="42"/>
        <v>347647</v>
      </c>
      <c r="AE79" s="203">
        <v>6.9599999999999995E-2</v>
      </c>
      <c r="AF79" s="202">
        <f t="shared" si="50"/>
        <v>201635</v>
      </c>
      <c r="AG79" s="202">
        <f t="shared" si="43"/>
        <v>0</v>
      </c>
      <c r="AH79" s="202">
        <f t="shared" si="44"/>
        <v>0</v>
      </c>
      <c r="AI79" s="204">
        <f t="shared" si="58"/>
        <v>115882</v>
      </c>
      <c r="AJ79" s="201">
        <f t="shared" si="45"/>
        <v>4430071</v>
      </c>
      <c r="AK79" s="201">
        <f t="shared" si="46"/>
        <v>354406</v>
      </c>
      <c r="AL79" s="201">
        <f t="shared" si="47"/>
        <v>4784477</v>
      </c>
      <c r="AM79" s="204">
        <f t="shared" si="61"/>
        <v>909051</v>
      </c>
      <c r="AN79" s="201">
        <f t="shared" si="49"/>
        <v>5693528</v>
      </c>
      <c r="AO79" s="205" t="s">
        <v>13</v>
      </c>
      <c r="AP79" s="195"/>
    </row>
    <row r="80" spans="1:42" s="457" customFormat="1" ht="24.95" customHeight="1">
      <c r="A80" s="459" t="s">
        <v>183</v>
      </c>
      <c r="B80" s="460" t="s">
        <v>184</v>
      </c>
      <c r="C80" s="460">
        <v>1037667116</v>
      </c>
      <c r="D80" s="468" t="s">
        <v>635</v>
      </c>
      <c r="E80" s="462">
        <v>1</v>
      </c>
      <c r="F80" s="196">
        <v>2269777</v>
      </c>
      <c r="G80" s="197"/>
      <c r="H80" s="463">
        <v>30</v>
      </c>
      <c r="I80" s="463">
        <v>0</v>
      </c>
      <c r="J80" s="463">
        <v>0</v>
      </c>
      <c r="K80" s="463">
        <v>0</v>
      </c>
      <c r="L80" s="463">
        <v>40</v>
      </c>
      <c r="M80" s="463">
        <v>16</v>
      </c>
      <c r="N80" s="463">
        <v>30</v>
      </c>
      <c r="O80" s="463">
        <v>0</v>
      </c>
      <c r="P80" s="198">
        <f>IFERROR(ROUND(F80/30*H80,0),"")</f>
        <v>2269777</v>
      </c>
      <c r="Q80" s="199">
        <f>IF(E80=0,"",IF(I80="",0,IF(I80&lt;=2,ROUND(F80/30*I80,0),"REVISAR")))</f>
        <v>0</v>
      </c>
      <c r="R80" s="199">
        <f>IF(J80="","",IF(J80=0,0,IF(J80&lt;=2,"Revisar",ROUND(F80/30*66.67%*J80,0))))</f>
        <v>0</v>
      </c>
      <c r="S80" s="200">
        <f t="shared" si="53"/>
        <v>0</v>
      </c>
      <c r="T80" s="199">
        <f t="shared" si="54"/>
        <v>0</v>
      </c>
      <c r="U80" s="199">
        <f t="shared" si="55"/>
        <v>330149</v>
      </c>
      <c r="V80" s="199">
        <f t="shared" si="56"/>
        <v>297134</v>
      </c>
      <c r="W80" s="199">
        <f t="shared" si="57"/>
        <v>200000</v>
      </c>
      <c r="X80" s="201">
        <f t="shared" si="60"/>
        <v>3097060</v>
      </c>
      <c r="Y80" s="202">
        <f t="shared" si="37"/>
        <v>120720</v>
      </c>
      <c r="Z80" s="202">
        <f t="shared" si="38"/>
        <v>258078</v>
      </c>
      <c r="AA80" s="202">
        <f t="shared" si="39"/>
        <v>258078</v>
      </c>
      <c r="AB80" s="202">
        <f t="shared" si="40"/>
        <v>30971</v>
      </c>
      <c r="AC80" s="202">
        <f t="shared" si="41"/>
        <v>0</v>
      </c>
      <c r="AD80" s="202">
        <f t="shared" si="42"/>
        <v>347647</v>
      </c>
      <c r="AE80" s="203">
        <v>6.9599999999999995E-2</v>
      </c>
      <c r="AF80" s="202">
        <f t="shared" si="50"/>
        <v>201635</v>
      </c>
      <c r="AG80" s="202">
        <f t="shared" si="43"/>
        <v>0</v>
      </c>
      <c r="AH80" s="202">
        <f t="shared" si="44"/>
        <v>0</v>
      </c>
      <c r="AI80" s="204">
        <f t="shared" si="58"/>
        <v>115882</v>
      </c>
      <c r="AJ80" s="201">
        <f t="shared" si="45"/>
        <v>4430071</v>
      </c>
      <c r="AK80" s="201">
        <f t="shared" si="46"/>
        <v>354406</v>
      </c>
      <c r="AL80" s="201">
        <f t="shared" si="47"/>
        <v>4784477</v>
      </c>
      <c r="AM80" s="204">
        <f t="shared" si="61"/>
        <v>909051</v>
      </c>
      <c r="AN80" s="201">
        <f t="shared" si="49"/>
        <v>5693528</v>
      </c>
      <c r="AO80" s="205" t="s">
        <v>13</v>
      </c>
      <c r="AP80" s="195"/>
    </row>
    <row r="81" spans="1:42" s="457" customFormat="1" ht="24.95" customHeight="1">
      <c r="A81" s="459" t="s">
        <v>183</v>
      </c>
      <c r="B81" s="460" t="s">
        <v>184</v>
      </c>
      <c r="C81" s="460">
        <v>1216730484</v>
      </c>
      <c r="D81" s="468" t="s">
        <v>636</v>
      </c>
      <c r="E81" s="462">
        <v>1</v>
      </c>
      <c r="F81" s="196">
        <v>2269777</v>
      </c>
      <c r="G81" s="197"/>
      <c r="H81" s="463">
        <v>30</v>
      </c>
      <c r="I81" s="463">
        <v>0</v>
      </c>
      <c r="J81" s="463">
        <v>0</v>
      </c>
      <c r="K81" s="463">
        <v>0</v>
      </c>
      <c r="L81" s="463">
        <v>40</v>
      </c>
      <c r="M81" s="463">
        <v>16</v>
      </c>
      <c r="N81" s="463">
        <v>30</v>
      </c>
      <c r="O81" s="463">
        <v>0</v>
      </c>
      <c r="P81" s="198">
        <f t="shared" si="59"/>
        <v>2269777</v>
      </c>
      <c r="Q81" s="199">
        <f t="shared" si="51"/>
        <v>0</v>
      </c>
      <c r="R81" s="199">
        <f t="shared" si="52"/>
        <v>0</v>
      </c>
      <c r="S81" s="200">
        <f t="shared" si="53"/>
        <v>0</v>
      </c>
      <c r="T81" s="199">
        <f t="shared" si="54"/>
        <v>0</v>
      </c>
      <c r="U81" s="199">
        <f t="shared" si="55"/>
        <v>330149</v>
      </c>
      <c r="V81" s="199">
        <f t="shared" si="56"/>
        <v>297134</v>
      </c>
      <c r="W81" s="199">
        <f t="shared" si="57"/>
        <v>200000</v>
      </c>
      <c r="X81" s="201">
        <f t="shared" si="60"/>
        <v>3097060</v>
      </c>
      <c r="Y81" s="202">
        <f t="shared" si="37"/>
        <v>120720</v>
      </c>
      <c r="Z81" s="202">
        <f t="shared" si="38"/>
        <v>258078</v>
      </c>
      <c r="AA81" s="202">
        <f t="shared" si="39"/>
        <v>258078</v>
      </c>
      <c r="AB81" s="202">
        <f t="shared" si="40"/>
        <v>30971</v>
      </c>
      <c r="AC81" s="202">
        <f t="shared" si="41"/>
        <v>0</v>
      </c>
      <c r="AD81" s="202">
        <f t="shared" si="42"/>
        <v>347647</v>
      </c>
      <c r="AE81" s="203">
        <v>6.9599999999999995E-2</v>
      </c>
      <c r="AF81" s="202">
        <f t="shared" si="50"/>
        <v>201635</v>
      </c>
      <c r="AG81" s="202">
        <f t="shared" si="43"/>
        <v>0</v>
      </c>
      <c r="AH81" s="202">
        <f t="shared" si="44"/>
        <v>0</v>
      </c>
      <c r="AI81" s="204">
        <f t="shared" si="58"/>
        <v>115882</v>
      </c>
      <c r="AJ81" s="201">
        <f t="shared" si="45"/>
        <v>4430071</v>
      </c>
      <c r="AK81" s="201">
        <f t="shared" si="46"/>
        <v>354406</v>
      </c>
      <c r="AL81" s="201">
        <f t="shared" si="47"/>
        <v>4784477</v>
      </c>
      <c r="AM81" s="204">
        <f t="shared" si="61"/>
        <v>909051</v>
      </c>
      <c r="AN81" s="201">
        <f t="shared" si="49"/>
        <v>5693528</v>
      </c>
      <c r="AO81" s="205" t="s">
        <v>13</v>
      </c>
      <c r="AP81" s="195"/>
    </row>
    <row r="82" spans="1:42" s="457" customFormat="1" ht="24.95" customHeight="1">
      <c r="A82" s="459" t="s">
        <v>183</v>
      </c>
      <c r="B82" s="460" t="s">
        <v>184</v>
      </c>
      <c r="C82" s="460">
        <v>15517428</v>
      </c>
      <c r="D82" s="468" t="s">
        <v>637</v>
      </c>
      <c r="E82" s="462">
        <v>1</v>
      </c>
      <c r="F82" s="196">
        <v>2269777</v>
      </c>
      <c r="G82" s="197"/>
      <c r="H82" s="463">
        <v>30</v>
      </c>
      <c r="I82" s="463">
        <v>0</v>
      </c>
      <c r="J82" s="463">
        <v>0</v>
      </c>
      <c r="K82" s="463">
        <v>0</v>
      </c>
      <c r="L82" s="463">
        <v>40</v>
      </c>
      <c r="M82" s="463">
        <v>16</v>
      </c>
      <c r="N82" s="463">
        <v>30</v>
      </c>
      <c r="O82" s="463">
        <v>0</v>
      </c>
      <c r="P82" s="198">
        <f t="shared" si="59"/>
        <v>2269777</v>
      </c>
      <c r="Q82" s="199">
        <f t="shared" si="51"/>
        <v>0</v>
      </c>
      <c r="R82" s="199">
        <f t="shared" si="52"/>
        <v>0</v>
      </c>
      <c r="S82" s="200">
        <f t="shared" si="53"/>
        <v>0</v>
      </c>
      <c r="T82" s="199">
        <f t="shared" si="54"/>
        <v>0</v>
      </c>
      <c r="U82" s="199">
        <f t="shared" si="55"/>
        <v>330149</v>
      </c>
      <c r="V82" s="199">
        <f t="shared" si="56"/>
        <v>297134</v>
      </c>
      <c r="W82" s="199">
        <f t="shared" si="57"/>
        <v>200000</v>
      </c>
      <c r="X82" s="201">
        <f t="shared" si="60"/>
        <v>3097060</v>
      </c>
      <c r="Y82" s="202">
        <f t="shared" si="37"/>
        <v>120720</v>
      </c>
      <c r="Z82" s="202">
        <f t="shared" si="38"/>
        <v>258078</v>
      </c>
      <c r="AA82" s="202">
        <f t="shared" si="39"/>
        <v>258078</v>
      </c>
      <c r="AB82" s="202">
        <f t="shared" si="40"/>
        <v>30971</v>
      </c>
      <c r="AC82" s="202">
        <f t="shared" si="41"/>
        <v>0</v>
      </c>
      <c r="AD82" s="202">
        <f t="shared" si="42"/>
        <v>347647</v>
      </c>
      <c r="AE82" s="203">
        <v>6.9599999999999995E-2</v>
      </c>
      <c r="AF82" s="202">
        <f t="shared" si="50"/>
        <v>201635</v>
      </c>
      <c r="AG82" s="202">
        <f t="shared" si="43"/>
        <v>0</v>
      </c>
      <c r="AH82" s="202">
        <f t="shared" si="44"/>
        <v>0</v>
      </c>
      <c r="AI82" s="204">
        <f t="shared" si="58"/>
        <v>115882</v>
      </c>
      <c r="AJ82" s="201">
        <f t="shared" si="45"/>
        <v>4430071</v>
      </c>
      <c r="AK82" s="201">
        <f t="shared" si="46"/>
        <v>354406</v>
      </c>
      <c r="AL82" s="201">
        <f t="shared" si="47"/>
        <v>4784477</v>
      </c>
      <c r="AM82" s="204">
        <f t="shared" si="61"/>
        <v>909051</v>
      </c>
      <c r="AN82" s="201">
        <f t="shared" si="49"/>
        <v>5693528</v>
      </c>
      <c r="AO82" s="205" t="s">
        <v>13</v>
      </c>
      <c r="AP82" s="195"/>
    </row>
    <row r="83" spans="1:42" s="457" customFormat="1" ht="24.95" customHeight="1">
      <c r="A83" s="459" t="s">
        <v>183</v>
      </c>
      <c r="B83" s="460" t="s">
        <v>184</v>
      </c>
      <c r="C83" s="460">
        <v>15517937</v>
      </c>
      <c r="D83" s="468" t="s">
        <v>566</v>
      </c>
      <c r="E83" s="462">
        <v>1</v>
      </c>
      <c r="F83" s="196">
        <v>2269777</v>
      </c>
      <c r="G83" s="197"/>
      <c r="H83" s="463">
        <v>30</v>
      </c>
      <c r="I83" s="463">
        <v>0</v>
      </c>
      <c r="J83" s="463">
        <v>0</v>
      </c>
      <c r="K83" s="463">
        <v>0</v>
      </c>
      <c r="L83" s="463">
        <v>40</v>
      </c>
      <c r="M83" s="463">
        <v>16</v>
      </c>
      <c r="N83" s="463">
        <v>30</v>
      </c>
      <c r="O83" s="463">
        <v>0</v>
      </c>
      <c r="P83" s="198">
        <f t="shared" si="59"/>
        <v>2269777</v>
      </c>
      <c r="Q83" s="199">
        <f t="shared" si="51"/>
        <v>0</v>
      </c>
      <c r="R83" s="199">
        <f t="shared" si="52"/>
        <v>0</v>
      </c>
      <c r="S83" s="200">
        <f t="shared" si="53"/>
        <v>0</v>
      </c>
      <c r="T83" s="199">
        <f t="shared" si="54"/>
        <v>0</v>
      </c>
      <c r="U83" s="199">
        <f t="shared" si="55"/>
        <v>330149</v>
      </c>
      <c r="V83" s="199">
        <f t="shared" si="56"/>
        <v>297134</v>
      </c>
      <c r="W83" s="199">
        <f t="shared" si="57"/>
        <v>200000</v>
      </c>
      <c r="X83" s="201">
        <f t="shared" si="60"/>
        <v>3097060</v>
      </c>
      <c r="Y83" s="202">
        <f t="shared" si="37"/>
        <v>120720</v>
      </c>
      <c r="Z83" s="202">
        <f t="shared" si="38"/>
        <v>258078</v>
      </c>
      <c r="AA83" s="202">
        <f t="shared" si="39"/>
        <v>258078</v>
      </c>
      <c r="AB83" s="202">
        <f t="shared" si="40"/>
        <v>30971</v>
      </c>
      <c r="AC83" s="202">
        <f t="shared" si="41"/>
        <v>0</v>
      </c>
      <c r="AD83" s="202">
        <f t="shared" si="42"/>
        <v>347647</v>
      </c>
      <c r="AE83" s="203">
        <v>6.9599999999999995E-2</v>
      </c>
      <c r="AF83" s="202">
        <f t="shared" si="50"/>
        <v>201635</v>
      </c>
      <c r="AG83" s="202">
        <f t="shared" si="43"/>
        <v>0</v>
      </c>
      <c r="AH83" s="202">
        <f t="shared" si="44"/>
        <v>0</v>
      </c>
      <c r="AI83" s="204">
        <f t="shared" si="58"/>
        <v>115882</v>
      </c>
      <c r="AJ83" s="201">
        <f t="shared" si="45"/>
        <v>4430071</v>
      </c>
      <c r="AK83" s="201">
        <f t="shared" si="46"/>
        <v>354406</v>
      </c>
      <c r="AL83" s="201">
        <f t="shared" si="47"/>
        <v>4784477</v>
      </c>
      <c r="AM83" s="204">
        <f t="shared" si="61"/>
        <v>909051</v>
      </c>
      <c r="AN83" s="201">
        <f t="shared" si="49"/>
        <v>5693528</v>
      </c>
      <c r="AO83" s="205" t="s">
        <v>13</v>
      </c>
      <c r="AP83" s="195"/>
    </row>
    <row r="84" spans="1:42" s="457" customFormat="1" ht="24.95" customHeight="1">
      <c r="A84" s="459" t="s">
        <v>183</v>
      </c>
      <c r="B84" s="460" t="s">
        <v>184</v>
      </c>
      <c r="C84" s="460">
        <v>32091812</v>
      </c>
      <c r="D84" s="468" t="s">
        <v>638</v>
      </c>
      <c r="E84" s="462">
        <v>1</v>
      </c>
      <c r="F84" s="196">
        <v>2269777</v>
      </c>
      <c r="G84" s="197"/>
      <c r="H84" s="463">
        <v>30</v>
      </c>
      <c r="I84" s="463">
        <v>0</v>
      </c>
      <c r="J84" s="463">
        <v>0</v>
      </c>
      <c r="K84" s="463">
        <v>0</v>
      </c>
      <c r="L84" s="463">
        <v>40</v>
      </c>
      <c r="M84" s="463">
        <v>16</v>
      </c>
      <c r="N84" s="463">
        <v>30</v>
      </c>
      <c r="O84" s="463">
        <v>0</v>
      </c>
      <c r="P84" s="198">
        <f t="shared" si="59"/>
        <v>2269777</v>
      </c>
      <c r="Q84" s="199">
        <f t="shared" si="51"/>
        <v>0</v>
      </c>
      <c r="R84" s="199">
        <f t="shared" si="52"/>
        <v>0</v>
      </c>
      <c r="S84" s="200">
        <f t="shared" si="53"/>
        <v>0</v>
      </c>
      <c r="T84" s="199">
        <f t="shared" si="54"/>
        <v>0</v>
      </c>
      <c r="U84" s="199">
        <f t="shared" si="55"/>
        <v>330149</v>
      </c>
      <c r="V84" s="199">
        <f t="shared" si="56"/>
        <v>297134</v>
      </c>
      <c r="W84" s="199">
        <f t="shared" si="57"/>
        <v>200000</v>
      </c>
      <c r="X84" s="201">
        <f t="shared" si="60"/>
        <v>3097060</v>
      </c>
      <c r="Y84" s="202">
        <f t="shared" si="37"/>
        <v>120720</v>
      </c>
      <c r="Z84" s="202">
        <f t="shared" si="38"/>
        <v>258078</v>
      </c>
      <c r="AA84" s="202">
        <f t="shared" si="39"/>
        <v>258078</v>
      </c>
      <c r="AB84" s="202">
        <f t="shared" si="40"/>
        <v>30971</v>
      </c>
      <c r="AC84" s="202">
        <f t="shared" si="41"/>
        <v>0</v>
      </c>
      <c r="AD84" s="202">
        <f t="shared" si="42"/>
        <v>347647</v>
      </c>
      <c r="AE84" s="203">
        <v>6.9599999999999995E-2</v>
      </c>
      <c r="AF84" s="202">
        <f t="shared" si="50"/>
        <v>201635</v>
      </c>
      <c r="AG84" s="202">
        <f t="shared" si="43"/>
        <v>0</v>
      </c>
      <c r="AH84" s="202">
        <f t="shared" si="44"/>
        <v>0</v>
      </c>
      <c r="AI84" s="204">
        <f t="shared" si="58"/>
        <v>115882</v>
      </c>
      <c r="AJ84" s="201">
        <f t="shared" si="45"/>
        <v>4430071</v>
      </c>
      <c r="AK84" s="201">
        <f t="shared" si="46"/>
        <v>354406</v>
      </c>
      <c r="AL84" s="201">
        <f t="shared" si="47"/>
        <v>4784477</v>
      </c>
      <c r="AM84" s="204">
        <f t="shared" si="61"/>
        <v>909051</v>
      </c>
      <c r="AN84" s="201">
        <f t="shared" si="49"/>
        <v>5693528</v>
      </c>
      <c r="AO84" s="205" t="s">
        <v>13</v>
      </c>
      <c r="AP84" s="195"/>
    </row>
    <row r="85" spans="1:42" s="457" customFormat="1" ht="24.95" customHeight="1">
      <c r="A85" s="459" t="s">
        <v>183</v>
      </c>
      <c r="B85" s="460" t="s">
        <v>184</v>
      </c>
      <c r="C85" s="460">
        <v>43915788</v>
      </c>
      <c r="D85" s="468" t="s">
        <v>639</v>
      </c>
      <c r="E85" s="462">
        <v>1</v>
      </c>
      <c r="F85" s="196">
        <v>2269777</v>
      </c>
      <c r="G85" s="197"/>
      <c r="H85" s="463">
        <v>30</v>
      </c>
      <c r="I85" s="463">
        <v>0</v>
      </c>
      <c r="J85" s="463">
        <v>0</v>
      </c>
      <c r="K85" s="463">
        <v>0</v>
      </c>
      <c r="L85" s="463">
        <v>40</v>
      </c>
      <c r="M85" s="463">
        <v>16</v>
      </c>
      <c r="N85" s="463">
        <v>30</v>
      </c>
      <c r="O85" s="463">
        <v>0</v>
      </c>
      <c r="P85" s="198">
        <f t="shared" si="59"/>
        <v>2269777</v>
      </c>
      <c r="Q85" s="199">
        <f t="shared" si="51"/>
        <v>0</v>
      </c>
      <c r="R85" s="199">
        <f t="shared" si="52"/>
        <v>0</v>
      </c>
      <c r="S85" s="200">
        <f t="shared" si="53"/>
        <v>0</v>
      </c>
      <c r="T85" s="199">
        <f t="shared" si="54"/>
        <v>0</v>
      </c>
      <c r="U85" s="199">
        <f t="shared" si="55"/>
        <v>330149</v>
      </c>
      <c r="V85" s="199">
        <f t="shared" si="56"/>
        <v>297134</v>
      </c>
      <c r="W85" s="199">
        <f>IF(E85=0,"",IF(F85&gt;2847000,0,$W$8*E85/30*N85))</f>
        <v>200000</v>
      </c>
      <c r="X85" s="201">
        <f>SUM(P85:W85)</f>
        <v>3097060</v>
      </c>
      <c r="Y85" s="202">
        <f t="shared" si="37"/>
        <v>120720</v>
      </c>
      <c r="Z85" s="202">
        <f t="shared" si="38"/>
        <v>258078</v>
      </c>
      <c r="AA85" s="202">
        <f t="shared" si="39"/>
        <v>258078</v>
      </c>
      <c r="AB85" s="202">
        <f t="shared" si="40"/>
        <v>30971</v>
      </c>
      <c r="AC85" s="202">
        <f t="shared" si="41"/>
        <v>0</v>
      </c>
      <c r="AD85" s="202">
        <f t="shared" si="42"/>
        <v>347647</v>
      </c>
      <c r="AE85" s="203">
        <v>6.9599999999999995E-2</v>
      </c>
      <c r="AF85" s="202">
        <f t="shared" si="50"/>
        <v>201635</v>
      </c>
      <c r="AG85" s="202">
        <f t="shared" si="43"/>
        <v>0</v>
      </c>
      <c r="AH85" s="202">
        <f t="shared" si="44"/>
        <v>0</v>
      </c>
      <c r="AI85" s="204">
        <f t="shared" si="58"/>
        <v>115882</v>
      </c>
      <c r="AJ85" s="201">
        <f t="shared" si="45"/>
        <v>4430071</v>
      </c>
      <c r="AK85" s="201">
        <f t="shared" si="46"/>
        <v>354406</v>
      </c>
      <c r="AL85" s="201">
        <f t="shared" si="47"/>
        <v>4784477</v>
      </c>
      <c r="AM85" s="204">
        <f t="shared" si="61"/>
        <v>909051</v>
      </c>
      <c r="AN85" s="201">
        <f t="shared" si="49"/>
        <v>5693528</v>
      </c>
      <c r="AO85" s="205" t="s">
        <v>13</v>
      </c>
      <c r="AP85" s="195"/>
    </row>
    <row r="86" spans="1:42" s="457" customFormat="1" ht="24.95" customHeight="1">
      <c r="A86" s="459" t="s">
        <v>183</v>
      </c>
      <c r="B86" s="460" t="s">
        <v>184</v>
      </c>
      <c r="C86" s="460">
        <v>70328027</v>
      </c>
      <c r="D86" s="468" t="s">
        <v>640</v>
      </c>
      <c r="E86" s="462">
        <v>1</v>
      </c>
      <c r="F86" s="196">
        <v>2269777</v>
      </c>
      <c r="G86" s="197"/>
      <c r="H86" s="463">
        <v>30</v>
      </c>
      <c r="I86" s="463">
        <v>0</v>
      </c>
      <c r="J86" s="463">
        <v>0</v>
      </c>
      <c r="K86" s="463">
        <v>0</v>
      </c>
      <c r="L86" s="463">
        <v>40</v>
      </c>
      <c r="M86" s="463">
        <v>16</v>
      </c>
      <c r="N86" s="463">
        <v>30</v>
      </c>
      <c r="O86" s="463">
        <v>0</v>
      </c>
      <c r="P86" s="198">
        <f t="shared" si="59"/>
        <v>2269777</v>
      </c>
      <c r="Q86" s="199">
        <f t="shared" si="51"/>
        <v>0</v>
      </c>
      <c r="R86" s="199">
        <f t="shared" si="52"/>
        <v>0</v>
      </c>
      <c r="S86" s="200">
        <f t="shared" si="53"/>
        <v>0</v>
      </c>
      <c r="T86" s="199">
        <f t="shared" si="54"/>
        <v>0</v>
      </c>
      <c r="U86" s="199">
        <f t="shared" si="55"/>
        <v>330149</v>
      </c>
      <c r="V86" s="199">
        <f t="shared" si="56"/>
        <v>297134</v>
      </c>
      <c r="W86" s="199">
        <f t="shared" si="57"/>
        <v>200000</v>
      </c>
      <c r="X86" s="201">
        <f t="shared" si="60"/>
        <v>3097060</v>
      </c>
      <c r="Y86" s="202">
        <f t="shared" si="37"/>
        <v>120720</v>
      </c>
      <c r="Z86" s="202">
        <f t="shared" si="38"/>
        <v>258078</v>
      </c>
      <c r="AA86" s="202">
        <f t="shared" si="39"/>
        <v>258078</v>
      </c>
      <c r="AB86" s="202">
        <f t="shared" si="40"/>
        <v>30971</v>
      </c>
      <c r="AC86" s="202">
        <f t="shared" si="41"/>
        <v>0</v>
      </c>
      <c r="AD86" s="202">
        <f t="shared" si="42"/>
        <v>347647</v>
      </c>
      <c r="AE86" s="203">
        <v>6.9599999999999995E-2</v>
      </c>
      <c r="AF86" s="202">
        <f t="shared" si="50"/>
        <v>201635</v>
      </c>
      <c r="AG86" s="202">
        <f t="shared" si="43"/>
        <v>0</v>
      </c>
      <c r="AH86" s="202">
        <f t="shared" si="44"/>
        <v>0</v>
      </c>
      <c r="AI86" s="204">
        <f t="shared" si="58"/>
        <v>115882</v>
      </c>
      <c r="AJ86" s="201">
        <f t="shared" si="45"/>
        <v>4430071</v>
      </c>
      <c r="AK86" s="201">
        <f t="shared" si="46"/>
        <v>354406</v>
      </c>
      <c r="AL86" s="201">
        <f t="shared" si="47"/>
        <v>4784477</v>
      </c>
      <c r="AM86" s="204">
        <f t="shared" si="61"/>
        <v>909051</v>
      </c>
      <c r="AN86" s="201">
        <f t="shared" si="49"/>
        <v>5693528</v>
      </c>
      <c r="AO86" s="205" t="s">
        <v>13</v>
      </c>
      <c r="AP86" s="195"/>
    </row>
    <row r="87" spans="1:42" s="457" customFormat="1" ht="24.95" customHeight="1">
      <c r="A87" s="459" t="s">
        <v>183</v>
      </c>
      <c r="B87" s="460" t="s">
        <v>184</v>
      </c>
      <c r="C87" s="460">
        <v>71826129</v>
      </c>
      <c r="D87" s="468" t="s">
        <v>563</v>
      </c>
      <c r="E87" s="462">
        <v>1</v>
      </c>
      <c r="F87" s="196">
        <v>2269777</v>
      </c>
      <c r="G87" s="197"/>
      <c r="H87" s="463">
        <v>30</v>
      </c>
      <c r="I87" s="463">
        <v>0</v>
      </c>
      <c r="J87" s="463">
        <v>0</v>
      </c>
      <c r="K87" s="463">
        <v>0</v>
      </c>
      <c r="L87" s="463">
        <v>40</v>
      </c>
      <c r="M87" s="463">
        <v>16</v>
      </c>
      <c r="N87" s="463">
        <v>30</v>
      </c>
      <c r="O87" s="463">
        <v>0</v>
      </c>
      <c r="P87" s="198">
        <f t="shared" si="59"/>
        <v>2269777</v>
      </c>
      <c r="Q87" s="199">
        <f t="shared" si="51"/>
        <v>0</v>
      </c>
      <c r="R87" s="199">
        <f t="shared" si="52"/>
        <v>0</v>
      </c>
      <c r="S87" s="200">
        <f t="shared" si="53"/>
        <v>0</v>
      </c>
      <c r="T87" s="199">
        <f t="shared" si="54"/>
        <v>0</v>
      </c>
      <c r="U87" s="199">
        <f t="shared" si="55"/>
        <v>330149</v>
      </c>
      <c r="V87" s="199">
        <f t="shared" si="56"/>
        <v>297134</v>
      </c>
      <c r="W87" s="199">
        <f t="shared" si="57"/>
        <v>200000</v>
      </c>
      <c r="X87" s="201">
        <f t="shared" si="60"/>
        <v>3097060</v>
      </c>
      <c r="Y87" s="202">
        <f t="shared" si="37"/>
        <v>120720</v>
      </c>
      <c r="Z87" s="202">
        <f t="shared" si="38"/>
        <v>258078</v>
      </c>
      <c r="AA87" s="202">
        <f t="shared" si="39"/>
        <v>258078</v>
      </c>
      <c r="AB87" s="202">
        <f t="shared" si="40"/>
        <v>30971</v>
      </c>
      <c r="AC87" s="202">
        <f t="shared" si="41"/>
        <v>0</v>
      </c>
      <c r="AD87" s="202">
        <f t="shared" si="42"/>
        <v>347647</v>
      </c>
      <c r="AE87" s="203">
        <v>6.9599999999999995E-2</v>
      </c>
      <c r="AF87" s="202">
        <f t="shared" si="50"/>
        <v>201635</v>
      </c>
      <c r="AG87" s="202">
        <f t="shared" si="43"/>
        <v>0</v>
      </c>
      <c r="AH87" s="202">
        <f t="shared" si="44"/>
        <v>0</v>
      </c>
      <c r="AI87" s="204">
        <f t="shared" si="58"/>
        <v>115882</v>
      </c>
      <c r="AJ87" s="201">
        <f t="shared" si="45"/>
        <v>4430071</v>
      </c>
      <c r="AK87" s="201">
        <f t="shared" si="46"/>
        <v>354406</v>
      </c>
      <c r="AL87" s="201">
        <f t="shared" si="47"/>
        <v>4784477</v>
      </c>
      <c r="AM87" s="204">
        <f t="shared" si="61"/>
        <v>909051</v>
      </c>
      <c r="AN87" s="201">
        <f t="shared" si="49"/>
        <v>5693528</v>
      </c>
      <c r="AO87" s="205" t="s">
        <v>13</v>
      </c>
      <c r="AP87" s="195"/>
    </row>
    <row r="88" spans="1:42" s="457" customFormat="1" ht="24.95" customHeight="1">
      <c r="A88" s="459" t="s">
        <v>183</v>
      </c>
      <c r="B88" s="460" t="s">
        <v>184</v>
      </c>
      <c r="C88" s="460">
        <v>1035870129</v>
      </c>
      <c r="D88" s="468" t="s">
        <v>641</v>
      </c>
      <c r="E88" s="462">
        <v>1</v>
      </c>
      <c r="F88" s="196">
        <v>2269777</v>
      </c>
      <c r="G88" s="197">
        <v>5</v>
      </c>
      <c r="H88" s="463">
        <v>30</v>
      </c>
      <c r="I88" s="463">
        <v>0</v>
      </c>
      <c r="J88" s="463">
        <v>0</v>
      </c>
      <c r="K88" s="463">
        <v>0</v>
      </c>
      <c r="L88" s="463">
        <v>32</v>
      </c>
      <c r="M88" s="463">
        <v>16</v>
      </c>
      <c r="N88" s="463">
        <v>25</v>
      </c>
      <c r="O88" s="463">
        <v>0</v>
      </c>
      <c r="P88" s="198">
        <f t="shared" si="59"/>
        <v>2269777</v>
      </c>
      <c r="Q88" s="199">
        <f t="shared" si="51"/>
        <v>0</v>
      </c>
      <c r="R88" s="199">
        <f t="shared" si="52"/>
        <v>0</v>
      </c>
      <c r="S88" s="200">
        <f t="shared" si="53"/>
        <v>0</v>
      </c>
      <c r="T88" s="199">
        <f t="shared" si="54"/>
        <v>0</v>
      </c>
      <c r="U88" s="199">
        <f t="shared" si="55"/>
        <v>264120</v>
      </c>
      <c r="V88" s="199">
        <f t="shared" si="56"/>
        <v>297134</v>
      </c>
      <c r="W88" s="199">
        <f t="shared" si="57"/>
        <v>166666.66666666669</v>
      </c>
      <c r="X88" s="201">
        <f t="shared" si="60"/>
        <v>2997697.6666666665</v>
      </c>
      <c r="Y88" s="202">
        <f t="shared" si="37"/>
        <v>117969</v>
      </c>
      <c r="Z88" s="202">
        <f t="shared" si="38"/>
        <v>249798</v>
      </c>
      <c r="AA88" s="202">
        <f t="shared" si="39"/>
        <v>249798</v>
      </c>
      <c r="AB88" s="202">
        <f t="shared" si="40"/>
        <v>29977</v>
      </c>
      <c r="AC88" s="202">
        <f t="shared" si="41"/>
        <v>0</v>
      </c>
      <c r="AD88" s="202">
        <f t="shared" si="42"/>
        <v>339724</v>
      </c>
      <c r="AE88" s="203">
        <v>6.9599999999999995E-2</v>
      </c>
      <c r="AF88" s="202">
        <f>IFERROR(ROUND((P88/30*25-SUM(Q88:S88)+U88+V88)*AE88,0),"")</f>
        <v>170710</v>
      </c>
      <c r="AG88" s="202">
        <f t="shared" si="43"/>
        <v>0</v>
      </c>
      <c r="AH88" s="202">
        <f t="shared" si="44"/>
        <v>0</v>
      </c>
      <c r="AI88" s="204">
        <f t="shared" si="58"/>
        <v>113241</v>
      </c>
      <c r="AJ88" s="201">
        <f t="shared" si="45"/>
        <v>4268914.666666666</v>
      </c>
      <c r="AK88" s="201">
        <f t="shared" si="46"/>
        <v>341513</v>
      </c>
      <c r="AL88" s="201">
        <f t="shared" si="47"/>
        <v>4610427.666666666</v>
      </c>
      <c r="AM88" s="204">
        <f t="shared" si="61"/>
        <v>875981</v>
      </c>
      <c r="AN88" s="201">
        <f t="shared" si="49"/>
        <v>5486408.666666666</v>
      </c>
      <c r="AO88" s="205" t="s">
        <v>13</v>
      </c>
      <c r="AP88" s="195"/>
    </row>
    <row r="89" spans="1:42" s="457" customFormat="1" ht="22.5">
      <c r="A89" s="459" t="s">
        <v>183</v>
      </c>
      <c r="B89" s="460" t="s">
        <v>184</v>
      </c>
      <c r="C89" s="494">
        <v>1035436783</v>
      </c>
      <c r="D89" s="468" t="s">
        <v>642</v>
      </c>
      <c r="E89" s="462">
        <v>1</v>
      </c>
      <c r="F89" s="196">
        <v>2269777</v>
      </c>
      <c r="G89" s="197">
        <v>4</v>
      </c>
      <c r="H89" s="463">
        <v>26</v>
      </c>
      <c r="I89" s="463">
        <v>2</v>
      </c>
      <c r="J89" s="463">
        <v>2</v>
      </c>
      <c r="K89" s="463">
        <v>0</v>
      </c>
      <c r="L89" s="463">
        <v>40</v>
      </c>
      <c r="M89" s="463">
        <v>16</v>
      </c>
      <c r="N89" s="463">
        <v>26</v>
      </c>
      <c r="O89" s="463">
        <v>0</v>
      </c>
      <c r="P89" s="198">
        <f t="shared" si="59"/>
        <v>1967140</v>
      </c>
      <c r="Q89" s="199">
        <f t="shared" si="51"/>
        <v>151318</v>
      </c>
      <c r="R89" s="199">
        <f>IF(J89=0,"",IF(J89&lt;=2,ROUND(F89/30*66.67%*J89,0),ROUND(F89/30*66.67%*J89,0)))</f>
        <v>100884</v>
      </c>
      <c r="S89" s="200">
        <f t="shared" si="53"/>
        <v>0</v>
      </c>
      <c r="T89" s="199">
        <f t="shared" si="54"/>
        <v>0</v>
      </c>
      <c r="U89" s="199">
        <f t="shared" si="55"/>
        <v>330149</v>
      </c>
      <c r="V89" s="199">
        <f t="shared" si="56"/>
        <v>297134</v>
      </c>
      <c r="W89" s="199">
        <f t="shared" si="57"/>
        <v>173333.33333333334</v>
      </c>
      <c r="X89" s="201">
        <f t="shared" si="60"/>
        <v>3019958.3333333335</v>
      </c>
      <c r="Y89" s="202">
        <f>ROUND((X89-W89)*$Y$8,0)</f>
        <v>118619</v>
      </c>
      <c r="Z89" s="202">
        <f>ROUND((X89)*$Z$8,0)</f>
        <v>251653</v>
      </c>
      <c r="AA89" s="202">
        <f>ROUND((X89)*$AA$8,0)</f>
        <v>251653</v>
      </c>
      <c r="AB89" s="202">
        <f>ROUND((X89)*$AB$8,0)</f>
        <v>30200</v>
      </c>
      <c r="AC89" s="202">
        <f>ROUND((X89-W89)*$AC$8,0)</f>
        <v>0</v>
      </c>
      <c r="AD89" s="202">
        <f>ROUND((X89-W89)*$AD$8,0)</f>
        <v>341595</v>
      </c>
      <c r="AE89" s="203">
        <v>6.9599999999999995E-2</v>
      </c>
      <c r="AF89" s="202">
        <f>IFERROR(ROUND((X89-SUM(Q89:S89)-W89)*AE89,0),"")</f>
        <v>180572</v>
      </c>
      <c r="AG89" s="202">
        <f>ROUND((X89-W89)*$AG$8,0)</f>
        <v>0</v>
      </c>
      <c r="AH89" s="202">
        <f>ROUND((X89-W89)*$AH$8,0)</f>
        <v>0</v>
      </c>
      <c r="AI89" s="204">
        <f t="shared" si="58"/>
        <v>103777</v>
      </c>
      <c r="AJ89" s="201">
        <f t="shared" si="45"/>
        <v>4298027.333333334</v>
      </c>
      <c r="AK89" s="201">
        <f>ROUND(AJ89*$AK$8,0)</f>
        <v>343842</v>
      </c>
      <c r="AL89" s="201">
        <f t="shared" si="47"/>
        <v>4641869.333333334</v>
      </c>
      <c r="AM89" s="204">
        <f>ROUND(AL89*$AM$8,0)</f>
        <v>881955</v>
      </c>
      <c r="AN89" s="201">
        <f t="shared" si="49"/>
        <v>5523824.333333334</v>
      </c>
      <c r="AO89" s="205" t="s">
        <v>13</v>
      </c>
      <c r="AP89" s="195"/>
    </row>
    <row r="90" spans="1:42" s="457" customFormat="1" ht="22.5">
      <c r="A90" s="459" t="s">
        <v>183</v>
      </c>
      <c r="B90" s="460" t="s">
        <v>184</v>
      </c>
      <c r="C90" s="494">
        <v>1035222774</v>
      </c>
      <c r="D90" s="468" t="s">
        <v>578</v>
      </c>
      <c r="E90" s="462">
        <v>1</v>
      </c>
      <c r="F90" s="196">
        <v>2269777</v>
      </c>
      <c r="G90" s="197"/>
      <c r="H90" s="463">
        <v>20</v>
      </c>
      <c r="I90" s="463">
        <v>0</v>
      </c>
      <c r="J90" s="463">
        <v>0</v>
      </c>
      <c r="K90" s="463">
        <v>0</v>
      </c>
      <c r="L90" s="463">
        <v>24</v>
      </c>
      <c r="M90" s="463">
        <v>8</v>
      </c>
      <c r="N90" s="463">
        <v>20</v>
      </c>
      <c r="O90" s="463">
        <v>0</v>
      </c>
      <c r="P90" s="198">
        <f t="shared" si="59"/>
        <v>1513185</v>
      </c>
      <c r="Q90" s="199">
        <f t="shared" si="51"/>
        <v>0</v>
      </c>
      <c r="R90" s="199" t="str">
        <f>IF(J90=0,"",IF(J90&lt;=2,ROUND(F90/30*66.67%*J90,0),ROUND(F90/30*66.67%*J90,0)))</f>
        <v/>
      </c>
      <c r="S90" s="200">
        <f t="shared" si="53"/>
        <v>0</v>
      </c>
      <c r="T90" s="199">
        <f t="shared" si="54"/>
        <v>0</v>
      </c>
      <c r="U90" s="199">
        <f t="shared" si="55"/>
        <v>198090</v>
      </c>
      <c r="V90" s="199">
        <f t="shared" si="56"/>
        <v>148567</v>
      </c>
      <c r="W90" s="199">
        <f t="shared" si="57"/>
        <v>133333.33333333334</v>
      </c>
      <c r="X90" s="201">
        <f t="shared" si="60"/>
        <v>1993175.3333333333</v>
      </c>
      <c r="Y90" s="202">
        <f t="shared" ref="Y90:Y97" si="62">ROUND((X90-W90)*$Y$8,0)</f>
        <v>77500</v>
      </c>
      <c r="Z90" s="202">
        <f t="shared" ref="Z90:Z99" si="63">ROUND((X90)*$Z$8,0)</f>
        <v>166091</v>
      </c>
      <c r="AA90" s="202">
        <f t="shared" ref="AA90:AA99" si="64">ROUND((X90)*$AA$8,0)</f>
        <v>166091</v>
      </c>
      <c r="AB90" s="202">
        <f t="shared" ref="AB90:AB99" si="65">ROUND((X90)*$AB$8,0)</f>
        <v>19932</v>
      </c>
      <c r="AC90" s="202">
        <f t="shared" ref="AC90:AC97" si="66">ROUND((X90-W90)*$AC$8,0)</f>
        <v>0</v>
      </c>
      <c r="AD90" s="202">
        <f t="shared" ref="AD90:AD97" si="67">ROUND((X90-W90)*$AD$8,0)</f>
        <v>223181</v>
      </c>
      <c r="AE90" s="203">
        <v>6.9599999999999995E-2</v>
      </c>
      <c r="AF90" s="202">
        <f t="shared" si="50"/>
        <v>129445</v>
      </c>
      <c r="AG90" s="202">
        <f t="shared" ref="AG90:AG97" si="68">ROUND((X90-W90)*$AG$8,0)</f>
        <v>0</v>
      </c>
      <c r="AH90" s="202">
        <f t="shared" ref="AH90:AH97" si="69">ROUND((X90-W90)*$AH$8,0)</f>
        <v>0</v>
      </c>
      <c r="AI90" s="204">
        <f t="shared" ref="AI90:AI99" si="70">IFERROR(ROUND((X90-SUM(Q90:S90)-W90)*$AI$8,0),"")</f>
        <v>74394</v>
      </c>
      <c r="AJ90" s="201">
        <f t="shared" si="45"/>
        <v>2849809.333333333</v>
      </c>
      <c r="AK90" s="201">
        <f t="shared" ref="AK90:AK99" si="71">ROUND(AJ90*$AK$8,0)</f>
        <v>227985</v>
      </c>
      <c r="AL90" s="201">
        <f t="shared" si="47"/>
        <v>3077794.333333333</v>
      </c>
      <c r="AM90" s="204">
        <f t="shared" ref="AM90:AM99" si="72">ROUND(AL90*$AM$8,0)</f>
        <v>584781</v>
      </c>
      <c r="AN90" s="201">
        <f t="shared" si="49"/>
        <v>3662575.333333333</v>
      </c>
      <c r="AO90" s="205" t="s">
        <v>13</v>
      </c>
      <c r="AP90" s="195"/>
    </row>
    <row r="91" spans="1:42" s="457" customFormat="1" ht="12">
      <c r="A91" s="459" t="s">
        <v>183</v>
      </c>
      <c r="B91" s="460" t="s">
        <v>184</v>
      </c>
      <c r="C91" s="460"/>
      <c r="D91" s="461"/>
      <c r="E91" s="462">
        <v>0</v>
      </c>
      <c r="F91" s="196">
        <v>2269777</v>
      </c>
      <c r="G91" s="197"/>
      <c r="H91" s="463"/>
      <c r="I91" s="463"/>
      <c r="J91" s="463"/>
      <c r="K91" s="463"/>
      <c r="L91" s="463"/>
      <c r="M91" s="463"/>
      <c r="N91" s="463"/>
      <c r="O91" s="463"/>
      <c r="P91" s="198">
        <f t="shared" si="59"/>
        <v>0</v>
      </c>
      <c r="Q91" s="199" t="str">
        <f t="shared" si="51"/>
        <v/>
      </c>
      <c r="R91" s="199" t="str">
        <f t="shared" si="52"/>
        <v/>
      </c>
      <c r="S91" s="200" t="str">
        <f t="shared" si="53"/>
        <v/>
      </c>
      <c r="T91" s="199" t="str">
        <f t="shared" si="54"/>
        <v/>
      </c>
      <c r="U91" s="199">
        <f t="shared" si="55"/>
        <v>0</v>
      </c>
      <c r="V91" s="199">
        <f t="shared" si="56"/>
        <v>0</v>
      </c>
      <c r="W91" s="199">
        <v>0</v>
      </c>
      <c r="X91" s="201">
        <f t="shared" si="60"/>
        <v>0</v>
      </c>
      <c r="Y91" s="202">
        <f t="shared" si="62"/>
        <v>0</v>
      </c>
      <c r="Z91" s="202">
        <f t="shared" si="63"/>
        <v>0</v>
      </c>
      <c r="AA91" s="202">
        <f t="shared" si="64"/>
        <v>0</v>
      </c>
      <c r="AB91" s="202">
        <f t="shared" si="65"/>
        <v>0</v>
      </c>
      <c r="AC91" s="202">
        <f t="shared" si="66"/>
        <v>0</v>
      </c>
      <c r="AD91" s="202">
        <f t="shared" si="67"/>
        <v>0</v>
      </c>
      <c r="AE91" s="203">
        <v>6.9599999999999995E-2</v>
      </c>
      <c r="AF91" s="202">
        <f t="shared" si="50"/>
        <v>0</v>
      </c>
      <c r="AG91" s="202">
        <f t="shared" si="68"/>
        <v>0</v>
      </c>
      <c r="AH91" s="202">
        <f t="shared" si="69"/>
        <v>0</v>
      </c>
      <c r="AI91" s="204">
        <f t="shared" si="70"/>
        <v>0</v>
      </c>
      <c r="AJ91" s="201">
        <f t="shared" si="45"/>
        <v>0</v>
      </c>
      <c r="AK91" s="201">
        <f t="shared" si="71"/>
        <v>0</v>
      </c>
      <c r="AL91" s="201">
        <f t="shared" si="47"/>
        <v>0</v>
      </c>
      <c r="AM91" s="204">
        <f t="shared" si="72"/>
        <v>0</v>
      </c>
      <c r="AN91" s="201">
        <f t="shared" si="49"/>
        <v>0</v>
      </c>
      <c r="AO91" s="205" t="s">
        <v>13</v>
      </c>
      <c r="AP91" s="195"/>
    </row>
    <row r="92" spans="1:42" s="457" customFormat="1" ht="12">
      <c r="A92" s="459" t="s">
        <v>183</v>
      </c>
      <c r="B92" s="460" t="s">
        <v>184</v>
      </c>
      <c r="C92" s="460"/>
      <c r="D92" s="461"/>
      <c r="E92" s="462">
        <v>0</v>
      </c>
      <c r="F92" s="196">
        <v>2269777</v>
      </c>
      <c r="G92" s="197"/>
      <c r="H92" s="463"/>
      <c r="I92" s="463"/>
      <c r="J92" s="463"/>
      <c r="K92" s="463"/>
      <c r="L92" s="463"/>
      <c r="M92" s="463"/>
      <c r="N92" s="463"/>
      <c r="O92" s="463"/>
      <c r="P92" s="198">
        <f t="shared" si="59"/>
        <v>0</v>
      </c>
      <c r="Q92" s="199" t="str">
        <f t="shared" si="51"/>
        <v/>
      </c>
      <c r="R92" s="199" t="str">
        <f t="shared" si="52"/>
        <v/>
      </c>
      <c r="S92" s="200" t="str">
        <f t="shared" si="53"/>
        <v/>
      </c>
      <c r="T92" s="199" t="str">
        <f t="shared" si="54"/>
        <v/>
      </c>
      <c r="U92" s="199">
        <f t="shared" si="55"/>
        <v>0</v>
      </c>
      <c r="V92" s="199">
        <f t="shared" si="56"/>
        <v>0</v>
      </c>
      <c r="W92" s="199">
        <v>0</v>
      </c>
      <c r="X92" s="201">
        <f t="shared" si="60"/>
        <v>0</v>
      </c>
      <c r="Y92" s="202">
        <f t="shared" si="62"/>
        <v>0</v>
      </c>
      <c r="Z92" s="202">
        <f t="shared" si="63"/>
        <v>0</v>
      </c>
      <c r="AA92" s="202">
        <f t="shared" si="64"/>
        <v>0</v>
      </c>
      <c r="AB92" s="202">
        <f t="shared" si="65"/>
        <v>0</v>
      </c>
      <c r="AC92" s="202">
        <f t="shared" si="66"/>
        <v>0</v>
      </c>
      <c r="AD92" s="202">
        <f t="shared" si="67"/>
        <v>0</v>
      </c>
      <c r="AE92" s="203">
        <v>6.9599999999999995E-2</v>
      </c>
      <c r="AF92" s="202">
        <f t="shared" si="50"/>
        <v>0</v>
      </c>
      <c r="AG92" s="202">
        <f t="shared" si="68"/>
        <v>0</v>
      </c>
      <c r="AH92" s="202">
        <f t="shared" si="69"/>
        <v>0</v>
      </c>
      <c r="AI92" s="204">
        <f t="shared" si="70"/>
        <v>0</v>
      </c>
      <c r="AJ92" s="201">
        <f t="shared" si="45"/>
        <v>0</v>
      </c>
      <c r="AK92" s="201">
        <f t="shared" si="71"/>
        <v>0</v>
      </c>
      <c r="AL92" s="201">
        <f t="shared" si="47"/>
        <v>0</v>
      </c>
      <c r="AM92" s="204">
        <f t="shared" si="72"/>
        <v>0</v>
      </c>
      <c r="AN92" s="201">
        <f t="shared" si="49"/>
        <v>0</v>
      </c>
      <c r="AO92" s="205" t="s">
        <v>13</v>
      </c>
      <c r="AP92" s="195"/>
    </row>
    <row r="93" spans="1:42" s="457" customFormat="1" ht="12">
      <c r="A93" s="459" t="s">
        <v>183</v>
      </c>
      <c r="B93" s="460" t="s">
        <v>184</v>
      </c>
      <c r="C93" s="460"/>
      <c r="D93" s="461"/>
      <c r="E93" s="462">
        <v>0</v>
      </c>
      <c r="F93" s="196">
        <v>2269777</v>
      </c>
      <c r="G93" s="197"/>
      <c r="H93" s="463"/>
      <c r="I93" s="463"/>
      <c r="J93" s="463"/>
      <c r="K93" s="463"/>
      <c r="L93" s="463"/>
      <c r="M93" s="463"/>
      <c r="N93" s="463"/>
      <c r="O93" s="463"/>
      <c r="P93" s="198">
        <f t="shared" si="59"/>
        <v>0</v>
      </c>
      <c r="Q93" s="199" t="str">
        <f t="shared" si="51"/>
        <v/>
      </c>
      <c r="R93" s="199" t="str">
        <f t="shared" si="52"/>
        <v/>
      </c>
      <c r="S93" s="200" t="str">
        <f t="shared" si="53"/>
        <v/>
      </c>
      <c r="T93" s="199" t="str">
        <f t="shared" si="54"/>
        <v/>
      </c>
      <c r="U93" s="199">
        <f t="shared" si="55"/>
        <v>0</v>
      </c>
      <c r="V93" s="199">
        <f t="shared" si="56"/>
        <v>0</v>
      </c>
      <c r="W93" s="199">
        <v>0</v>
      </c>
      <c r="X93" s="201">
        <f t="shared" si="60"/>
        <v>0</v>
      </c>
      <c r="Y93" s="202">
        <f t="shared" si="62"/>
        <v>0</v>
      </c>
      <c r="Z93" s="202">
        <f t="shared" si="63"/>
        <v>0</v>
      </c>
      <c r="AA93" s="202">
        <f t="shared" si="64"/>
        <v>0</v>
      </c>
      <c r="AB93" s="202">
        <f t="shared" si="65"/>
        <v>0</v>
      </c>
      <c r="AC93" s="202">
        <f t="shared" si="66"/>
        <v>0</v>
      </c>
      <c r="AD93" s="202">
        <f t="shared" si="67"/>
        <v>0</v>
      </c>
      <c r="AE93" s="203">
        <v>6.9599999999999995E-2</v>
      </c>
      <c r="AF93" s="202">
        <f t="shared" si="50"/>
        <v>0</v>
      </c>
      <c r="AG93" s="202">
        <f t="shared" si="68"/>
        <v>0</v>
      </c>
      <c r="AH93" s="202">
        <f t="shared" si="69"/>
        <v>0</v>
      </c>
      <c r="AI93" s="204">
        <f t="shared" si="70"/>
        <v>0</v>
      </c>
      <c r="AJ93" s="201">
        <f t="shared" si="45"/>
        <v>0</v>
      </c>
      <c r="AK93" s="201">
        <f t="shared" si="71"/>
        <v>0</v>
      </c>
      <c r="AL93" s="201">
        <f t="shared" si="47"/>
        <v>0</v>
      </c>
      <c r="AM93" s="204">
        <f t="shared" si="72"/>
        <v>0</v>
      </c>
      <c r="AN93" s="201">
        <f t="shared" si="49"/>
        <v>0</v>
      </c>
      <c r="AO93" s="205" t="s">
        <v>13</v>
      </c>
      <c r="AP93" s="195"/>
    </row>
    <row r="94" spans="1:42" s="457" customFormat="1" ht="12">
      <c r="A94" s="459" t="s">
        <v>183</v>
      </c>
      <c r="B94" s="460" t="s">
        <v>184</v>
      </c>
      <c r="C94" s="460"/>
      <c r="D94" s="461"/>
      <c r="E94" s="462">
        <v>0</v>
      </c>
      <c r="F94" s="196">
        <v>2269777</v>
      </c>
      <c r="G94" s="197"/>
      <c r="H94" s="463"/>
      <c r="I94" s="463"/>
      <c r="J94" s="463"/>
      <c r="K94" s="463"/>
      <c r="L94" s="463"/>
      <c r="M94" s="463"/>
      <c r="N94" s="463"/>
      <c r="O94" s="463"/>
      <c r="P94" s="198">
        <f t="shared" si="59"/>
        <v>0</v>
      </c>
      <c r="Q94" s="199" t="str">
        <f t="shared" si="51"/>
        <v/>
      </c>
      <c r="R94" s="199" t="str">
        <f t="shared" si="52"/>
        <v/>
      </c>
      <c r="S94" s="200" t="str">
        <f t="shared" si="53"/>
        <v/>
      </c>
      <c r="T94" s="199" t="str">
        <f t="shared" si="54"/>
        <v/>
      </c>
      <c r="U94" s="199">
        <f t="shared" si="55"/>
        <v>0</v>
      </c>
      <c r="V94" s="199">
        <f t="shared" si="56"/>
        <v>0</v>
      </c>
      <c r="W94" s="199">
        <v>0</v>
      </c>
      <c r="X94" s="201">
        <f t="shared" si="60"/>
        <v>0</v>
      </c>
      <c r="Y94" s="202">
        <f t="shared" si="62"/>
        <v>0</v>
      </c>
      <c r="Z94" s="202">
        <f t="shared" si="63"/>
        <v>0</v>
      </c>
      <c r="AA94" s="202">
        <f t="shared" si="64"/>
        <v>0</v>
      </c>
      <c r="AB94" s="202">
        <f t="shared" si="65"/>
        <v>0</v>
      </c>
      <c r="AC94" s="202">
        <f t="shared" si="66"/>
        <v>0</v>
      </c>
      <c r="AD94" s="202">
        <f t="shared" si="67"/>
        <v>0</v>
      </c>
      <c r="AE94" s="203">
        <v>6.9599999999999995E-2</v>
      </c>
      <c r="AF94" s="202">
        <f t="shared" si="50"/>
        <v>0</v>
      </c>
      <c r="AG94" s="202">
        <f t="shared" si="68"/>
        <v>0</v>
      </c>
      <c r="AH94" s="202">
        <f t="shared" si="69"/>
        <v>0</v>
      </c>
      <c r="AI94" s="204">
        <f t="shared" si="70"/>
        <v>0</v>
      </c>
      <c r="AJ94" s="201">
        <f t="shared" si="45"/>
        <v>0</v>
      </c>
      <c r="AK94" s="201">
        <f t="shared" si="71"/>
        <v>0</v>
      </c>
      <c r="AL94" s="201">
        <f t="shared" si="47"/>
        <v>0</v>
      </c>
      <c r="AM94" s="204">
        <f t="shared" si="72"/>
        <v>0</v>
      </c>
      <c r="AN94" s="201">
        <f t="shared" si="49"/>
        <v>0</v>
      </c>
      <c r="AO94" s="205" t="s">
        <v>13</v>
      </c>
      <c r="AP94" s="195"/>
    </row>
    <row r="95" spans="1:42" s="457" customFormat="1" ht="12">
      <c r="A95" s="459" t="s">
        <v>183</v>
      </c>
      <c r="B95" s="460" t="s">
        <v>184</v>
      </c>
      <c r="C95" s="460"/>
      <c r="D95" s="461"/>
      <c r="E95" s="462">
        <v>0</v>
      </c>
      <c r="F95" s="196">
        <v>2269777</v>
      </c>
      <c r="G95" s="197"/>
      <c r="H95" s="463"/>
      <c r="I95" s="463"/>
      <c r="J95" s="463"/>
      <c r="K95" s="463"/>
      <c r="L95" s="463"/>
      <c r="M95" s="463"/>
      <c r="N95" s="463"/>
      <c r="O95" s="463"/>
      <c r="P95" s="198">
        <f t="shared" si="59"/>
        <v>0</v>
      </c>
      <c r="Q95" s="199" t="str">
        <f t="shared" si="51"/>
        <v/>
      </c>
      <c r="R95" s="199" t="str">
        <f t="shared" si="52"/>
        <v/>
      </c>
      <c r="S95" s="200" t="str">
        <f t="shared" si="53"/>
        <v/>
      </c>
      <c r="T95" s="199" t="str">
        <f t="shared" si="54"/>
        <v/>
      </c>
      <c r="U95" s="199">
        <f t="shared" si="55"/>
        <v>0</v>
      </c>
      <c r="V95" s="199">
        <f t="shared" si="56"/>
        <v>0</v>
      </c>
      <c r="W95" s="199">
        <v>0</v>
      </c>
      <c r="X95" s="201">
        <f t="shared" si="60"/>
        <v>0</v>
      </c>
      <c r="Y95" s="202">
        <f t="shared" si="62"/>
        <v>0</v>
      </c>
      <c r="Z95" s="202">
        <f t="shared" si="63"/>
        <v>0</v>
      </c>
      <c r="AA95" s="202">
        <f t="shared" si="64"/>
        <v>0</v>
      </c>
      <c r="AB95" s="202">
        <f t="shared" si="65"/>
        <v>0</v>
      </c>
      <c r="AC95" s="202">
        <f t="shared" si="66"/>
        <v>0</v>
      </c>
      <c r="AD95" s="202">
        <f t="shared" si="67"/>
        <v>0</v>
      </c>
      <c r="AE95" s="203">
        <v>6.9599999999999995E-2</v>
      </c>
      <c r="AF95" s="202">
        <f t="shared" si="50"/>
        <v>0</v>
      </c>
      <c r="AG95" s="202">
        <f t="shared" si="68"/>
        <v>0</v>
      </c>
      <c r="AH95" s="202">
        <f t="shared" si="69"/>
        <v>0</v>
      </c>
      <c r="AI95" s="204">
        <f t="shared" si="70"/>
        <v>0</v>
      </c>
      <c r="AJ95" s="201">
        <f t="shared" si="45"/>
        <v>0</v>
      </c>
      <c r="AK95" s="201">
        <f t="shared" si="71"/>
        <v>0</v>
      </c>
      <c r="AL95" s="201">
        <f t="shared" si="47"/>
        <v>0</v>
      </c>
      <c r="AM95" s="204">
        <f t="shared" si="72"/>
        <v>0</v>
      </c>
      <c r="AN95" s="201">
        <f t="shared" si="49"/>
        <v>0</v>
      </c>
      <c r="AO95" s="205" t="s">
        <v>13</v>
      </c>
      <c r="AP95" s="195"/>
    </row>
    <row r="96" spans="1:42" s="457" customFormat="1" ht="12">
      <c r="A96" s="459" t="s">
        <v>183</v>
      </c>
      <c r="B96" s="460" t="s">
        <v>184</v>
      </c>
      <c r="C96" s="460"/>
      <c r="D96" s="461"/>
      <c r="E96" s="462">
        <v>0</v>
      </c>
      <c r="F96" s="196">
        <v>2269777</v>
      </c>
      <c r="G96" s="197"/>
      <c r="H96" s="463"/>
      <c r="I96" s="463"/>
      <c r="J96" s="463"/>
      <c r="K96" s="463"/>
      <c r="L96" s="463"/>
      <c r="M96" s="463"/>
      <c r="N96" s="463"/>
      <c r="O96" s="463"/>
      <c r="P96" s="198">
        <f t="shared" si="59"/>
        <v>0</v>
      </c>
      <c r="Q96" s="199" t="str">
        <f t="shared" si="51"/>
        <v/>
      </c>
      <c r="R96" s="199" t="str">
        <f t="shared" si="52"/>
        <v/>
      </c>
      <c r="S96" s="200" t="str">
        <f t="shared" si="53"/>
        <v/>
      </c>
      <c r="T96" s="199" t="str">
        <f t="shared" si="54"/>
        <v/>
      </c>
      <c r="U96" s="199">
        <f t="shared" si="55"/>
        <v>0</v>
      </c>
      <c r="V96" s="199">
        <f t="shared" si="56"/>
        <v>0</v>
      </c>
      <c r="W96" s="199">
        <v>0</v>
      </c>
      <c r="X96" s="201">
        <f t="shared" si="60"/>
        <v>0</v>
      </c>
      <c r="Y96" s="202">
        <f t="shared" si="62"/>
        <v>0</v>
      </c>
      <c r="Z96" s="202">
        <f t="shared" si="63"/>
        <v>0</v>
      </c>
      <c r="AA96" s="202">
        <f t="shared" si="64"/>
        <v>0</v>
      </c>
      <c r="AB96" s="202">
        <f t="shared" si="65"/>
        <v>0</v>
      </c>
      <c r="AC96" s="202">
        <f t="shared" si="66"/>
        <v>0</v>
      </c>
      <c r="AD96" s="202">
        <f t="shared" si="67"/>
        <v>0</v>
      </c>
      <c r="AE96" s="203">
        <v>6.9599999999999995E-2</v>
      </c>
      <c r="AF96" s="202">
        <f t="shared" si="50"/>
        <v>0</v>
      </c>
      <c r="AG96" s="202">
        <f t="shared" si="68"/>
        <v>0</v>
      </c>
      <c r="AH96" s="202">
        <f t="shared" si="69"/>
        <v>0</v>
      </c>
      <c r="AI96" s="204">
        <f t="shared" si="70"/>
        <v>0</v>
      </c>
      <c r="AJ96" s="201">
        <f t="shared" si="45"/>
        <v>0</v>
      </c>
      <c r="AK96" s="201">
        <f t="shared" si="71"/>
        <v>0</v>
      </c>
      <c r="AL96" s="201">
        <f t="shared" si="47"/>
        <v>0</v>
      </c>
      <c r="AM96" s="204">
        <f t="shared" si="72"/>
        <v>0</v>
      </c>
      <c r="AN96" s="201">
        <f t="shared" si="49"/>
        <v>0</v>
      </c>
      <c r="AO96" s="205" t="s">
        <v>13</v>
      </c>
      <c r="AP96" s="195"/>
    </row>
    <row r="97" spans="1:42" s="457" customFormat="1" ht="12">
      <c r="A97" s="459" t="s">
        <v>185</v>
      </c>
      <c r="B97" s="460" t="s">
        <v>186</v>
      </c>
      <c r="C97" s="460"/>
      <c r="D97" s="461"/>
      <c r="E97" s="462">
        <v>0</v>
      </c>
      <c r="F97" s="196">
        <v>2425195</v>
      </c>
      <c r="G97" s="197"/>
      <c r="H97" s="463"/>
      <c r="I97" s="463"/>
      <c r="J97" s="463"/>
      <c r="K97" s="463"/>
      <c r="L97" s="463"/>
      <c r="M97" s="463"/>
      <c r="N97" s="463"/>
      <c r="O97" s="463"/>
      <c r="P97" s="198">
        <f t="shared" si="59"/>
        <v>0</v>
      </c>
      <c r="Q97" s="199" t="str">
        <f t="shared" si="51"/>
        <v/>
      </c>
      <c r="R97" s="199" t="str">
        <f t="shared" si="52"/>
        <v/>
      </c>
      <c r="S97" s="200" t="str">
        <f t="shared" si="53"/>
        <v/>
      </c>
      <c r="T97" s="199" t="str">
        <f t="shared" si="54"/>
        <v/>
      </c>
      <c r="U97" s="199">
        <f t="shared" si="55"/>
        <v>0</v>
      </c>
      <c r="V97" s="199">
        <f t="shared" si="56"/>
        <v>0</v>
      </c>
      <c r="W97" s="199">
        <v>0</v>
      </c>
      <c r="X97" s="201">
        <f t="shared" si="60"/>
        <v>0</v>
      </c>
      <c r="Y97" s="202">
        <f t="shared" si="62"/>
        <v>0</v>
      </c>
      <c r="Z97" s="202">
        <f t="shared" si="63"/>
        <v>0</v>
      </c>
      <c r="AA97" s="202">
        <f t="shared" si="64"/>
        <v>0</v>
      </c>
      <c r="AB97" s="202">
        <f t="shared" si="65"/>
        <v>0</v>
      </c>
      <c r="AC97" s="202">
        <f t="shared" si="66"/>
        <v>0</v>
      </c>
      <c r="AD97" s="202">
        <f t="shared" si="67"/>
        <v>0</v>
      </c>
      <c r="AE97" s="203">
        <v>6.9599999999999995E-2</v>
      </c>
      <c r="AF97" s="202">
        <f t="shared" si="50"/>
        <v>0</v>
      </c>
      <c r="AG97" s="202">
        <f t="shared" si="68"/>
        <v>0</v>
      </c>
      <c r="AH97" s="202">
        <f t="shared" si="69"/>
        <v>0</v>
      </c>
      <c r="AI97" s="204">
        <f t="shared" si="70"/>
        <v>0</v>
      </c>
      <c r="AJ97" s="201">
        <f>+X97+Y97+Z97+AA97+AB97+AC97+AD97+AF97+AG97+AH97+AI97</f>
        <v>0</v>
      </c>
      <c r="AK97" s="201">
        <f t="shared" si="71"/>
        <v>0</v>
      </c>
      <c r="AL97" s="201">
        <f>+AJ97+AK97</f>
        <v>0</v>
      </c>
      <c r="AM97" s="204">
        <f t="shared" si="72"/>
        <v>0</v>
      </c>
      <c r="AN97" s="201">
        <f>+AL97+AM97</f>
        <v>0</v>
      </c>
      <c r="AO97" s="205" t="s">
        <v>13</v>
      </c>
      <c r="AP97" s="195"/>
    </row>
    <row r="98" spans="1:42" s="457" customFormat="1" ht="24.95" customHeight="1">
      <c r="A98" s="459" t="s">
        <v>187</v>
      </c>
      <c r="B98" s="461" t="s">
        <v>643</v>
      </c>
      <c r="C98" s="460"/>
      <c r="D98" s="461"/>
      <c r="E98" s="211">
        <v>0</v>
      </c>
      <c r="F98" s="196">
        <v>2617190</v>
      </c>
      <c r="G98" s="197"/>
      <c r="H98" s="463">
        <v>0</v>
      </c>
      <c r="I98" s="463">
        <v>0</v>
      </c>
      <c r="J98" s="463">
        <v>0</v>
      </c>
      <c r="K98" s="463">
        <v>0</v>
      </c>
      <c r="L98" s="463">
        <v>0</v>
      </c>
      <c r="M98" s="463">
        <v>0</v>
      </c>
      <c r="N98" s="463">
        <v>0</v>
      </c>
      <c r="O98" s="463">
        <v>0</v>
      </c>
      <c r="P98" s="198">
        <f t="shared" si="59"/>
        <v>0</v>
      </c>
      <c r="Q98" s="199" t="str">
        <f t="shared" si="51"/>
        <v/>
      </c>
      <c r="R98" s="199">
        <f t="shared" si="52"/>
        <v>0</v>
      </c>
      <c r="S98" s="200">
        <f>IF(K98="","",ROUND(F98/30*K98,0))</f>
        <v>0</v>
      </c>
      <c r="T98" s="199">
        <f t="shared" si="54"/>
        <v>0</v>
      </c>
      <c r="U98" s="199">
        <f t="shared" si="55"/>
        <v>0</v>
      </c>
      <c r="V98" s="199">
        <f t="shared" si="56"/>
        <v>0</v>
      </c>
      <c r="W98" s="199" t="str">
        <f>IF(E98=0,"",IF(F98&gt;2847000,0,$W$8*E98/30*N98))</f>
        <v/>
      </c>
      <c r="X98" s="201">
        <f t="shared" si="60"/>
        <v>0</v>
      </c>
      <c r="Y98" s="202">
        <v>0</v>
      </c>
      <c r="Z98" s="202">
        <f t="shared" si="63"/>
        <v>0</v>
      </c>
      <c r="AA98" s="202">
        <f t="shared" si="64"/>
        <v>0</v>
      </c>
      <c r="AB98" s="202">
        <f t="shared" si="65"/>
        <v>0</v>
      </c>
      <c r="AC98" s="202">
        <v>0</v>
      </c>
      <c r="AD98" s="202">
        <v>0</v>
      </c>
      <c r="AE98" s="203">
        <v>2.436E-2</v>
      </c>
      <c r="AF98" s="202" t="str">
        <f t="shared" si="50"/>
        <v/>
      </c>
      <c r="AG98" s="202">
        <v>0</v>
      </c>
      <c r="AH98" s="202">
        <v>0</v>
      </c>
      <c r="AI98" s="204" t="str">
        <f t="shared" si="70"/>
        <v/>
      </c>
      <c r="AJ98" s="201">
        <v>0</v>
      </c>
      <c r="AK98" s="201">
        <f t="shared" si="71"/>
        <v>0</v>
      </c>
      <c r="AL98" s="201">
        <f>+AJ98+AK98</f>
        <v>0</v>
      </c>
      <c r="AM98" s="204">
        <f t="shared" si="72"/>
        <v>0</v>
      </c>
      <c r="AN98" s="201">
        <f>+AL98+AM98</f>
        <v>0</v>
      </c>
      <c r="AO98" s="205" t="s">
        <v>13</v>
      </c>
      <c r="AP98" s="195"/>
    </row>
    <row r="99" spans="1:42" s="457" customFormat="1" ht="22.5">
      <c r="A99" s="459" t="s">
        <v>189</v>
      </c>
      <c r="B99" s="461" t="s">
        <v>190</v>
      </c>
      <c r="C99" s="460">
        <v>70811462</v>
      </c>
      <c r="D99" s="461" t="s">
        <v>644</v>
      </c>
      <c r="E99" s="462">
        <v>1</v>
      </c>
      <c r="F99" s="196">
        <v>1897079</v>
      </c>
      <c r="G99" s="197"/>
      <c r="H99" s="463">
        <v>30</v>
      </c>
      <c r="I99" s="463">
        <v>0</v>
      </c>
      <c r="J99" s="463">
        <v>0</v>
      </c>
      <c r="K99" s="463">
        <v>0</v>
      </c>
      <c r="L99" s="463">
        <v>40</v>
      </c>
      <c r="M99" s="463">
        <v>16</v>
      </c>
      <c r="N99" s="463">
        <v>30</v>
      </c>
      <c r="O99" s="463">
        <v>0</v>
      </c>
      <c r="P99" s="198">
        <f t="shared" si="59"/>
        <v>1897079</v>
      </c>
      <c r="Q99" s="199">
        <f t="shared" si="51"/>
        <v>0</v>
      </c>
      <c r="R99" s="199">
        <f t="shared" si="52"/>
        <v>0</v>
      </c>
      <c r="S99" s="200">
        <f t="shared" si="53"/>
        <v>0</v>
      </c>
      <c r="T99" s="199">
        <f t="shared" si="54"/>
        <v>0</v>
      </c>
      <c r="U99" s="199">
        <f t="shared" si="55"/>
        <v>275939</v>
      </c>
      <c r="V99" s="199">
        <f t="shared" si="56"/>
        <v>248345</v>
      </c>
      <c r="W99" s="199">
        <f>IF(E99=0,"",IF(F99&gt;2847000,0,$W$8*E99/30*N99))</f>
        <v>200000</v>
      </c>
      <c r="X99" s="201">
        <f t="shared" si="60"/>
        <v>2621363</v>
      </c>
      <c r="Y99" s="202">
        <f>ROUND((X99-W99)*$Y$8,0)</f>
        <v>100898</v>
      </c>
      <c r="Z99" s="202">
        <f t="shared" si="63"/>
        <v>218438</v>
      </c>
      <c r="AA99" s="202">
        <f t="shared" si="64"/>
        <v>218438</v>
      </c>
      <c r="AB99" s="202">
        <f t="shared" si="65"/>
        <v>26214</v>
      </c>
      <c r="AC99" s="202">
        <f>ROUND((X99-W99)*$AC$8,0)</f>
        <v>0</v>
      </c>
      <c r="AD99" s="202">
        <f>ROUND((X99-W99)*$AD$8,0)</f>
        <v>290564</v>
      </c>
      <c r="AE99" s="203">
        <v>2.436E-2</v>
      </c>
      <c r="AF99" s="202">
        <f t="shared" si="50"/>
        <v>58984</v>
      </c>
      <c r="AG99" s="202">
        <f>ROUND((X99-W99)*$AG$8,0)</f>
        <v>0</v>
      </c>
      <c r="AH99" s="202">
        <f>ROUND((X99-W99)*$AH$8,0)</f>
        <v>0</v>
      </c>
      <c r="AI99" s="204">
        <f t="shared" si="70"/>
        <v>96855</v>
      </c>
      <c r="AJ99" s="201">
        <f>+X99+Y99+Z99+AA99+AB99+AC99+AD99+AF99+AG99+AH99+AI99</f>
        <v>3631754</v>
      </c>
      <c r="AK99" s="201">
        <f t="shared" si="71"/>
        <v>290540</v>
      </c>
      <c r="AL99" s="201">
        <f>+AJ99+AK99</f>
        <v>3922294</v>
      </c>
      <c r="AM99" s="204">
        <f t="shared" si="72"/>
        <v>745236</v>
      </c>
      <c r="AN99" s="201">
        <f>+AL99+AM99</f>
        <v>4667530</v>
      </c>
      <c r="AO99" s="205" t="s">
        <v>13</v>
      </c>
      <c r="AP99" s="195"/>
    </row>
    <row r="100" spans="1:42" s="457" customFormat="1">
      <c r="A100" s="212" t="s">
        <v>191</v>
      </c>
      <c r="B100" s="213"/>
      <c r="C100" s="214"/>
      <c r="D100" s="214"/>
      <c r="E100" s="215"/>
      <c r="F100" s="216"/>
      <c r="G100" s="217"/>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c r="AE100" s="216"/>
      <c r="AF100" s="216"/>
      <c r="AG100" s="216"/>
      <c r="AH100" s="216"/>
      <c r="AI100" s="469"/>
      <c r="AJ100" s="216"/>
      <c r="AK100" s="216"/>
      <c r="AL100" s="216"/>
      <c r="AM100" s="216"/>
      <c r="AN100" s="216"/>
      <c r="AO100" s="218"/>
      <c r="AP100" s="195"/>
    </row>
    <row r="101" spans="1:42" s="457" customFormat="1" ht="12">
      <c r="A101" s="459" t="s">
        <v>192</v>
      </c>
      <c r="B101" s="460" t="s">
        <v>193</v>
      </c>
      <c r="C101" s="460"/>
      <c r="D101" s="460"/>
      <c r="E101" s="466">
        <v>0</v>
      </c>
      <c r="F101" s="196">
        <v>1954575</v>
      </c>
      <c r="G101" s="197"/>
      <c r="H101" s="196"/>
      <c r="I101" s="196"/>
      <c r="J101" s="196"/>
      <c r="K101" s="196"/>
      <c r="L101" s="196"/>
      <c r="M101" s="196"/>
      <c r="N101" s="196"/>
      <c r="O101" s="196"/>
      <c r="P101" s="198">
        <f t="shared" si="59"/>
        <v>0</v>
      </c>
      <c r="Q101" s="199" t="str">
        <f>IF(E101=0,"",IF(I101="",0,IF(I101&lt;=2,ROUND(F101/30*I101,0),"REVISAR")))</f>
        <v/>
      </c>
      <c r="R101" s="199" t="str">
        <f>IF(J101="","",IF(J101=0,0,IF(J101&lt;=2,"Revisar",ROUND(F101/30*66.67%*J101,0))))</f>
        <v/>
      </c>
      <c r="S101" s="200" t="str">
        <f>IF(K101="","",ROUND(F101/30*K101,0))</f>
        <v/>
      </c>
      <c r="T101" s="199" t="str">
        <f>IF(O101="","",ROUND(F101/240*1.25*O101,0))</f>
        <v/>
      </c>
      <c r="U101" s="199">
        <f>IFERROR(ROUND((F101/220)*$U$8*(L101),0),"")</f>
        <v>0</v>
      </c>
      <c r="V101" s="199">
        <f>IFERROR(ROUND((F101/220)*$V$8*(M101),0),"")</f>
        <v>0</v>
      </c>
      <c r="W101" s="199">
        <v>0</v>
      </c>
      <c r="X101" s="201">
        <f t="shared" ref="X101:X107" si="73">P101+U101+V101+W101</f>
        <v>0</v>
      </c>
      <c r="Y101" s="202">
        <f t="shared" ref="Y101:Y107" si="74">ROUND((X101-W101)*$Y$8,0)</f>
        <v>0</v>
      </c>
      <c r="Z101" s="202">
        <f t="shared" ref="Z101:Z107" si="75">ROUND((X101)*$Z$8,0)</f>
        <v>0</v>
      </c>
      <c r="AA101" s="202">
        <f t="shared" ref="AA101:AA107" si="76">ROUND((X101)*$AA$8,0)</f>
        <v>0</v>
      </c>
      <c r="AB101" s="202">
        <f t="shared" ref="AB101:AB107" si="77">ROUND((X101)*$AB$8,0)</f>
        <v>0</v>
      </c>
      <c r="AC101" s="202">
        <f t="shared" ref="AC101:AC107" si="78">ROUND((X101-W101)*$AC$8,0)</f>
        <v>0</v>
      </c>
      <c r="AD101" s="202">
        <f t="shared" ref="AD101:AD107" si="79">ROUND((X101-W101)*$AD$8,0)</f>
        <v>0</v>
      </c>
      <c r="AE101" s="203">
        <v>5.2199999999999998E-3</v>
      </c>
      <c r="AF101" s="199">
        <f t="shared" si="50"/>
        <v>0</v>
      </c>
      <c r="AG101" s="202">
        <f t="shared" ref="AG101:AG107" si="80">ROUND((X101-W101)*$AG$8,0)</f>
        <v>0</v>
      </c>
      <c r="AH101" s="202">
        <f t="shared" ref="AH101:AH107" si="81">ROUND((X101-W101)*$AH$8,0)</f>
        <v>0</v>
      </c>
      <c r="AI101" s="204">
        <f t="shared" ref="AI101:AI107" si="82">IFERROR(ROUND((X101-SUM(Q101:S101)-W101)*$AI$8,0),"")</f>
        <v>0</v>
      </c>
      <c r="AJ101" s="201">
        <f t="shared" ref="AJ101:AJ107" si="83">+X101+Y101+Z101+AA101+AB101+AC101+AD101+AF101+AG101+AH101+AI101</f>
        <v>0</v>
      </c>
      <c r="AK101" s="201">
        <f t="shared" ref="AK101:AK107" si="84">ROUND(AJ101*$AK$8,0)</f>
        <v>0</v>
      </c>
      <c r="AL101" s="201">
        <f t="shared" ref="AL101:AL107" si="85">+AJ101+AK101</f>
        <v>0</v>
      </c>
      <c r="AM101" s="204">
        <f>ROUND(AL101*$AM$8,0)</f>
        <v>0</v>
      </c>
      <c r="AN101" s="201">
        <f t="shared" ref="AN101:AN107" si="86">+AL101+AM101</f>
        <v>0</v>
      </c>
      <c r="AO101" s="205" t="s">
        <v>13</v>
      </c>
      <c r="AP101" s="195"/>
    </row>
    <row r="102" spans="1:42" s="457" customFormat="1" ht="22.5">
      <c r="A102" s="465" t="s">
        <v>194</v>
      </c>
      <c r="B102" s="461" t="s">
        <v>195</v>
      </c>
      <c r="C102" s="460"/>
      <c r="D102" s="461"/>
      <c r="E102" s="466">
        <v>0</v>
      </c>
      <c r="F102" s="207">
        <v>1423500</v>
      </c>
      <c r="G102" s="208"/>
      <c r="H102" s="463">
        <v>0</v>
      </c>
      <c r="I102" s="463">
        <v>0</v>
      </c>
      <c r="J102" s="463">
        <v>0</v>
      </c>
      <c r="K102" s="463">
        <v>0</v>
      </c>
      <c r="L102" s="463">
        <v>0</v>
      </c>
      <c r="M102" s="463">
        <v>0</v>
      </c>
      <c r="N102" s="463">
        <v>0</v>
      </c>
      <c r="O102" s="463">
        <v>0</v>
      </c>
      <c r="P102" s="198">
        <f>IFERROR(ROUND(F102/30*H102,0),"")</f>
        <v>0</v>
      </c>
      <c r="Q102" s="199" t="str">
        <f t="shared" ref="Q102:Q107" si="87">IF(E102=0,"",IF(I102="",0,IF(I102&lt;=2,ROUND(F102/30*I102,0),"REVISAR")))</f>
        <v/>
      </c>
      <c r="R102" s="199">
        <f t="shared" ref="R102:R107" si="88">IF(J102="","",IF(J102=0,0,IF(J102&lt;=2,"Revisar",ROUND(F102/30*66.67%*J102,0))))</f>
        <v>0</v>
      </c>
      <c r="S102" s="200">
        <f t="shared" ref="S102:S107" si="89">IF(K102="","",ROUND(F102/30*K102,0))</f>
        <v>0</v>
      </c>
      <c r="T102" s="199">
        <f t="shared" ref="T102:T107" si="90">IF(O102="","",ROUND(F102/240*1.25*O102,0))</f>
        <v>0</v>
      </c>
      <c r="U102" s="199">
        <f>IFERROR(ROUND((F102/220)*$U$8*(L102),0),"")</f>
        <v>0</v>
      </c>
      <c r="V102" s="199">
        <f>IFERROR(ROUND((F102/220)*$V$8*(M102),0),"")</f>
        <v>0</v>
      </c>
      <c r="W102" s="199">
        <f>IF(F102&lt;=1423500*2,$W$8,0)/30*N102</f>
        <v>0</v>
      </c>
      <c r="X102" s="209">
        <f t="shared" si="73"/>
        <v>0</v>
      </c>
      <c r="Y102" s="204">
        <f t="shared" si="74"/>
        <v>0</v>
      </c>
      <c r="Z102" s="204">
        <f t="shared" si="75"/>
        <v>0</v>
      </c>
      <c r="AA102" s="204">
        <f t="shared" si="76"/>
        <v>0</v>
      </c>
      <c r="AB102" s="204">
        <f t="shared" si="77"/>
        <v>0</v>
      </c>
      <c r="AC102" s="204">
        <f t="shared" si="78"/>
        <v>0</v>
      </c>
      <c r="AD102" s="204">
        <f t="shared" si="79"/>
        <v>0</v>
      </c>
      <c r="AE102" s="203">
        <v>1.044E-2</v>
      </c>
      <c r="AF102" s="199">
        <f t="shared" si="50"/>
        <v>0</v>
      </c>
      <c r="AG102" s="204">
        <f t="shared" si="80"/>
        <v>0</v>
      </c>
      <c r="AH102" s="204">
        <f t="shared" si="81"/>
        <v>0</v>
      </c>
      <c r="AI102" s="204">
        <f t="shared" si="82"/>
        <v>0</v>
      </c>
      <c r="AJ102" s="209">
        <f t="shared" si="83"/>
        <v>0</v>
      </c>
      <c r="AK102" s="209">
        <f t="shared" si="84"/>
        <v>0</v>
      </c>
      <c r="AL102" s="209">
        <f t="shared" si="85"/>
        <v>0</v>
      </c>
      <c r="AM102" s="210">
        <f t="shared" ref="AM102:AM107" si="91">ROUND((AJ102*10%)*$AM$8,0)</f>
        <v>0</v>
      </c>
      <c r="AN102" s="209">
        <f t="shared" si="86"/>
        <v>0</v>
      </c>
      <c r="AO102" s="205" t="s">
        <v>13</v>
      </c>
      <c r="AP102" s="467" t="s">
        <v>168</v>
      </c>
    </row>
    <row r="103" spans="1:42" s="457" customFormat="1" ht="22.5">
      <c r="A103" s="465" t="s">
        <v>194</v>
      </c>
      <c r="B103" s="461" t="s">
        <v>195</v>
      </c>
      <c r="C103" s="461"/>
      <c r="D103" s="461"/>
      <c r="E103" s="466">
        <v>0</v>
      </c>
      <c r="F103" s="207">
        <v>1423500</v>
      </c>
      <c r="G103" s="208"/>
      <c r="H103" s="463">
        <v>0</v>
      </c>
      <c r="I103" s="463">
        <v>0</v>
      </c>
      <c r="J103" s="463">
        <v>0</v>
      </c>
      <c r="K103" s="463">
        <v>0</v>
      </c>
      <c r="L103" s="463">
        <v>0</v>
      </c>
      <c r="M103" s="463">
        <v>0</v>
      </c>
      <c r="N103" s="463">
        <v>0</v>
      </c>
      <c r="O103" s="463">
        <v>0</v>
      </c>
      <c r="P103" s="198">
        <f>IFERROR(ROUND(F103/30*H103,0),"")</f>
        <v>0</v>
      </c>
      <c r="Q103" s="199" t="str">
        <f t="shared" si="87"/>
        <v/>
      </c>
      <c r="R103" s="199">
        <f t="shared" si="88"/>
        <v>0</v>
      </c>
      <c r="S103" s="200">
        <f t="shared" si="89"/>
        <v>0</v>
      </c>
      <c r="T103" s="199">
        <f t="shared" si="90"/>
        <v>0</v>
      </c>
      <c r="U103" s="199">
        <f>IFERROR(ROUND((F103/220)*$U$8*(L103),0),"")</f>
        <v>0</v>
      </c>
      <c r="V103" s="199">
        <f>IFERROR(ROUND((F103/220)*$V$8*(M103),0),"")</f>
        <v>0</v>
      </c>
      <c r="W103" s="199">
        <f>IF(F103&lt;=1423500*2,$W$8,0)/30*N103</f>
        <v>0</v>
      </c>
      <c r="X103" s="209">
        <f t="shared" si="73"/>
        <v>0</v>
      </c>
      <c r="Y103" s="204">
        <f t="shared" si="74"/>
        <v>0</v>
      </c>
      <c r="Z103" s="204">
        <f t="shared" si="75"/>
        <v>0</v>
      </c>
      <c r="AA103" s="204">
        <f t="shared" si="76"/>
        <v>0</v>
      </c>
      <c r="AB103" s="204">
        <f t="shared" si="77"/>
        <v>0</v>
      </c>
      <c r="AC103" s="204">
        <f t="shared" si="78"/>
        <v>0</v>
      </c>
      <c r="AD103" s="204">
        <f t="shared" si="79"/>
        <v>0</v>
      </c>
      <c r="AE103" s="203">
        <v>1.044E-2</v>
      </c>
      <c r="AF103" s="199">
        <f t="shared" si="50"/>
        <v>0</v>
      </c>
      <c r="AG103" s="204">
        <f t="shared" si="80"/>
        <v>0</v>
      </c>
      <c r="AH103" s="204">
        <f t="shared" si="81"/>
        <v>0</v>
      </c>
      <c r="AI103" s="204">
        <f t="shared" si="82"/>
        <v>0</v>
      </c>
      <c r="AJ103" s="209">
        <f t="shared" si="83"/>
        <v>0</v>
      </c>
      <c r="AK103" s="209">
        <f t="shared" si="84"/>
        <v>0</v>
      </c>
      <c r="AL103" s="209">
        <f t="shared" si="85"/>
        <v>0</v>
      </c>
      <c r="AM103" s="210">
        <f t="shared" si="91"/>
        <v>0</v>
      </c>
      <c r="AN103" s="209">
        <f t="shared" si="86"/>
        <v>0</v>
      </c>
      <c r="AO103" s="205" t="s">
        <v>13</v>
      </c>
      <c r="AP103" s="467" t="s">
        <v>168</v>
      </c>
    </row>
    <row r="104" spans="1:42" s="457" customFormat="1" ht="22.5">
      <c r="A104" s="465" t="s">
        <v>194</v>
      </c>
      <c r="B104" s="461" t="s">
        <v>195</v>
      </c>
      <c r="C104" s="461"/>
      <c r="D104" s="461"/>
      <c r="E104" s="466">
        <v>0</v>
      </c>
      <c r="F104" s="207">
        <v>1558733</v>
      </c>
      <c r="G104" s="208"/>
      <c r="H104" s="207"/>
      <c r="I104" s="207"/>
      <c r="J104" s="207"/>
      <c r="K104" s="207"/>
      <c r="L104" s="207"/>
      <c r="M104" s="207"/>
      <c r="N104" s="207"/>
      <c r="O104" s="207"/>
      <c r="P104" s="198">
        <f t="shared" si="59"/>
        <v>0</v>
      </c>
      <c r="Q104" s="199" t="str">
        <f t="shared" si="87"/>
        <v/>
      </c>
      <c r="R104" s="199" t="str">
        <f t="shared" si="88"/>
        <v/>
      </c>
      <c r="S104" s="200" t="str">
        <f t="shared" si="89"/>
        <v/>
      </c>
      <c r="T104" s="199" t="str">
        <f t="shared" si="90"/>
        <v/>
      </c>
      <c r="U104" s="199">
        <f t="shared" ref="U104:U107" si="92">IFERROR(ROUND((F104/230)*$U$8*(L104),0),"")</f>
        <v>0</v>
      </c>
      <c r="V104" s="199">
        <f t="shared" ref="V104:V106" si="93">IFERROR(ROUND((F104/230)*$V$8*(M104),0),"")</f>
        <v>0</v>
      </c>
      <c r="W104" s="199">
        <f t="shared" ref="W104:W107" si="94">IF(F104&lt;=1423500*2,$W$8,0)/30*N104</f>
        <v>0</v>
      </c>
      <c r="X104" s="209">
        <f t="shared" si="73"/>
        <v>0</v>
      </c>
      <c r="Y104" s="204">
        <f t="shared" si="74"/>
        <v>0</v>
      </c>
      <c r="Z104" s="204">
        <f t="shared" si="75"/>
        <v>0</v>
      </c>
      <c r="AA104" s="204">
        <f t="shared" si="76"/>
        <v>0</v>
      </c>
      <c r="AB104" s="204">
        <f t="shared" si="77"/>
        <v>0</v>
      </c>
      <c r="AC104" s="204">
        <f t="shared" si="78"/>
        <v>0</v>
      </c>
      <c r="AD104" s="204">
        <f t="shared" si="79"/>
        <v>0</v>
      </c>
      <c r="AE104" s="203">
        <v>1.044E-2</v>
      </c>
      <c r="AF104" s="199">
        <f t="shared" si="50"/>
        <v>0</v>
      </c>
      <c r="AG104" s="204">
        <f t="shared" si="80"/>
        <v>0</v>
      </c>
      <c r="AH104" s="204">
        <f t="shared" si="81"/>
        <v>0</v>
      </c>
      <c r="AI104" s="204">
        <f t="shared" si="82"/>
        <v>0</v>
      </c>
      <c r="AJ104" s="209">
        <f t="shared" si="83"/>
        <v>0</v>
      </c>
      <c r="AK104" s="209">
        <f t="shared" si="84"/>
        <v>0</v>
      </c>
      <c r="AL104" s="209">
        <f t="shared" si="85"/>
        <v>0</v>
      </c>
      <c r="AM104" s="210">
        <f t="shared" si="91"/>
        <v>0</v>
      </c>
      <c r="AN104" s="209">
        <f t="shared" si="86"/>
        <v>0</v>
      </c>
      <c r="AO104" s="205" t="s">
        <v>13</v>
      </c>
      <c r="AP104" s="467" t="s">
        <v>168</v>
      </c>
    </row>
    <row r="105" spans="1:42" s="457" customFormat="1" ht="22.5">
      <c r="A105" s="465" t="s">
        <v>194</v>
      </c>
      <c r="B105" s="461" t="s">
        <v>195</v>
      </c>
      <c r="C105" s="461"/>
      <c r="D105" s="461"/>
      <c r="E105" s="466">
        <v>0</v>
      </c>
      <c r="F105" s="207">
        <v>1558733</v>
      </c>
      <c r="G105" s="208"/>
      <c r="H105" s="207"/>
      <c r="I105" s="207"/>
      <c r="J105" s="207"/>
      <c r="K105" s="207"/>
      <c r="L105" s="207"/>
      <c r="M105" s="207"/>
      <c r="N105" s="207"/>
      <c r="O105" s="207"/>
      <c r="P105" s="198">
        <f t="shared" si="59"/>
        <v>0</v>
      </c>
      <c r="Q105" s="199" t="str">
        <f t="shared" si="87"/>
        <v/>
      </c>
      <c r="R105" s="199" t="str">
        <f t="shared" si="88"/>
        <v/>
      </c>
      <c r="S105" s="200" t="str">
        <f t="shared" si="89"/>
        <v/>
      </c>
      <c r="T105" s="199" t="str">
        <f t="shared" si="90"/>
        <v/>
      </c>
      <c r="U105" s="199">
        <f t="shared" si="92"/>
        <v>0</v>
      </c>
      <c r="V105" s="199">
        <f t="shared" si="93"/>
        <v>0</v>
      </c>
      <c r="W105" s="199">
        <f t="shared" si="94"/>
        <v>0</v>
      </c>
      <c r="X105" s="209">
        <f t="shared" si="73"/>
        <v>0</v>
      </c>
      <c r="Y105" s="204">
        <f t="shared" si="74"/>
        <v>0</v>
      </c>
      <c r="Z105" s="204">
        <f t="shared" si="75"/>
        <v>0</v>
      </c>
      <c r="AA105" s="204">
        <f t="shared" si="76"/>
        <v>0</v>
      </c>
      <c r="AB105" s="204">
        <f t="shared" si="77"/>
        <v>0</v>
      </c>
      <c r="AC105" s="204">
        <f t="shared" si="78"/>
        <v>0</v>
      </c>
      <c r="AD105" s="204">
        <f t="shared" si="79"/>
        <v>0</v>
      </c>
      <c r="AE105" s="203">
        <v>1.044E-2</v>
      </c>
      <c r="AF105" s="199">
        <f>IFERROR(ROUND((X105-SUM(Q105:S105)-W105)*AE105,0),"")</f>
        <v>0</v>
      </c>
      <c r="AG105" s="204">
        <f t="shared" si="80"/>
        <v>0</v>
      </c>
      <c r="AH105" s="204">
        <f t="shared" si="81"/>
        <v>0</v>
      </c>
      <c r="AI105" s="204">
        <f t="shared" si="82"/>
        <v>0</v>
      </c>
      <c r="AJ105" s="209">
        <f t="shared" si="83"/>
        <v>0</v>
      </c>
      <c r="AK105" s="209">
        <f t="shared" si="84"/>
        <v>0</v>
      </c>
      <c r="AL105" s="209">
        <f t="shared" si="85"/>
        <v>0</v>
      </c>
      <c r="AM105" s="210">
        <f t="shared" si="91"/>
        <v>0</v>
      </c>
      <c r="AN105" s="209">
        <f t="shared" si="86"/>
        <v>0</v>
      </c>
      <c r="AO105" s="205" t="s">
        <v>13</v>
      </c>
      <c r="AP105" s="467" t="s">
        <v>168</v>
      </c>
    </row>
    <row r="106" spans="1:42" s="457" customFormat="1" ht="22.5">
      <c r="A106" s="465" t="s">
        <v>194</v>
      </c>
      <c r="B106" s="461" t="s">
        <v>195</v>
      </c>
      <c r="C106" s="461"/>
      <c r="D106" s="461"/>
      <c r="E106" s="466">
        <v>0</v>
      </c>
      <c r="F106" s="207">
        <v>1558733</v>
      </c>
      <c r="G106" s="208"/>
      <c r="H106" s="207"/>
      <c r="I106" s="207"/>
      <c r="J106" s="207"/>
      <c r="K106" s="207"/>
      <c r="L106" s="207"/>
      <c r="M106" s="207"/>
      <c r="N106" s="207"/>
      <c r="O106" s="207"/>
      <c r="P106" s="198">
        <f t="shared" si="59"/>
        <v>0</v>
      </c>
      <c r="Q106" s="199" t="str">
        <f t="shared" si="87"/>
        <v/>
      </c>
      <c r="R106" s="199" t="str">
        <f t="shared" si="88"/>
        <v/>
      </c>
      <c r="S106" s="200" t="str">
        <f t="shared" si="89"/>
        <v/>
      </c>
      <c r="T106" s="199" t="str">
        <f t="shared" si="90"/>
        <v/>
      </c>
      <c r="U106" s="199">
        <f t="shared" si="92"/>
        <v>0</v>
      </c>
      <c r="V106" s="199">
        <f t="shared" si="93"/>
        <v>0</v>
      </c>
      <c r="W106" s="199">
        <f t="shared" si="94"/>
        <v>0</v>
      </c>
      <c r="X106" s="209">
        <f t="shared" si="73"/>
        <v>0</v>
      </c>
      <c r="Y106" s="204">
        <f t="shared" si="74"/>
        <v>0</v>
      </c>
      <c r="Z106" s="204">
        <f t="shared" si="75"/>
        <v>0</v>
      </c>
      <c r="AA106" s="204">
        <f t="shared" si="76"/>
        <v>0</v>
      </c>
      <c r="AB106" s="204">
        <f t="shared" si="77"/>
        <v>0</v>
      </c>
      <c r="AC106" s="204">
        <f t="shared" si="78"/>
        <v>0</v>
      </c>
      <c r="AD106" s="204">
        <f t="shared" si="79"/>
        <v>0</v>
      </c>
      <c r="AE106" s="203">
        <v>1.044E-2</v>
      </c>
      <c r="AF106" s="199">
        <f t="shared" si="50"/>
        <v>0</v>
      </c>
      <c r="AG106" s="204">
        <f t="shared" si="80"/>
        <v>0</v>
      </c>
      <c r="AH106" s="204">
        <f t="shared" si="81"/>
        <v>0</v>
      </c>
      <c r="AI106" s="204">
        <f t="shared" si="82"/>
        <v>0</v>
      </c>
      <c r="AJ106" s="209">
        <f t="shared" si="83"/>
        <v>0</v>
      </c>
      <c r="AK106" s="209">
        <f t="shared" si="84"/>
        <v>0</v>
      </c>
      <c r="AL106" s="209">
        <f t="shared" si="85"/>
        <v>0</v>
      </c>
      <c r="AM106" s="210">
        <f t="shared" si="91"/>
        <v>0</v>
      </c>
      <c r="AN106" s="209">
        <f t="shared" si="86"/>
        <v>0</v>
      </c>
      <c r="AO106" s="205" t="s">
        <v>13</v>
      </c>
      <c r="AP106" s="467" t="s">
        <v>168</v>
      </c>
    </row>
    <row r="107" spans="1:42" s="457" customFormat="1" ht="22.5">
      <c r="A107" s="465" t="s">
        <v>194</v>
      </c>
      <c r="B107" s="461" t="s">
        <v>195</v>
      </c>
      <c r="C107" s="461"/>
      <c r="D107" s="461"/>
      <c r="E107" s="466">
        <v>0</v>
      </c>
      <c r="F107" s="207">
        <v>1558733</v>
      </c>
      <c r="G107" s="208"/>
      <c r="H107" s="207"/>
      <c r="I107" s="207"/>
      <c r="J107" s="207"/>
      <c r="K107" s="207"/>
      <c r="L107" s="207"/>
      <c r="M107" s="207"/>
      <c r="N107" s="207"/>
      <c r="O107" s="207"/>
      <c r="P107" s="198">
        <f t="shared" si="59"/>
        <v>0</v>
      </c>
      <c r="Q107" s="199" t="str">
        <f t="shared" si="87"/>
        <v/>
      </c>
      <c r="R107" s="199" t="str">
        <f t="shared" si="88"/>
        <v/>
      </c>
      <c r="S107" s="200" t="str">
        <f t="shared" si="89"/>
        <v/>
      </c>
      <c r="T107" s="199" t="str">
        <f t="shared" si="90"/>
        <v/>
      </c>
      <c r="U107" s="199">
        <f t="shared" si="92"/>
        <v>0</v>
      </c>
      <c r="V107" s="199">
        <f>IFERROR(ROUND((F107/230)*$V$8*(M107),0),"")</f>
        <v>0</v>
      </c>
      <c r="W107" s="199">
        <f t="shared" si="94"/>
        <v>0</v>
      </c>
      <c r="X107" s="209">
        <f t="shared" si="73"/>
        <v>0</v>
      </c>
      <c r="Y107" s="204">
        <f t="shared" si="74"/>
        <v>0</v>
      </c>
      <c r="Z107" s="204">
        <f t="shared" si="75"/>
        <v>0</v>
      </c>
      <c r="AA107" s="204">
        <f t="shared" si="76"/>
        <v>0</v>
      </c>
      <c r="AB107" s="204">
        <f t="shared" si="77"/>
        <v>0</v>
      </c>
      <c r="AC107" s="204">
        <f t="shared" si="78"/>
        <v>0</v>
      </c>
      <c r="AD107" s="204">
        <f t="shared" si="79"/>
        <v>0</v>
      </c>
      <c r="AE107" s="203">
        <v>1.044E-2</v>
      </c>
      <c r="AF107" s="199">
        <f t="shared" si="50"/>
        <v>0</v>
      </c>
      <c r="AG107" s="204">
        <f t="shared" si="80"/>
        <v>0</v>
      </c>
      <c r="AH107" s="204">
        <f t="shared" si="81"/>
        <v>0</v>
      </c>
      <c r="AI107" s="204">
        <f t="shared" si="82"/>
        <v>0</v>
      </c>
      <c r="AJ107" s="209">
        <f t="shared" si="83"/>
        <v>0</v>
      </c>
      <c r="AK107" s="209">
        <f t="shared" si="84"/>
        <v>0</v>
      </c>
      <c r="AL107" s="209">
        <f t="shared" si="85"/>
        <v>0</v>
      </c>
      <c r="AM107" s="210">
        <f t="shared" si="91"/>
        <v>0</v>
      </c>
      <c r="AN107" s="209">
        <f t="shared" si="86"/>
        <v>0</v>
      </c>
      <c r="AO107" s="205" t="s">
        <v>13</v>
      </c>
      <c r="AP107" s="467" t="s">
        <v>168</v>
      </c>
    </row>
    <row r="108" spans="1:42" s="457" customFormat="1" ht="52.5" customHeight="1">
      <c r="A108" s="177" t="s">
        <v>111</v>
      </c>
      <c r="B108" s="219" t="s">
        <v>198</v>
      </c>
      <c r="C108" s="219"/>
      <c r="D108" s="219"/>
      <c r="E108" s="220">
        <f>SUM(E9:E107)</f>
        <v>59</v>
      </c>
      <c r="F108" s="221">
        <f>SUM(F9:F107)</f>
        <v>201699492</v>
      </c>
      <c r="G108" s="222"/>
      <c r="H108" s="221"/>
      <c r="I108" s="221"/>
      <c r="J108" s="221"/>
      <c r="K108" s="221"/>
      <c r="L108" s="221"/>
      <c r="M108" s="221"/>
      <c r="N108" s="221"/>
      <c r="O108" s="221"/>
      <c r="P108" s="223">
        <f t="shared" ref="P108:AD108" si="95">SUM(P9:P107)</f>
        <v>122534813</v>
      </c>
      <c r="Q108" s="223">
        <f t="shared" si="95"/>
        <v>658894</v>
      </c>
      <c r="R108" s="223">
        <f t="shared" si="95"/>
        <v>100884</v>
      </c>
      <c r="S108" s="223">
        <f t="shared" si="95"/>
        <v>0</v>
      </c>
      <c r="T108" s="223">
        <f t="shared" si="95"/>
        <v>0</v>
      </c>
      <c r="U108" s="223">
        <f t="shared" si="95"/>
        <v>17104200</v>
      </c>
      <c r="V108" s="223">
        <f t="shared" si="95"/>
        <v>15630726</v>
      </c>
      <c r="W108" s="223">
        <f t="shared" si="95"/>
        <v>10820000.000000002</v>
      </c>
      <c r="X108" s="223">
        <f t="shared" si="95"/>
        <v>166849517.00000003</v>
      </c>
      <c r="Y108" s="223">
        <f t="shared" si="95"/>
        <v>6501741</v>
      </c>
      <c r="Z108" s="223">
        <f t="shared" si="95"/>
        <v>13903569</v>
      </c>
      <c r="AA108" s="223">
        <f t="shared" si="95"/>
        <v>13903569</v>
      </c>
      <c r="AB108" s="223">
        <f t="shared" si="95"/>
        <v>1668501</v>
      </c>
      <c r="AC108" s="223">
        <f t="shared" si="95"/>
        <v>0</v>
      </c>
      <c r="AD108" s="223">
        <f t="shared" si="95"/>
        <v>18723541</v>
      </c>
      <c r="AE108" s="224"/>
      <c r="AF108" s="223">
        <f t="shared" ref="AF108:AN108" si="96">SUM(AF9:AF107)</f>
        <v>6313666</v>
      </c>
      <c r="AG108" s="223">
        <f t="shared" si="96"/>
        <v>0</v>
      </c>
      <c r="AH108" s="223">
        <f t="shared" si="96"/>
        <v>0</v>
      </c>
      <c r="AI108" s="223">
        <f t="shared" si="96"/>
        <v>6210783</v>
      </c>
      <c r="AJ108" s="223">
        <f t="shared" si="96"/>
        <v>234074887.00000003</v>
      </c>
      <c r="AK108" s="223">
        <f t="shared" si="96"/>
        <v>18725992</v>
      </c>
      <c r="AL108" s="223">
        <f t="shared" si="96"/>
        <v>252800879</v>
      </c>
      <c r="AM108" s="223">
        <f t="shared" si="96"/>
        <v>31109677</v>
      </c>
      <c r="AN108" s="223">
        <f t="shared" si="96"/>
        <v>283910555.99999994</v>
      </c>
      <c r="AO108" s="225" t="s">
        <v>13</v>
      </c>
      <c r="AP108" s="195"/>
    </row>
    <row r="109" spans="1:42" s="457" customFormat="1" ht="63" customHeight="1">
      <c r="A109" s="226" t="s">
        <v>111</v>
      </c>
      <c r="B109" s="227" t="s">
        <v>199</v>
      </c>
      <c r="C109" s="227"/>
      <c r="D109" s="227"/>
      <c r="E109" s="228">
        <v>1</v>
      </c>
      <c r="F109" s="470">
        <f>+F108*$E$109</f>
        <v>201699492</v>
      </c>
      <c r="G109" s="229"/>
      <c r="H109" s="470"/>
      <c r="I109" s="470"/>
      <c r="J109" s="470"/>
      <c r="K109" s="470"/>
      <c r="L109" s="470"/>
      <c r="M109" s="470"/>
      <c r="N109" s="470"/>
      <c r="O109" s="470"/>
      <c r="P109" s="471">
        <f>+P108*$E$109</f>
        <v>122534813</v>
      </c>
      <c r="Q109" s="471"/>
      <c r="R109" s="471"/>
      <c r="S109" s="471"/>
      <c r="T109" s="471"/>
      <c r="U109" s="471">
        <f t="shared" ref="U109:AB109" si="97">+U108*$E$109</f>
        <v>17104200</v>
      </c>
      <c r="V109" s="471">
        <f t="shared" si="97"/>
        <v>15630726</v>
      </c>
      <c r="W109" s="471">
        <f t="shared" si="97"/>
        <v>10820000.000000002</v>
      </c>
      <c r="X109" s="471">
        <f t="shared" si="97"/>
        <v>166849517.00000003</v>
      </c>
      <c r="Y109" s="471">
        <f>+Y108*$E$109</f>
        <v>6501741</v>
      </c>
      <c r="Z109" s="471">
        <f t="shared" si="97"/>
        <v>13903569</v>
      </c>
      <c r="AA109" s="471">
        <f t="shared" si="97"/>
        <v>13903569</v>
      </c>
      <c r="AB109" s="471">
        <f t="shared" si="97"/>
        <v>1668501</v>
      </c>
      <c r="AC109" s="471">
        <f>+AC108*$E$109</f>
        <v>0</v>
      </c>
      <c r="AD109" s="471">
        <f>+AD108*$E$109</f>
        <v>18723541</v>
      </c>
      <c r="AE109" s="230"/>
      <c r="AF109" s="471">
        <f t="shared" ref="AF109:AJ109" si="98">+AF108*$E$109</f>
        <v>6313666</v>
      </c>
      <c r="AG109" s="471">
        <f t="shared" si="98"/>
        <v>0</v>
      </c>
      <c r="AH109" s="471">
        <f t="shared" si="98"/>
        <v>0</v>
      </c>
      <c r="AI109" s="471">
        <f t="shared" si="98"/>
        <v>6210783</v>
      </c>
      <c r="AJ109" s="471">
        <f t="shared" si="98"/>
        <v>234074887.00000003</v>
      </c>
      <c r="AK109" s="471">
        <f>+AK108*$E$109</f>
        <v>18725992</v>
      </c>
      <c r="AL109" s="471">
        <f>+AL108*$E$109</f>
        <v>252800879</v>
      </c>
      <c r="AM109" s="471">
        <f>+AM108*$E$109</f>
        <v>31109677</v>
      </c>
      <c r="AN109" s="471">
        <f>+AN108*$E$109</f>
        <v>283910555.99999994</v>
      </c>
      <c r="AO109" s="228" t="s">
        <v>13</v>
      </c>
      <c r="AP109" s="195"/>
    </row>
    <row r="110" spans="1:42" s="457" customFormat="1" ht="7.5" customHeight="1">
      <c r="A110" s="205"/>
      <c r="B110" s="205"/>
      <c r="C110" s="205"/>
      <c r="D110" s="205"/>
      <c r="E110" s="205"/>
      <c r="F110" s="205"/>
      <c r="G110" s="231"/>
      <c r="H110" s="205"/>
      <c r="I110" s="205"/>
      <c r="J110" s="205"/>
      <c r="K110" s="205"/>
      <c r="L110" s="205"/>
      <c r="M110" s="205"/>
      <c r="N110" s="205"/>
      <c r="O110" s="205"/>
      <c r="P110" s="232"/>
      <c r="Q110" s="232"/>
      <c r="R110" s="232"/>
      <c r="S110" s="232"/>
      <c r="T110" s="232"/>
      <c r="U110" s="205"/>
      <c r="V110" s="205"/>
      <c r="W110" s="233"/>
      <c r="X110" s="205"/>
      <c r="Y110" s="234"/>
      <c r="Z110" s="234"/>
      <c r="AA110" s="234"/>
      <c r="AB110" s="235"/>
      <c r="AC110" s="235"/>
      <c r="AD110" s="235"/>
      <c r="AE110" s="236"/>
      <c r="AF110" s="192"/>
      <c r="AG110" s="235"/>
      <c r="AH110" s="235"/>
      <c r="AI110" s="235"/>
      <c r="AJ110" s="205"/>
      <c r="AK110" s="205"/>
      <c r="AL110" s="205"/>
      <c r="AM110" s="205"/>
      <c r="AN110" s="205"/>
      <c r="AO110" s="205"/>
      <c r="AP110" s="195"/>
    </row>
    <row r="111" spans="1:42" s="457" customFormat="1" ht="10.5" customHeight="1">
      <c r="A111" s="237"/>
      <c r="B111" s="237"/>
      <c r="C111" s="237"/>
      <c r="D111" s="237"/>
      <c r="E111" s="237"/>
      <c r="F111" s="237"/>
      <c r="G111" s="238"/>
      <c r="H111" s="237"/>
      <c r="I111" s="237"/>
      <c r="J111" s="237"/>
      <c r="K111" s="237"/>
      <c r="L111" s="237"/>
      <c r="M111" s="237"/>
      <c r="N111" s="237"/>
      <c r="O111" s="237"/>
      <c r="P111" s="239"/>
      <c r="Q111" s="239"/>
      <c r="R111" s="239"/>
      <c r="S111" s="239"/>
      <c r="T111" s="239"/>
      <c r="U111" s="237"/>
      <c r="V111" s="237"/>
      <c r="W111" s="240"/>
      <c r="X111" s="237"/>
      <c r="Y111" s="241"/>
      <c r="Z111" s="241"/>
      <c r="AA111" s="241"/>
      <c r="AB111" s="242"/>
      <c r="AC111" s="242"/>
      <c r="AD111" s="242"/>
      <c r="AE111" s="243"/>
      <c r="AF111" s="244"/>
      <c r="AG111" s="242"/>
      <c r="AH111" s="242"/>
      <c r="AI111" s="472"/>
      <c r="AJ111" s="242"/>
      <c r="AK111" s="245"/>
      <c r="AL111" s="237"/>
      <c r="AM111" s="246"/>
      <c r="AN111" s="237"/>
      <c r="AO111" s="237"/>
      <c r="AP111" s="195"/>
    </row>
    <row r="112" spans="1:42" s="457" customFormat="1" ht="57" customHeight="1">
      <c r="A112" s="247">
        <v>1</v>
      </c>
      <c r="B112" s="248" t="s">
        <v>645</v>
      </c>
      <c r="C112" s="248"/>
      <c r="D112" s="248"/>
      <c r="E112" s="249">
        <f>+E108</f>
        <v>59</v>
      </c>
      <c r="F112" s="473">
        <f>+F109</f>
        <v>201699492</v>
      </c>
      <c r="G112" s="250"/>
      <c r="H112" s="473"/>
      <c r="I112" s="473"/>
      <c r="J112" s="473"/>
      <c r="K112" s="473"/>
      <c r="L112" s="473"/>
      <c r="M112" s="473"/>
      <c r="N112" s="473"/>
      <c r="O112" s="473"/>
      <c r="P112" s="474">
        <f>+P109</f>
        <v>122534813</v>
      </c>
      <c r="Q112" s="474"/>
      <c r="R112" s="474"/>
      <c r="S112" s="474"/>
      <c r="T112" s="474"/>
      <c r="U112" s="474">
        <f t="shared" ref="U112:AD112" si="99">+U109</f>
        <v>17104200</v>
      </c>
      <c r="V112" s="474">
        <f t="shared" si="99"/>
        <v>15630726</v>
      </c>
      <c r="W112" s="474">
        <f t="shared" si="99"/>
        <v>10820000.000000002</v>
      </c>
      <c r="X112" s="474">
        <f t="shared" si="99"/>
        <v>166849517.00000003</v>
      </c>
      <c r="Y112" s="474">
        <f t="shared" si="99"/>
        <v>6501741</v>
      </c>
      <c r="Z112" s="474">
        <f t="shared" si="99"/>
        <v>13903569</v>
      </c>
      <c r="AA112" s="474">
        <f t="shared" si="99"/>
        <v>13903569</v>
      </c>
      <c r="AB112" s="474">
        <f t="shared" si="99"/>
        <v>1668501</v>
      </c>
      <c r="AC112" s="474">
        <f t="shared" si="99"/>
        <v>0</v>
      </c>
      <c r="AD112" s="474">
        <f t="shared" si="99"/>
        <v>18723541</v>
      </c>
      <c r="AE112" s="474"/>
      <c r="AF112" s="474">
        <f t="shared" ref="AF112:AM112" si="100">+AF109</f>
        <v>6313666</v>
      </c>
      <c r="AG112" s="474">
        <f t="shared" si="100"/>
        <v>0</v>
      </c>
      <c r="AH112" s="474">
        <f t="shared" si="100"/>
        <v>0</v>
      </c>
      <c r="AI112" s="475">
        <f t="shared" si="100"/>
        <v>6210783</v>
      </c>
      <c r="AJ112" s="474">
        <f t="shared" si="100"/>
        <v>234074887.00000003</v>
      </c>
      <c r="AK112" s="474">
        <f t="shared" si="100"/>
        <v>18725992</v>
      </c>
      <c r="AL112" s="474">
        <f t="shared" si="100"/>
        <v>252800879</v>
      </c>
      <c r="AM112" s="474">
        <f t="shared" si="100"/>
        <v>31109677</v>
      </c>
      <c r="AN112" s="474">
        <f>+AN109</f>
        <v>283910555.99999994</v>
      </c>
      <c r="AO112" s="249"/>
      <c r="AP112" s="251">
        <f>AN112+AN109</f>
        <v>567821111.99999988</v>
      </c>
    </row>
    <row r="113" spans="1:42" s="457" customFormat="1" ht="8.25" customHeight="1">
      <c r="A113" s="237"/>
      <c r="B113" s="237"/>
      <c r="C113" s="237"/>
      <c r="D113" s="237"/>
      <c r="E113" s="237"/>
      <c r="F113" s="237"/>
      <c r="G113" s="238"/>
      <c r="H113" s="237"/>
      <c r="I113" s="237"/>
      <c r="J113" s="237"/>
      <c r="K113" s="237"/>
      <c r="L113" s="237"/>
      <c r="M113" s="237"/>
      <c r="N113" s="237"/>
      <c r="O113" s="237"/>
      <c r="P113" s="239"/>
      <c r="Q113" s="239"/>
      <c r="R113" s="239"/>
      <c r="S113" s="239"/>
      <c r="T113" s="239"/>
      <c r="U113" s="237"/>
      <c r="V113" s="237"/>
      <c r="W113" s="240"/>
      <c r="X113" s="237"/>
      <c r="Y113" s="241"/>
      <c r="Z113" s="241"/>
      <c r="AA113" s="241"/>
      <c r="AB113" s="242"/>
      <c r="AC113" s="242"/>
      <c r="AD113" s="242"/>
      <c r="AE113" s="243"/>
      <c r="AF113" s="244"/>
      <c r="AG113" s="242"/>
      <c r="AH113" s="242"/>
      <c r="AI113" s="472"/>
      <c r="AJ113" s="242"/>
      <c r="AK113" s="245"/>
      <c r="AL113" s="237"/>
      <c r="AM113" s="246"/>
      <c r="AN113" s="237"/>
      <c r="AO113" s="237"/>
      <c r="AP113" s="252"/>
    </row>
    <row r="114" spans="1:42" s="457" customFormat="1" ht="39" customHeight="1">
      <c r="A114" s="253">
        <v>2</v>
      </c>
      <c r="B114" s="1039" t="s">
        <v>646</v>
      </c>
      <c r="C114" s="1040"/>
      <c r="D114" s="1040"/>
      <c r="E114" s="1040"/>
      <c r="F114" s="1040"/>
      <c r="G114" s="1040"/>
      <c r="H114" s="1040"/>
      <c r="I114" s="1040"/>
      <c r="J114" s="1040"/>
      <c r="K114" s="1040"/>
      <c r="L114" s="1040"/>
      <c r="M114" s="1040"/>
      <c r="N114" s="1040"/>
      <c r="O114" s="1040"/>
      <c r="P114" s="1040"/>
      <c r="Q114" s="1040"/>
      <c r="R114" s="1040"/>
      <c r="S114" s="1040"/>
      <c r="T114" s="1040"/>
      <c r="U114" s="1040"/>
      <c r="V114" s="1040"/>
      <c r="W114" s="1040"/>
      <c r="X114" s="1040"/>
      <c r="Y114" s="1040"/>
      <c r="Z114" s="1040"/>
      <c r="AA114" s="1040"/>
      <c r="AB114" s="1040"/>
      <c r="AC114" s="1040"/>
      <c r="AD114" s="1040"/>
      <c r="AE114" s="1040"/>
      <c r="AF114" s="1040"/>
      <c r="AG114" s="1040"/>
      <c r="AH114" s="1040"/>
      <c r="AI114" s="1040"/>
      <c r="AJ114" s="1040"/>
      <c r="AK114" s="1040"/>
      <c r="AL114" s="1040"/>
      <c r="AM114" s="1040"/>
      <c r="AN114" s="1040"/>
      <c r="AO114" s="1041"/>
      <c r="AP114" s="175"/>
    </row>
    <row r="115" spans="1:42" s="457" customFormat="1" ht="24.75" customHeight="1">
      <c r="A115" s="177" t="s">
        <v>219</v>
      </c>
      <c r="B115" s="254" t="s">
        <v>220</v>
      </c>
      <c r="C115" s="255"/>
      <c r="D115" s="255"/>
      <c r="E115" s="255"/>
      <c r="F115" s="255"/>
      <c r="G115" s="256"/>
      <c r="H115" s="255"/>
      <c r="I115" s="255"/>
      <c r="J115" s="255"/>
      <c r="K115" s="255"/>
      <c r="L115" s="255"/>
      <c r="M115" s="255"/>
      <c r="N115" s="255"/>
      <c r="O115" s="255"/>
      <c r="P115" s="255"/>
      <c r="Q115" s="255"/>
      <c r="R115" s="255"/>
      <c r="S115" s="255"/>
      <c r="T115" s="255"/>
      <c r="U115" s="255"/>
      <c r="V115" s="255"/>
      <c r="W115" s="255"/>
      <c r="X115" s="255"/>
      <c r="Y115" s="255"/>
      <c r="Z115" s="255"/>
      <c r="AA115" s="255"/>
      <c r="AB115" s="255"/>
      <c r="AC115" s="255"/>
      <c r="AD115" s="255"/>
      <c r="AE115" s="255"/>
      <c r="AF115" s="255"/>
      <c r="AG115" s="255"/>
      <c r="AH115" s="255"/>
      <c r="AI115" s="476"/>
      <c r="AJ115" s="255"/>
      <c r="AK115" s="255"/>
      <c r="AL115" s="255"/>
      <c r="AM115" s="255"/>
      <c r="AN115" s="255"/>
      <c r="AO115" s="257"/>
      <c r="AP115" s="175"/>
    </row>
    <row r="116" spans="1:42" s="457" customFormat="1" ht="48.75" customHeight="1">
      <c r="A116" s="1036" t="s">
        <v>29</v>
      </c>
      <c r="B116" s="1042" t="s">
        <v>221</v>
      </c>
      <c r="C116" s="1043"/>
      <c r="D116" s="1043"/>
      <c r="E116" s="1043"/>
      <c r="F116" s="1043"/>
      <c r="G116" s="1043"/>
      <c r="H116" s="1043"/>
      <c r="I116" s="1043"/>
      <c r="J116" s="1043"/>
      <c r="K116" s="1043"/>
      <c r="L116" s="1043"/>
      <c r="M116" s="1043"/>
      <c r="N116" s="1043"/>
      <c r="O116" s="1043"/>
      <c r="P116" s="1043"/>
      <c r="Q116" s="1043"/>
      <c r="R116" s="1043"/>
      <c r="S116" s="1043"/>
      <c r="T116" s="1043"/>
      <c r="U116" s="1043"/>
      <c r="V116" s="1044"/>
      <c r="W116" s="258" t="s">
        <v>276</v>
      </c>
      <c r="X116" s="258" t="s">
        <v>223</v>
      </c>
      <c r="Y116" s="258" t="s">
        <v>224</v>
      </c>
      <c r="Z116" s="1036"/>
      <c r="AA116" s="1036"/>
      <c r="AB116" s="1036"/>
      <c r="AC116" s="1036"/>
      <c r="AD116" s="1036"/>
      <c r="AE116" s="1036"/>
      <c r="AF116" s="1036"/>
      <c r="AG116" s="1036"/>
      <c r="AH116" s="258" t="s">
        <v>224</v>
      </c>
      <c r="AI116" s="477" t="s">
        <v>225</v>
      </c>
      <c r="AJ116" s="185" t="s">
        <v>226</v>
      </c>
      <c r="AK116" s="185" t="s">
        <v>647</v>
      </c>
      <c r="AL116" s="185" t="s">
        <v>278</v>
      </c>
      <c r="AM116" s="185" t="s">
        <v>279</v>
      </c>
      <c r="AN116" s="185" t="s">
        <v>230</v>
      </c>
      <c r="AO116" s="1030" t="s">
        <v>9</v>
      </c>
      <c r="AP116" s="175"/>
    </row>
    <row r="117" spans="1:42" s="457" customFormat="1">
      <c r="A117" s="1036"/>
      <c r="B117" s="1045"/>
      <c r="C117" s="1046"/>
      <c r="D117" s="1046"/>
      <c r="E117" s="1046"/>
      <c r="F117" s="1046"/>
      <c r="G117" s="1046"/>
      <c r="H117" s="1046"/>
      <c r="I117" s="1046"/>
      <c r="J117" s="1046"/>
      <c r="K117" s="1046"/>
      <c r="L117" s="1046"/>
      <c r="M117" s="1046"/>
      <c r="N117" s="1046"/>
      <c r="O117" s="1046"/>
      <c r="P117" s="1046"/>
      <c r="Q117" s="1046"/>
      <c r="R117" s="1046"/>
      <c r="S117" s="1046"/>
      <c r="T117" s="1046"/>
      <c r="U117" s="1046"/>
      <c r="V117" s="1047"/>
      <c r="W117" s="258" t="s">
        <v>231</v>
      </c>
      <c r="X117" s="258" t="s">
        <v>232</v>
      </c>
      <c r="Y117" s="258" t="s">
        <v>233</v>
      </c>
      <c r="Z117" s="1036"/>
      <c r="AA117" s="1036"/>
      <c r="AB117" s="1036"/>
      <c r="AC117" s="1036"/>
      <c r="AD117" s="1036"/>
      <c r="AE117" s="1036"/>
      <c r="AF117" s="1036"/>
      <c r="AG117" s="1036"/>
      <c r="AH117" s="249" t="s">
        <v>234</v>
      </c>
      <c r="AI117" s="259">
        <v>0.08</v>
      </c>
      <c r="AJ117" s="249" t="s">
        <v>235</v>
      </c>
      <c r="AK117" s="260">
        <v>0.19</v>
      </c>
      <c r="AL117" s="260">
        <v>0.19</v>
      </c>
      <c r="AM117" s="249" t="s">
        <v>236</v>
      </c>
      <c r="AN117" s="249" t="s">
        <v>237</v>
      </c>
      <c r="AO117" s="1030"/>
      <c r="AP117" s="175"/>
    </row>
    <row r="118" spans="1:42" s="457" customFormat="1">
      <c r="A118" s="261" t="s">
        <v>238</v>
      </c>
      <c r="B118" s="478" t="s">
        <v>239</v>
      </c>
      <c r="C118" s="479"/>
      <c r="D118" s="479"/>
      <c r="E118" s="479"/>
      <c r="F118" s="262"/>
      <c r="G118" s="263"/>
      <c r="H118" s="262"/>
      <c r="I118" s="262"/>
      <c r="J118" s="262"/>
      <c r="K118" s="262"/>
      <c r="L118" s="262"/>
      <c r="M118" s="262"/>
      <c r="N118" s="262"/>
      <c r="O118" s="262"/>
      <c r="P118" s="262"/>
      <c r="Q118" s="262"/>
      <c r="R118" s="262"/>
      <c r="S118" s="262"/>
      <c r="T118" s="262"/>
      <c r="U118" s="262"/>
      <c r="V118" s="262"/>
      <c r="W118" s="262"/>
      <c r="X118" s="262"/>
      <c r="Y118" s="262"/>
      <c r="Z118" s="262"/>
      <c r="AA118" s="262"/>
      <c r="AB118" s="262"/>
      <c r="AC118" s="262"/>
      <c r="AD118" s="262"/>
      <c r="AE118" s="262"/>
      <c r="AF118" s="262"/>
      <c r="AG118" s="262"/>
      <c r="AH118" s="262"/>
      <c r="AI118" s="469"/>
      <c r="AJ118" s="262"/>
      <c r="AK118" s="262"/>
      <c r="AL118" s="262"/>
      <c r="AM118" s="262"/>
      <c r="AN118" s="262"/>
      <c r="AO118" s="264"/>
      <c r="AP118" s="175"/>
    </row>
    <row r="119" spans="1:42" s="457" customFormat="1" ht="22.5" hidden="1">
      <c r="A119" s="265" t="s">
        <v>240</v>
      </c>
      <c r="B119" s="1017" t="s">
        <v>241</v>
      </c>
      <c r="C119" s="1018"/>
      <c r="D119" s="1018"/>
      <c r="E119" s="1018"/>
      <c r="F119" s="1018"/>
      <c r="G119" s="1018"/>
      <c r="H119" s="1018"/>
      <c r="I119" s="1018"/>
      <c r="J119" s="1018"/>
      <c r="K119" s="1018"/>
      <c r="L119" s="1018"/>
      <c r="M119" s="1018"/>
      <c r="N119" s="1018"/>
      <c r="O119" s="1018"/>
      <c r="P119" s="1018"/>
      <c r="Q119" s="1018"/>
      <c r="R119" s="1018"/>
      <c r="S119" s="1018"/>
      <c r="T119" s="1018"/>
      <c r="U119" s="1018"/>
      <c r="V119" s="1019"/>
      <c r="W119" s="205">
        <v>0</v>
      </c>
      <c r="X119" s="266">
        <v>6500000</v>
      </c>
      <c r="Y119" s="266">
        <f t="shared" ref="Y119:Y127" si="101">ROUND(W119*X119,0)</f>
        <v>0</v>
      </c>
      <c r="Z119" s="205"/>
      <c r="AA119" s="267"/>
      <c r="AB119" s="205"/>
      <c r="AC119" s="205"/>
      <c r="AD119" s="205"/>
      <c r="AE119" s="205"/>
      <c r="AF119" s="205"/>
      <c r="AG119" s="205"/>
      <c r="AH119" s="209">
        <f>+Y119</f>
        <v>0</v>
      </c>
      <c r="AI119" s="209">
        <f>ROUND(AH119*$AI$117,0)</f>
        <v>0</v>
      </c>
      <c r="AJ119" s="209">
        <f>+AH119+AI119</f>
        <v>0</v>
      </c>
      <c r="AK119" s="204">
        <f>ROUND(AH119*$AK$117,0)</f>
        <v>0</v>
      </c>
      <c r="AL119" s="204">
        <f>ROUND(AI119*$AL$117,0)</f>
        <v>0</v>
      </c>
      <c r="AM119" s="268">
        <f>+AK119+AL119</f>
        <v>0</v>
      </c>
      <c r="AN119" s="268">
        <f>+AJ119+AM119</f>
        <v>0</v>
      </c>
      <c r="AO119" s="205" t="s">
        <v>16</v>
      </c>
      <c r="AP119" s="269">
        <v>43889580</v>
      </c>
    </row>
    <row r="120" spans="1:42" s="457" customFormat="1" ht="22.5" hidden="1">
      <c r="A120" s="265" t="s">
        <v>242</v>
      </c>
      <c r="B120" s="1017" t="s">
        <v>243</v>
      </c>
      <c r="C120" s="1018"/>
      <c r="D120" s="1018"/>
      <c r="E120" s="1018"/>
      <c r="F120" s="1018"/>
      <c r="G120" s="1018"/>
      <c r="H120" s="1018"/>
      <c r="I120" s="1018"/>
      <c r="J120" s="1018"/>
      <c r="K120" s="1018"/>
      <c r="L120" s="1018"/>
      <c r="M120" s="1018"/>
      <c r="N120" s="1018"/>
      <c r="O120" s="1018"/>
      <c r="P120" s="1018"/>
      <c r="Q120" s="1018"/>
      <c r="R120" s="1018"/>
      <c r="S120" s="1018"/>
      <c r="T120" s="1018"/>
      <c r="U120" s="1018"/>
      <c r="V120" s="1019"/>
      <c r="W120" s="205">
        <v>0</v>
      </c>
      <c r="X120" s="266">
        <v>6500000</v>
      </c>
      <c r="Y120" s="266">
        <f t="shared" si="101"/>
        <v>0</v>
      </c>
      <c r="Z120" s="205"/>
      <c r="AA120" s="267"/>
      <c r="AB120" s="205"/>
      <c r="AC120" s="205"/>
      <c r="AD120" s="205"/>
      <c r="AE120" s="205"/>
      <c r="AF120" s="205"/>
      <c r="AG120" s="205"/>
      <c r="AH120" s="209">
        <f>+Y120</f>
        <v>0</v>
      </c>
      <c r="AI120" s="209">
        <f>ROUND(AH120*$AI$117,0)</f>
        <v>0</v>
      </c>
      <c r="AJ120" s="209">
        <f>+AH120+AI120</f>
        <v>0</v>
      </c>
      <c r="AK120" s="204">
        <v>0</v>
      </c>
      <c r="AL120" s="270">
        <f>ROUND((AH120*10%)*$AL$117,0)</f>
        <v>0</v>
      </c>
      <c r="AM120" s="268">
        <f>+AK120+AL120</f>
        <v>0</v>
      </c>
      <c r="AN120" s="268">
        <f>+AJ120+AM120</f>
        <v>0</v>
      </c>
      <c r="AO120" s="205" t="s">
        <v>16</v>
      </c>
      <c r="AP120" s="467" t="s">
        <v>168</v>
      </c>
    </row>
    <row r="121" spans="1:42" s="457" customFormat="1" ht="22.5" hidden="1">
      <c r="A121" s="265" t="s">
        <v>245</v>
      </c>
      <c r="B121" s="1031" t="s">
        <v>244</v>
      </c>
      <c r="C121" s="1032"/>
      <c r="D121" s="1032"/>
      <c r="E121" s="1032"/>
      <c r="F121" s="1032"/>
      <c r="G121" s="1032"/>
      <c r="H121" s="1032"/>
      <c r="I121" s="1032"/>
      <c r="J121" s="1032"/>
      <c r="K121" s="1032"/>
      <c r="L121" s="1032"/>
      <c r="M121" s="1032"/>
      <c r="N121" s="1032"/>
      <c r="O121" s="1032"/>
      <c r="P121" s="1032"/>
      <c r="Q121" s="1032"/>
      <c r="R121" s="1032"/>
      <c r="S121" s="1032"/>
      <c r="T121" s="1032"/>
      <c r="U121" s="1032"/>
      <c r="V121" s="1033"/>
      <c r="W121" s="205">
        <v>0</v>
      </c>
      <c r="X121" s="266">
        <v>5500000</v>
      </c>
      <c r="Y121" s="266">
        <f t="shared" si="101"/>
        <v>0</v>
      </c>
      <c r="Z121" s="205"/>
      <c r="AA121" s="267"/>
      <c r="AB121" s="205"/>
      <c r="AC121" s="205"/>
      <c r="AD121" s="205"/>
      <c r="AE121" s="205"/>
      <c r="AF121" s="205"/>
      <c r="AG121" s="205"/>
      <c r="AH121" s="209">
        <f t="shared" ref="AH121:AH127" si="102">+Y121</f>
        <v>0</v>
      </c>
      <c r="AI121" s="209">
        <f t="shared" ref="AI121:AI127" si="103">ROUND(AH121*$AI$117,0)</f>
        <v>0</v>
      </c>
      <c r="AJ121" s="209">
        <f t="shared" ref="AJ121:AJ127" si="104">+AH121+AI121</f>
        <v>0</v>
      </c>
      <c r="AK121" s="204">
        <v>0</v>
      </c>
      <c r="AL121" s="270">
        <f>ROUND((AH121*10%)*$AL$117,0)</f>
        <v>0</v>
      </c>
      <c r="AM121" s="268">
        <f t="shared" ref="AM121:AM127" si="105">+AK121+AL121</f>
        <v>0</v>
      </c>
      <c r="AN121" s="268">
        <f t="shared" ref="AN121:AN127" si="106">+AJ121+AM121</f>
        <v>0</v>
      </c>
      <c r="AO121" s="205" t="s">
        <v>21</v>
      </c>
      <c r="AP121" s="467" t="s">
        <v>168</v>
      </c>
    </row>
    <row r="122" spans="1:42" s="457" customFormat="1" ht="22.5" hidden="1">
      <c r="A122" s="265" t="s">
        <v>247</v>
      </c>
      <c r="B122" s="1031" t="s">
        <v>648</v>
      </c>
      <c r="C122" s="1032"/>
      <c r="D122" s="1032"/>
      <c r="E122" s="1032"/>
      <c r="F122" s="1032"/>
      <c r="G122" s="1032"/>
      <c r="H122" s="1032"/>
      <c r="I122" s="1032"/>
      <c r="J122" s="1032"/>
      <c r="K122" s="1032"/>
      <c r="L122" s="1032"/>
      <c r="M122" s="1032"/>
      <c r="N122" s="1032"/>
      <c r="O122" s="1032"/>
      <c r="P122" s="1032"/>
      <c r="Q122" s="1032"/>
      <c r="R122" s="1032"/>
      <c r="S122" s="1032"/>
      <c r="T122" s="1032"/>
      <c r="U122" s="1032"/>
      <c r="V122" s="1033"/>
      <c r="W122" s="205">
        <v>0</v>
      </c>
      <c r="X122" s="266">
        <v>2500000</v>
      </c>
      <c r="Y122" s="266">
        <f t="shared" si="101"/>
        <v>0</v>
      </c>
      <c r="Z122" s="205" t="s">
        <v>649</v>
      </c>
      <c r="AA122" s="267"/>
      <c r="AB122" s="205"/>
      <c r="AC122" s="205"/>
      <c r="AD122" s="205"/>
      <c r="AE122" s="205"/>
      <c r="AF122" s="205"/>
      <c r="AG122" s="205"/>
      <c r="AH122" s="209">
        <f t="shared" si="102"/>
        <v>0</v>
      </c>
      <c r="AI122" s="209">
        <f t="shared" si="103"/>
        <v>0</v>
      </c>
      <c r="AJ122" s="209">
        <f t="shared" si="104"/>
        <v>0</v>
      </c>
      <c r="AK122" s="204">
        <v>0</v>
      </c>
      <c r="AL122" s="270">
        <f>ROUND((AH122*10%)*$AL$117,0)</f>
        <v>0</v>
      </c>
      <c r="AM122" s="268">
        <f t="shared" si="105"/>
        <v>0</v>
      </c>
      <c r="AN122" s="268">
        <f t="shared" si="106"/>
        <v>0</v>
      </c>
      <c r="AO122" s="205" t="s">
        <v>21</v>
      </c>
      <c r="AP122" s="467" t="s">
        <v>168</v>
      </c>
    </row>
    <row r="123" spans="1:42" s="457" customFormat="1" ht="22.5" hidden="1">
      <c r="A123" s="265" t="s">
        <v>249</v>
      </c>
      <c r="B123" s="1031" t="s">
        <v>650</v>
      </c>
      <c r="C123" s="1032"/>
      <c r="D123" s="1032"/>
      <c r="E123" s="1032"/>
      <c r="F123" s="1032"/>
      <c r="G123" s="1032"/>
      <c r="H123" s="1032"/>
      <c r="I123" s="1032"/>
      <c r="J123" s="1032"/>
      <c r="K123" s="1032"/>
      <c r="L123" s="1032"/>
      <c r="M123" s="1032"/>
      <c r="N123" s="1032"/>
      <c r="O123" s="1032"/>
      <c r="P123" s="1032"/>
      <c r="Q123" s="1032"/>
      <c r="R123" s="1032"/>
      <c r="S123" s="1032"/>
      <c r="T123" s="1032"/>
      <c r="U123" s="1032"/>
      <c r="V123" s="1033"/>
      <c r="W123" s="205">
        <v>0</v>
      </c>
      <c r="X123" s="266">
        <v>1450000</v>
      </c>
      <c r="Y123" s="266">
        <f t="shared" si="101"/>
        <v>0</v>
      </c>
      <c r="Z123" s="205"/>
      <c r="AA123" s="267"/>
      <c r="AB123" s="205"/>
      <c r="AC123" s="205"/>
      <c r="AD123" s="205"/>
      <c r="AE123" s="205"/>
      <c r="AF123" s="205"/>
      <c r="AG123" s="205"/>
      <c r="AH123" s="209">
        <f t="shared" si="102"/>
        <v>0</v>
      </c>
      <c r="AI123" s="209">
        <f t="shared" si="103"/>
        <v>0</v>
      </c>
      <c r="AJ123" s="209">
        <f t="shared" si="104"/>
        <v>0</v>
      </c>
      <c r="AK123" s="204">
        <v>0</v>
      </c>
      <c r="AL123" s="270">
        <f>ROUND((AH123*10%)*$AL$117,0)</f>
        <v>0</v>
      </c>
      <c r="AM123" s="268">
        <f t="shared" si="105"/>
        <v>0</v>
      </c>
      <c r="AN123" s="268">
        <f t="shared" si="106"/>
        <v>0</v>
      </c>
      <c r="AO123" s="205" t="s">
        <v>21</v>
      </c>
      <c r="AP123" s="467" t="s">
        <v>168</v>
      </c>
    </row>
    <row r="124" spans="1:42" s="457" customFormat="1" ht="22.5" hidden="1">
      <c r="A124" s="265" t="s">
        <v>252</v>
      </c>
      <c r="B124" s="1017" t="s">
        <v>250</v>
      </c>
      <c r="C124" s="1018"/>
      <c r="D124" s="1018"/>
      <c r="E124" s="1018"/>
      <c r="F124" s="1018"/>
      <c r="G124" s="1018"/>
      <c r="H124" s="1018"/>
      <c r="I124" s="1018"/>
      <c r="J124" s="1018"/>
      <c r="K124" s="1018"/>
      <c r="L124" s="1018"/>
      <c r="M124" s="1018"/>
      <c r="N124" s="1018"/>
      <c r="O124" s="1018"/>
      <c r="P124" s="1018"/>
      <c r="Q124" s="1018"/>
      <c r="R124" s="1018"/>
      <c r="S124" s="1018"/>
      <c r="T124" s="1018"/>
      <c r="U124" s="1018"/>
      <c r="V124" s="1019"/>
      <c r="W124" s="205">
        <v>0</v>
      </c>
      <c r="X124" s="266">
        <v>2000000</v>
      </c>
      <c r="Y124" s="266">
        <f t="shared" si="101"/>
        <v>0</v>
      </c>
      <c r="Z124" s="205"/>
      <c r="AA124" s="267"/>
      <c r="AB124" s="205"/>
      <c r="AC124" s="205"/>
      <c r="AD124" s="205"/>
      <c r="AE124" s="205"/>
      <c r="AF124" s="205"/>
      <c r="AG124" s="205"/>
      <c r="AH124" s="209">
        <f t="shared" si="102"/>
        <v>0</v>
      </c>
      <c r="AI124" s="209">
        <f t="shared" si="103"/>
        <v>0</v>
      </c>
      <c r="AJ124" s="209">
        <f t="shared" si="104"/>
        <v>0</v>
      </c>
      <c r="AK124" s="204">
        <f>ROUND(AH124*$AK$117,0)</f>
        <v>0</v>
      </c>
      <c r="AL124" s="204">
        <f>ROUND(AI124*$AL$117,0)</f>
        <v>0</v>
      </c>
      <c r="AM124" s="268">
        <f t="shared" si="105"/>
        <v>0</v>
      </c>
      <c r="AN124" s="268">
        <f t="shared" si="106"/>
        <v>0</v>
      </c>
      <c r="AO124" s="205" t="s">
        <v>21</v>
      </c>
      <c r="AP124" s="269">
        <v>78737906.519999996</v>
      </c>
    </row>
    <row r="125" spans="1:42" s="457" customFormat="1" ht="22.5" hidden="1">
      <c r="A125" s="265" t="s">
        <v>651</v>
      </c>
      <c r="B125" s="1017" t="s">
        <v>652</v>
      </c>
      <c r="C125" s="1018"/>
      <c r="D125" s="1018"/>
      <c r="E125" s="1018"/>
      <c r="F125" s="1018"/>
      <c r="G125" s="1018"/>
      <c r="H125" s="1018"/>
      <c r="I125" s="1018"/>
      <c r="J125" s="1018"/>
      <c r="K125" s="1018"/>
      <c r="L125" s="1018"/>
      <c r="M125" s="1018"/>
      <c r="N125" s="1018"/>
      <c r="O125" s="1018"/>
      <c r="P125" s="1018"/>
      <c r="Q125" s="1018"/>
      <c r="R125" s="1018"/>
      <c r="S125" s="1018"/>
      <c r="T125" s="1018"/>
      <c r="U125" s="1018"/>
      <c r="V125" s="1019"/>
      <c r="W125" s="205">
        <v>0</v>
      </c>
      <c r="X125" s="266">
        <v>7150000</v>
      </c>
      <c r="Y125" s="266">
        <f t="shared" si="101"/>
        <v>0</v>
      </c>
      <c r="Z125" s="205"/>
      <c r="AA125" s="267"/>
      <c r="AB125" s="205"/>
      <c r="AC125" s="205"/>
      <c r="AD125" s="205"/>
      <c r="AE125" s="205"/>
      <c r="AF125" s="205"/>
      <c r="AG125" s="205"/>
      <c r="AH125" s="209">
        <f t="shared" si="102"/>
        <v>0</v>
      </c>
      <c r="AI125" s="209">
        <f t="shared" si="103"/>
        <v>0</v>
      </c>
      <c r="AJ125" s="209">
        <f t="shared" si="104"/>
        <v>0</v>
      </c>
      <c r="AK125" s="204">
        <f>ROUND(AH125*$AK$117,0)</f>
        <v>0</v>
      </c>
      <c r="AL125" s="204">
        <f>ROUND(AI125*$AL$117,0)</f>
        <v>0</v>
      </c>
      <c r="AM125" s="268">
        <f t="shared" si="105"/>
        <v>0</v>
      </c>
      <c r="AN125" s="268">
        <f t="shared" si="106"/>
        <v>0</v>
      </c>
      <c r="AO125" s="205" t="s">
        <v>21</v>
      </c>
      <c r="AP125" s="269">
        <v>78737906.519999996</v>
      </c>
    </row>
    <row r="126" spans="1:42" s="457" customFormat="1" ht="22.5" hidden="1">
      <c r="A126" s="265" t="s">
        <v>653</v>
      </c>
      <c r="B126" s="1017" t="s">
        <v>654</v>
      </c>
      <c r="C126" s="1018"/>
      <c r="D126" s="1018"/>
      <c r="E126" s="1018"/>
      <c r="F126" s="1018"/>
      <c r="G126" s="1018"/>
      <c r="H126" s="1018"/>
      <c r="I126" s="1018"/>
      <c r="J126" s="1018"/>
      <c r="K126" s="1018"/>
      <c r="L126" s="1018"/>
      <c r="M126" s="1018"/>
      <c r="N126" s="1018"/>
      <c r="O126" s="1018"/>
      <c r="P126" s="1018"/>
      <c r="Q126" s="1018"/>
      <c r="R126" s="1018"/>
      <c r="S126" s="1018"/>
      <c r="T126" s="1018"/>
      <c r="U126" s="1018"/>
      <c r="V126" s="1019"/>
      <c r="W126" s="205">
        <v>0</v>
      </c>
      <c r="X126" s="266">
        <v>4302126</v>
      </c>
      <c r="Y126" s="266">
        <f t="shared" si="101"/>
        <v>0</v>
      </c>
      <c r="Z126" s="205"/>
      <c r="AA126" s="267"/>
      <c r="AB126" s="205"/>
      <c r="AC126" s="205"/>
      <c r="AD126" s="205"/>
      <c r="AE126" s="205"/>
      <c r="AF126" s="205"/>
      <c r="AG126" s="205"/>
      <c r="AH126" s="209">
        <f t="shared" si="102"/>
        <v>0</v>
      </c>
      <c r="AI126" s="209">
        <f t="shared" si="103"/>
        <v>0</v>
      </c>
      <c r="AJ126" s="209">
        <f t="shared" si="104"/>
        <v>0</v>
      </c>
      <c r="AK126" s="204">
        <f>ROUND(AH126*$AK$117,0)</f>
        <v>0</v>
      </c>
      <c r="AL126" s="204">
        <f>ROUND(AI126*$AL$117,0)</f>
        <v>0</v>
      </c>
      <c r="AM126" s="268">
        <f t="shared" si="105"/>
        <v>0</v>
      </c>
      <c r="AN126" s="268">
        <f t="shared" si="106"/>
        <v>0</v>
      </c>
      <c r="AO126" s="205" t="s">
        <v>21</v>
      </c>
      <c r="AP126" s="269">
        <v>78737906.519999996</v>
      </c>
    </row>
    <row r="127" spans="1:42" s="457" customFormat="1" ht="22.5" hidden="1">
      <c r="A127" s="265" t="s">
        <v>655</v>
      </c>
      <c r="B127" s="1017" t="s">
        <v>253</v>
      </c>
      <c r="C127" s="1018"/>
      <c r="D127" s="1018"/>
      <c r="E127" s="1018"/>
      <c r="F127" s="1018"/>
      <c r="G127" s="1018"/>
      <c r="H127" s="1018"/>
      <c r="I127" s="1018"/>
      <c r="J127" s="1018"/>
      <c r="K127" s="1018"/>
      <c r="L127" s="1018"/>
      <c r="M127" s="1018"/>
      <c r="N127" s="1018"/>
      <c r="O127" s="1018"/>
      <c r="P127" s="1018"/>
      <c r="Q127" s="1018"/>
      <c r="R127" s="1018"/>
      <c r="S127" s="1018"/>
      <c r="T127" s="1018"/>
      <c r="U127" s="1018"/>
      <c r="V127" s="1019"/>
      <c r="W127" s="205">
        <v>0</v>
      </c>
      <c r="X127" s="266">
        <v>450000</v>
      </c>
      <c r="Y127" s="266">
        <f t="shared" si="101"/>
        <v>0</v>
      </c>
      <c r="Z127" s="205"/>
      <c r="AA127" s="267"/>
      <c r="AB127" s="205"/>
      <c r="AC127" s="205"/>
      <c r="AD127" s="205"/>
      <c r="AE127" s="205"/>
      <c r="AF127" s="205"/>
      <c r="AG127" s="205"/>
      <c r="AH127" s="209">
        <f t="shared" si="102"/>
        <v>0</v>
      </c>
      <c r="AI127" s="209">
        <f t="shared" si="103"/>
        <v>0</v>
      </c>
      <c r="AJ127" s="209">
        <f t="shared" si="104"/>
        <v>0</v>
      </c>
      <c r="AK127" s="204">
        <f>ROUND(AH127*$AK$117,0)</f>
        <v>0</v>
      </c>
      <c r="AL127" s="204">
        <f>ROUND(AI127*$AL$117,0)</f>
        <v>0</v>
      </c>
      <c r="AM127" s="268">
        <f t="shared" si="105"/>
        <v>0</v>
      </c>
      <c r="AN127" s="268">
        <f t="shared" si="106"/>
        <v>0</v>
      </c>
      <c r="AO127" s="205" t="s">
        <v>21</v>
      </c>
      <c r="AP127" s="269">
        <v>3551948.81</v>
      </c>
    </row>
    <row r="128" spans="1:42" s="457" customFormat="1" ht="22.5">
      <c r="A128" s="226" t="s">
        <v>238</v>
      </c>
      <c r="B128" s="1020" t="s">
        <v>255</v>
      </c>
      <c r="C128" s="1020"/>
      <c r="D128" s="1020"/>
      <c r="E128" s="1020"/>
      <c r="F128" s="1020"/>
      <c r="G128" s="1020"/>
      <c r="H128" s="1020"/>
      <c r="I128" s="1020"/>
      <c r="J128" s="1020"/>
      <c r="K128" s="1020"/>
      <c r="L128" s="1020"/>
      <c r="M128" s="1020"/>
      <c r="N128" s="1020"/>
      <c r="O128" s="1020"/>
      <c r="P128" s="1020"/>
      <c r="Q128" s="1020"/>
      <c r="R128" s="1020"/>
      <c r="S128" s="1020"/>
      <c r="T128" s="1020"/>
      <c r="U128" s="1020"/>
      <c r="V128" s="1020"/>
      <c r="W128" s="1020"/>
      <c r="X128" s="1020"/>
      <c r="Y128" s="271">
        <f>SUM(Y119:Y127)</f>
        <v>0</v>
      </c>
      <c r="Z128" s="228"/>
      <c r="AA128" s="228"/>
      <c r="AB128" s="228"/>
      <c r="AC128" s="228"/>
      <c r="AD128" s="228"/>
      <c r="AE128" s="228"/>
      <c r="AF128" s="228"/>
      <c r="AG128" s="228"/>
      <c r="AH128" s="271">
        <f>SUM(AH119:AH127)</f>
        <v>0</v>
      </c>
      <c r="AI128" s="233">
        <f>SUM(AI119:AI127)</f>
        <v>0</v>
      </c>
      <c r="AJ128" s="271">
        <f>SUM(AJ119:AJ127)</f>
        <v>0</v>
      </c>
      <c r="AK128" s="271"/>
      <c r="AL128" s="271"/>
      <c r="AM128" s="271">
        <f>SUM(AM119:AM127)</f>
        <v>0</v>
      </c>
      <c r="AN128" s="271">
        <f>SUM(AN119:AN127)</f>
        <v>0</v>
      </c>
      <c r="AO128" s="228" t="s">
        <v>256</v>
      </c>
      <c r="AP128" s="175"/>
    </row>
    <row r="129" spans="1:42" s="457" customFormat="1">
      <c r="A129" s="261" t="s">
        <v>257</v>
      </c>
      <c r="B129" s="478" t="s">
        <v>258</v>
      </c>
      <c r="C129" s="479"/>
      <c r="D129" s="479"/>
      <c r="E129" s="479"/>
      <c r="F129" s="272"/>
      <c r="G129" s="273"/>
      <c r="H129" s="272"/>
      <c r="I129" s="272"/>
      <c r="J129" s="272"/>
      <c r="K129" s="272"/>
      <c r="L129" s="272"/>
      <c r="M129" s="272"/>
      <c r="N129" s="272"/>
      <c r="O129" s="272"/>
      <c r="P129" s="272"/>
      <c r="Q129" s="272"/>
      <c r="R129" s="272"/>
      <c r="S129" s="272"/>
      <c r="T129" s="272"/>
      <c r="U129" s="272"/>
      <c r="V129" s="272"/>
      <c r="W129" s="274"/>
      <c r="X129" s="274"/>
      <c r="Y129" s="274"/>
      <c r="Z129" s="274"/>
      <c r="AA129" s="274"/>
      <c r="AB129" s="274"/>
      <c r="AC129" s="274"/>
      <c r="AD129" s="274"/>
      <c r="AE129" s="274"/>
      <c r="AF129" s="274"/>
      <c r="AG129" s="274"/>
      <c r="AH129" s="274"/>
      <c r="AI129" s="480"/>
      <c r="AJ129" s="274"/>
      <c r="AK129" s="275"/>
      <c r="AL129" s="275"/>
      <c r="AM129" s="274"/>
      <c r="AN129" s="274"/>
      <c r="AO129" s="276"/>
      <c r="AP129" s="175"/>
    </row>
    <row r="130" spans="1:42" s="457" customFormat="1" ht="22.5" hidden="1">
      <c r="A130" s="265" t="s">
        <v>259</v>
      </c>
      <c r="B130" s="1017" t="s">
        <v>260</v>
      </c>
      <c r="C130" s="1018"/>
      <c r="D130" s="1018"/>
      <c r="E130" s="1018"/>
      <c r="F130" s="1018"/>
      <c r="G130" s="1018"/>
      <c r="H130" s="1018"/>
      <c r="I130" s="1018"/>
      <c r="J130" s="1018"/>
      <c r="K130" s="1018"/>
      <c r="L130" s="1018"/>
      <c r="M130" s="1018"/>
      <c r="N130" s="1018"/>
      <c r="O130" s="1018"/>
      <c r="P130" s="1018"/>
      <c r="Q130" s="1018"/>
      <c r="R130" s="1018"/>
      <c r="S130" s="1018"/>
      <c r="T130" s="1018"/>
      <c r="U130" s="1018"/>
      <c r="V130" s="1019"/>
      <c r="W130" s="205">
        <v>0</v>
      </c>
      <c r="X130" s="266">
        <v>4000000</v>
      </c>
      <c r="Y130" s="266">
        <f>ROUND(W130*X130,0)</f>
        <v>0</v>
      </c>
      <c r="Z130" s="205"/>
      <c r="AA130" s="267"/>
      <c r="AB130" s="205"/>
      <c r="AC130" s="205"/>
      <c r="AD130" s="205"/>
      <c r="AE130" s="205"/>
      <c r="AF130" s="205"/>
      <c r="AG130" s="205"/>
      <c r="AH130" s="209">
        <f t="shared" ref="AH130:AH135" si="107">+Y130</f>
        <v>0</v>
      </c>
      <c r="AI130" s="209">
        <f t="shared" ref="AI130:AI135" si="108">ROUND(AH130*$AI$117,0)</f>
        <v>0</v>
      </c>
      <c r="AJ130" s="209">
        <f t="shared" ref="AJ130:AJ135" si="109">+AH130+AI130</f>
        <v>0</v>
      </c>
      <c r="AK130" s="204">
        <v>0</v>
      </c>
      <c r="AL130" s="270">
        <f>ROUND((AH130*10%)*$AL$117,0)</f>
        <v>0</v>
      </c>
      <c r="AM130" s="268">
        <f t="shared" ref="AM130:AM135" si="110">+AK130+AL130</f>
        <v>0</v>
      </c>
      <c r="AN130" s="268">
        <f t="shared" ref="AN130:AN135" si="111">+AJ130+AM130</f>
        <v>0</v>
      </c>
      <c r="AO130" s="205" t="s">
        <v>13</v>
      </c>
      <c r="AP130" s="467" t="s">
        <v>168</v>
      </c>
    </row>
    <row r="131" spans="1:42" s="457" customFormat="1" ht="22.5" hidden="1">
      <c r="A131" s="265" t="s">
        <v>261</v>
      </c>
      <c r="B131" s="1017" t="s">
        <v>262</v>
      </c>
      <c r="C131" s="1018"/>
      <c r="D131" s="1018"/>
      <c r="E131" s="1018"/>
      <c r="F131" s="1018"/>
      <c r="G131" s="1018"/>
      <c r="H131" s="1018"/>
      <c r="I131" s="1018"/>
      <c r="J131" s="1018"/>
      <c r="K131" s="1018"/>
      <c r="L131" s="1018"/>
      <c r="M131" s="1018"/>
      <c r="N131" s="1018"/>
      <c r="O131" s="1018"/>
      <c r="P131" s="1018"/>
      <c r="Q131" s="1018"/>
      <c r="R131" s="1018"/>
      <c r="S131" s="1018"/>
      <c r="T131" s="1018"/>
      <c r="U131" s="1018"/>
      <c r="V131" s="1019"/>
      <c r="W131" s="205">
        <v>0</v>
      </c>
      <c r="X131" s="266">
        <v>250000</v>
      </c>
      <c r="Y131" s="266">
        <f>ROUND(W131*X131,0)</f>
        <v>0</v>
      </c>
      <c r="Z131" s="205"/>
      <c r="AA131" s="267"/>
      <c r="AB131" s="205"/>
      <c r="AC131" s="205"/>
      <c r="AD131" s="205"/>
      <c r="AE131" s="205"/>
      <c r="AF131" s="205"/>
      <c r="AG131" s="205"/>
      <c r="AH131" s="209">
        <f t="shared" si="107"/>
        <v>0</v>
      </c>
      <c r="AI131" s="209">
        <f t="shared" si="108"/>
        <v>0</v>
      </c>
      <c r="AJ131" s="209">
        <f t="shared" si="109"/>
        <v>0</v>
      </c>
      <c r="AK131" s="204">
        <v>0</v>
      </c>
      <c r="AL131" s="270">
        <f>ROUND((AH131*10%)*$AL$117,0)</f>
        <v>0</v>
      </c>
      <c r="AM131" s="268">
        <f t="shared" si="110"/>
        <v>0</v>
      </c>
      <c r="AN131" s="268">
        <f t="shared" si="111"/>
        <v>0</v>
      </c>
      <c r="AO131" s="205" t="s">
        <v>13</v>
      </c>
      <c r="AP131" s="467" t="s">
        <v>168</v>
      </c>
    </row>
    <row r="132" spans="1:42" s="457" customFormat="1" ht="22.5" hidden="1">
      <c r="A132" s="265" t="s">
        <v>263</v>
      </c>
      <c r="B132" s="1017" t="s">
        <v>656</v>
      </c>
      <c r="C132" s="1018"/>
      <c r="D132" s="1018"/>
      <c r="E132" s="1018"/>
      <c r="F132" s="1018"/>
      <c r="G132" s="1018"/>
      <c r="H132" s="1018"/>
      <c r="I132" s="1018"/>
      <c r="J132" s="1018"/>
      <c r="K132" s="1018"/>
      <c r="L132" s="1018"/>
      <c r="M132" s="1018"/>
      <c r="N132" s="1018"/>
      <c r="O132" s="1018"/>
      <c r="P132" s="1018"/>
      <c r="Q132" s="1018"/>
      <c r="R132" s="1018"/>
      <c r="S132" s="1018"/>
      <c r="T132" s="1018"/>
      <c r="U132" s="1018"/>
      <c r="V132" s="1019"/>
      <c r="W132" s="205">
        <v>0</v>
      </c>
      <c r="X132" s="266">
        <v>1500000</v>
      </c>
      <c r="Y132" s="266">
        <f>ROUND(W132*X132,0)</f>
        <v>0</v>
      </c>
      <c r="Z132" s="205"/>
      <c r="AA132" s="267"/>
      <c r="AB132" s="205"/>
      <c r="AC132" s="205"/>
      <c r="AD132" s="205"/>
      <c r="AE132" s="205"/>
      <c r="AF132" s="205"/>
      <c r="AG132" s="205"/>
      <c r="AH132" s="209">
        <f t="shared" si="107"/>
        <v>0</v>
      </c>
      <c r="AI132" s="209">
        <f t="shared" si="108"/>
        <v>0</v>
      </c>
      <c r="AJ132" s="209">
        <f t="shared" si="109"/>
        <v>0</v>
      </c>
      <c r="AK132" s="204">
        <f>ROUND(AH132*$AK$117,0)</f>
        <v>0</v>
      </c>
      <c r="AL132" s="204">
        <f>ROUND(AI132*$AL$117,0)</f>
        <v>0</v>
      </c>
      <c r="AM132" s="268">
        <f t="shared" si="110"/>
        <v>0</v>
      </c>
      <c r="AN132" s="268">
        <f t="shared" si="111"/>
        <v>0</v>
      </c>
      <c r="AO132" s="205" t="s">
        <v>13</v>
      </c>
      <c r="AP132" s="467"/>
    </row>
    <row r="133" spans="1:42" s="457" customFormat="1" ht="22.5" hidden="1">
      <c r="A133" s="265" t="s">
        <v>265</v>
      </c>
      <c r="B133" s="1017" t="s">
        <v>266</v>
      </c>
      <c r="C133" s="1018"/>
      <c r="D133" s="1018"/>
      <c r="E133" s="1018"/>
      <c r="F133" s="1018"/>
      <c r="G133" s="1018"/>
      <c r="H133" s="1018"/>
      <c r="I133" s="1018"/>
      <c r="J133" s="1018"/>
      <c r="K133" s="1018"/>
      <c r="L133" s="1018"/>
      <c r="M133" s="1018"/>
      <c r="N133" s="1018"/>
      <c r="O133" s="1018"/>
      <c r="P133" s="1018"/>
      <c r="Q133" s="1018"/>
      <c r="R133" s="1018"/>
      <c r="S133" s="1018"/>
      <c r="T133" s="1018"/>
      <c r="U133" s="1018"/>
      <c r="V133" s="1019"/>
      <c r="W133" s="205" t="s">
        <v>297</v>
      </c>
      <c r="X133" s="266">
        <v>5500000</v>
      </c>
      <c r="Y133" s="266">
        <v>0</v>
      </c>
      <c r="Z133" s="205"/>
      <c r="AA133" s="267"/>
      <c r="AB133" s="205"/>
      <c r="AC133" s="205"/>
      <c r="AD133" s="205"/>
      <c r="AE133" s="205"/>
      <c r="AF133" s="205"/>
      <c r="AG133" s="205"/>
      <c r="AH133" s="209">
        <f t="shared" si="107"/>
        <v>0</v>
      </c>
      <c r="AI133" s="209">
        <f t="shared" si="108"/>
        <v>0</v>
      </c>
      <c r="AJ133" s="209">
        <f t="shared" si="109"/>
        <v>0</v>
      </c>
      <c r="AK133" s="204">
        <f>ROUND(AH133*$AK$117,0)</f>
        <v>0</v>
      </c>
      <c r="AL133" s="204">
        <f>ROUND(AI133*$AL$117,0)</f>
        <v>0</v>
      </c>
      <c r="AM133" s="268">
        <f t="shared" si="110"/>
        <v>0</v>
      </c>
      <c r="AN133" s="268">
        <f t="shared" si="111"/>
        <v>0</v>
      </c>
      <c r="AO133" s="205" t="s">
        <v>13</v>
      </c>
      <c r="AP133" s="269">
        <v>42133997</v>
      </c>
    </row>
    <row r="134" spans="1:42" s="457" customFormat="1" ht="22.5" hidden="1">
      <c r="A134" s="265" t="s">
        <v>267</v>
      </c>
      <c r="B134" s="1017" t="s">
        <v>268</v>
      </c>
      <c r="C134" s="1018"/>
      <c r="D134" s="1018"/>
      <c r="E134" s="1018"/>
      <c r="F134" s="1018"/>
      <c r="G134" s="1018"/>
      <c r="H134" s="1018"/>
      <c r="I134" s="1018"/>
      <c r="J134" s="1018"/>
      <c r="K134" s="1018"/>
      <c r="L134" s="1018"/>
      <c r="M134" s="1018"/>
      <c r="N134" s="1018"/>
      <c r="O134" s="1018"/>
      <c r="P134" s="1018"/>
      <c r="Q134" s="1018"/>
      <c r="R134" s="1018"/>
      <c r="S134" s="1018"/>
      <c r="T134" s="1018"/>
      <c r="U134" s="1018"/>
      <c r="V134" s="1019"/>
      <c r="W134" s="205" t="s">
        <v>297</v>
      </c>
      <c r="X134" s="266">
        <v>1150000</v>
      </c>
      <c r="Y134" s="266">
        <v>0</v>
      </c>
      <c r="Z134" s="205"/>
      <c r="AA134" s="267"/>
      <c r="AB134" s="205"/>
      <c r="AC134" s="205"/>
      <c r="AD134" s="205"/>
      <c r="AE134" s="205"/>
      <c r="AF134" s="205"/>
      <c r="AG134" s="205"/>
      <c r="AH134" s="209">
        <f t="shared" si="107"/>
        <v>0</v>
      </c>
      <c r="AI134" s="209">
        <f t="shared" si="108"/>
        <v>0</v>
      </c>
      <c r="AJ134" s="209">
        <f t="shared" si="109"/>
        <v>0</v>
      </c>
      <c r="AK134" s="204">
        <f>ROUND(AH134*$AK$117,0)</f>
        <v>0</v>
      </c>
      <c r="AL134" s="204">
        <f>ROUND(AI134*$AL$117,0)</f>
        <v>0</v>
      </c>
      <c r="AM134" s="268">
        <f t="shared" si="110"/>
        <v>0</v>
      </c>
      <c r="AN134" s="268">
        <f t="shared" si="111"/>
        <v>0</v>
      </c>
      <c r="AO134" s="205" t="s">
        <v>13</v>
      </c>
      <c r="AP134" s="269">
        <v>35111664</v>
      </c>
    </row>
    <row r="135" spans="1:42" s="457" customFormat="1" ht="24.95" customHeight="1">
      <c r="A135" s="265" t="s">
        <v>269</v>
      </c>
      <c r="B135" s="1021" t="s">
        <v>271</v>
      </c>
      <c r="C135" s="1022"/>
      <c r="D135" s="1022"/>
      <c r="E135" s="1022"/>
      <c r="F135" s="1022"/>
      <c r="G135" s="1022"/>
      <c r="H135" s="1022"/>
      <c r="I135" s="1022"/>
      <c r="J135" s="1022"/>
      <c r="K135" s="1022"/>
      <c r="L135" s="1022"/>
      <c r="M135" s="1022"/>
      <c r="N135" s="1022"/>
      <c r="O135" s="1022"/>
      <c r="P135" s="1022"/>
      <c r="Q135" s="1022"/>
      <c r="R135" s="1022"/>
      <c r="S135" s="1022"/>
      <c r="T135" s="1022"/>
      <c r="U135" s="1022"/>
      <c r="V135" s="1023"/>
      <c r="W135" s="205" t="s">
        <v>297</v>
      </c>
      <c r="X135" s="277">
        <f>8500000*9</f>
        <v>76500000</v>
      </c>
      <c r="Y135" s="277">
        <v>6825151</v>
      </c>
      <c r="Z135" s="205"/>
      <c r="AA135" s="278"/>
      <c r="AB135" s="205"/>
      <c r="AC135" s="205"/>
      <c r="AD135" s="205"/>
      <c r="AE135" s="205"/>
      <c r="AF135" s="205"/>
      <c r="AG135" s="205"/>
      <c r="AH135" s="279">
        <f t="shared" si="107"/>
        <v>6825151</v>
      </c>
      <c r="AI135" s="209">
        <f t="shared" si="108"/>
        <v>546012</v>
      </c>
      <c r="AJ135" s="209">
        <f t="shared" si="109"/>
        <v>7371163</v>
      </c>
      <c r="AK135" s="204">
        <v>1284143.69</v>
      </c>
      <c r="AL135" s="204">
        <f>ROUND(AI135*$AL$117,0)</f>
        <v>103742</v>
      </c>
      <c r="AM135" s="268">
        <f t="shared" si="110"/>
        <v>1387885.69</v>
      </c>
      <c r="AN135" s="268">
        <f t="shared" si="111"/>
        <v>8759048.6899999995</v>
      </c>
      <c r="AO135" s="205" t="s">
        <v>13</v>
      </c>
      <c r="AP135" s="269">
        <v>31230360</v>
      </c>
    </row>
    <row r="136" spans="1:42" s="457" customFormat="1" ht="24.95" customHeight="1">
      <c r="A136" s="226" t="s">
        <v>257</v>
      </c>
      <c r="B136" s="1020" t="s">
        <v>272</v>
      </c>
      <c r="C136" s="1020"/>
      <c r="D136" s="1020"/>
      <c r="E136" s="1020"/>
      <c r="F136" s="1020"/>
      <c r="G136" s="1020"/>
      <c r="H136" s="1020"/>
      <c r="I136" s="1020"/>
      <c r="J136" s="1020"/>
      <c r="K136" s="1020"/>
      <c r="L136" s="1020"/>
      <c r="M136" s="1020"/>
      <c r="N136" s="1020"/>
      <c r="O136" s="1020"/>
      <c r="P136" s="1020"/>
      <c r="Q136" s="1020"/>
      <c r="R136" s="1020"/>
      <c r="S136" s="1020"/>
      <c r="T136" s="1020"/>
      <c r="U136" s="1020"/>
      <c r="V136" s="1020"/>
      <c r="W136" s="1020"/>
      <c r="X136" s="1020"/>
      <c r="Y136" s="271">
        <f>SUM(Y130:Y135)</f>
        <v>6825151</v>
      </c>
      <c r="Z136" s="228"/>
      <c r="AA136" s="228"/>
      <c r="AB136" s="228"/>
      <c r="AC136" s="228"/>
      <c r="AD136" s="228"/>
      <c r="AE136" s="228"/>
      <c r="AF136" s="228"/>
      <c r="AG136" s="228"/>
      <c r="AH136" s="271">
        <f>SUM(AH130:AH135)</f>
        <v>6825151</v>
      </c>
      <c r="AI136" s="233">
        <f>SUM(AI130:AI135)</f>
        <v>546012</v>
      </c>
      <c r="AJ136" s="271">
        <f>SUM(AJ130:AJ135)</f>
        <v>7371163</v>
      </c>
      <c r="AK136" s="271"/>
      <c r="AL136" s="271"/>
      <c r="AM136" s="271">
        <f>SUM(AM130:AM135)</f>
        <v>1387885.69</v>
      </c>
      <c r="AN136" s="271">
        <f>SUM(AN130:AN135)</f>
        <v>8759048.6899999995</v>
      </c>
      <c r="AO136" s="228" t="s">
        <v>13</v>
      </c>
      <c r="AP136" s="175"/>
    </row>
    <row r="137" spans="1:42" s="457" customFormat="1" ht="24.95" customHeight="1">
      <c r="A137" s="280" t="s">
        <v>219</v>
      </c>
      <c r="B137" s="1024" t="s">
        <v>273</v>
      </c>
      <c r="C137" s="1025"/>
      <c r="D137" s="1025"/>
      <c r="E137" s="1025"/>
      <c r="F137" s="1025"/>
      <c r="G137" s="1025"/>
      <c r="H137" s="1025"/>
      <c r="I137" s="1025"/>
      <c r="J137" s="1025"/>
      <c r="K137" s="1025"/>
      <c r="L137" s="1025"/>
      <c r="M137" s="1025"/>
      <c r="N137" s="1025"/>
      <c r="O137" s="1025"/>
      <c r="P137" s="1025"/>
      <c r="Q137" s="1025"/>
      <c r="R137" s="1025"/>
      <c r="S137" s="1025"/>
      <c r="T137" s="1025"/>
      <c r="U137" s="1025"/>
      <c r="V137" s="1025"/>
      <c r="W137" s="1025"/>
      <c r="X137" s="1026"/>
      <c r="Y137" s="481">
        <f>+Y128+Y136</f>
        <v>6825151</v>
      </c>
      <c r="Z137" s="481"/>
      <c r="AA137" s="481"/>
      <c r="AB137" s="481"/>
      <c r="AC137" s="481"/>
      <c r="AD137" s="481"/>
      <c r="AE137" s="281"/>
      <c r="AF137" s="481"/>
      <c r="AG137" s="481"/>
      <c r="AH137" s="481">
        <f>+AH128+AH136</f>
        <v>6825151</v>
      </c>
      <c r="AI137" s="475">
        <f>+AI128+AI136</f>
        <v>546012</v>
      </c>
      <c r="AJ137" s="481">
        <f>+AJ128+AJ136</f>
        <v>7371163</v>
      </c>
      <c r="AK137" s="481"/>
      <c r="AL137" s="481"/>
      <c r="AM137" s="481">
        <f>+AM128+AM136</f>
        <v>1387885.69</v>
      </c>
      <c r="AN137" s="481">
        <f>+AN128+AN136</f>
        <v>8759048.6899999995</v>
      </c>
      <c r="AO137" s="282"/>
      <c r="AP137" s="283" t="s">
        <v>657</v>
      </c>
    </row>
    <row r="138" spans="1:42" s="457" customFormat="1" ht="9" customHeight="1">
      <c r="A138" s="237"/>
      <c r="B138" s="237"/>
      <c r="C138" s="237"/>
      <c r="D138" s="237"/>
      <c r="E138" s="237"/>
      <c r="F138" s="237"/>
      <c r="G138" s="238"/>
      <c r="H138" s="237"/>
      <c r="I138" s="237"/>
      <c r="J138" s="237"/>
      <c r="K138" s="237"/>
      <c r="L138" s="237"/>
      <c r="M138" s="237"/>
      <c r="N138" s="237"/>
      <c r="O138" s="237"/>
      <c r="P138" s="239"/>
      <c r="Q138" s="239"/>
      <c r="R138" s="239"/>
      <c r="S138" s="239"/>
      <c r="T138" s="239"/>
      <c r="U138" s="237"/>
      <c r="V138" s="237"/>
      <c r="W138" s="240"/>
      <c r="X138" s="237"/>
      <c r="Y138" s="241"/>
      <c r="Z138" s="241"/>
      <c r="AA138" s="241"/>
      <c r="AB138" s="242"/>
      <c r="AC138" s="242"/>
      <c r="AD138" s="242"/>
      <c r="AE138" s="243"/>
      <c r="AF138" s="244"/>
      <c r="AG138" s="242"/>
      <c r="AH138" s="204"/>
      <c r="AI138" s="204"/>
      <c r="AJ138" s="204"/>
      <c r="AK138" s="204"/>
      <c r="AL138" s="204"/>
      <c r="AM138" s="204"/>
      <c r="AN138" s="204"/>
      <c r="AO138" s="204"/>
      <c r="AP138" s="175"/>
    </row>
    <row r="139" spans="1:42" s="457" customFormat="1" ht="7.5" customHeight="1">
      <c r="A139" s="175"/>
      <c r="B139" s="175"/>
      <c r="C139" s="175"/>
      <c r="D139" s="175"/>
      <c r="E139" s="175"/>
      <c r="F139" s="284"/>
      <c r="G139" s="285"/>
      <c r="H139" s="284"/>
      <c r="I139" s="284"/>
      <c r="J139" s="284"/>
      <c r="K139" s="284"/>
      <c r="L139" s="284"/>
      <c r="M139" s="284"/>
      <c r="N139" s="284"/>
      <c r="O139" s="284"/>
      <c r="P139" s="284"/>
      <c r="Q139" s="284"/>
      <c r="R139" s="284"/>
      <c r="S139" s="284"/>
      <c r="T139" s="284"/>
      <c r="U139" s="284"/>
      <c r="V139" s="284"/>
      <c r="W139" s="284"/>
      <c r="X139" s="284"/>
      <c r="Y139" s="175"/>
      <c r="Z139" s="286"/>
      <c r="AA139" s="286"/>
      <c r="AB139" s="284"/>
      <c r="AC139" s="286"/>
      <c r="AD139" s="175"/>
      <c r="AE139" s="175"/>
      <c r="AF139" s="175"/>
      <c r="AG139" s="175"/>
      <c r="AH139" s="287"/>
      <c r="AI139" s="287"/>
      <c r="AJ139" s="175"/>
      <c r="AK139" s="175"/>
      <c r="AL139" s="287"/>
      <c r="AM139" s="287"/>
      <c r="AN139" s="288"/>
      <c r="AO139" s="288"/>
      <c r="AP139" s="288"/>
    </row>
    <row r="140" spans="1:42" s="457" customFormat="1" ht="24.95" customHeight="1">
      <c r="A140" s="289">
        <v>2</v>
      </c>
      <c r="B140" s="1027" t="s">
        <v>315</v>
      </c>
      <c r="C140" s="1028"/>
      <c r="D140" s="1028"/>
      <c r="E140" s="1028"/>
      <c r="F140" s="1028"/>
      <c r="G140" s="1028"/>
      <c r="H140" s="1028"/>
      <c r="I140" s="1028"/>
      <c r="J140" s="1028"/>
      <c r="K140" s="1028"/>
      <c r="L140" s="1028"/>
      <c r="M140" s="1028"/>
      <c r="N140" s="1028"/>
      <c r="O140" s="1028"/>
      <c r="P140" s="1028"/>
      <c r="Q140" s="1028"/>
      <c r="R140" s="1028"/>
      <c r="S140" s="1028"/>
      <c r="T140" s="1028"/>
      <c r="U140" s="1028"/>
      <c r="V140" s="1028"/>
      <c r="W140" s="1028"/>
      <c r="X140" s="1029"/>
      <c r="Y140" s="474">
        <f>+Y137</f>
        <v>6825151</v>
      </c>
      <c r="Z140" s="474"/>
      <c r="AA140" s="474"/>
      <c r="AB140" s="474"/>
      <c r="AC140" s="474"/>
      <c r="AD140" s="474"/>
      <c r="AE140" s="474"/>
      <c r="AF140" s="474"/>
      <c r="AG140" s="474"/>
      <c r="AH140" s="474">
        <f>+AH137</f>
        <v>6825151</v>
      </c>
      <c r="AI140" s="475">
        <f>+AI137</f>
        <v>546012</v>
      </c>
      <c r="AJ140" s="474">
        <f>+AJ137</f>
        <v>7371163</v>
      </c>
      <c r="AK140" s="474"/>
      <c r="AL140" s="474"/>
      <c r="AM140" s="474">
        <f>+AM137</f>
        <v>1387885.69</v>
      </c>
      <c r="AN140" s="474">
        <f>+AN137</f>
        <v>8759048.6899999995</v>
      </c>
      <c r="AO140" s="249"/>
      <c r="AP140" s="288"/>
    </row>
    <row r="141" spans="1:42" s="457" customFormat="1" ht="6" customHeight="1">
      <c r="A141" s="175"/>
      <c r="B141" s="175"/>
      <c r="C141" s="175"/>
      <c r="D141" s="175"/>
      <c r="E141" s="175"/>
      <c r="F141" s="284"/>
      <c r="G141" s="285"/>
      <c r="H141" s="284"/>
      <c r="I141" s="284"/>
      <c r="J141" s="284"/>
      <c r="K141" s="284"/>
      <c r="L141" s="284"/>
      <c r="M141" s="284"/>
      <c r="N141" s="284"/>
      <c r="O141" s="284"/>
      <c r="P141" s="284"/>
      <c r="Q141" s="284"/>
      <c r="R141" s="284"/>
      <c r="S141" s="284"/>
      <c r="T141" s="284"/>
      <c r="U141" s="284"/>
      <c r="V141" s="284"/>
      <c r="W141" s="284"/>
      <c r="X141" s="284"/>
      <c r="Y141" s="175"/>
      <c r="Z141" s="286"/>
      <c r="AA141" s="286"/>
      <c r="AB141" s="284"/>
      <c r="AC141" s="286"/>
      <c r="AD141" s="175"/>
      <c r="AE141" s="175"/>
      <c r="AF141" s="175"/>
      <c r="AG141" s="175"/>
      <c r="AH141" s="175"/>
      <c r="AI141" s="175"/>
      <c r="AJ141" s="175"/>
      <c r="AK141" s="175"/>
      <c r="AL141" s="287"/>
      <c r="AM141" s="175"/>
      <c r="AN141" s="288"/>
      <c r="AO141" s="288"/>
      <c r="AP141" s="288"/>
    </row>
    <row r="142" spans="1:42" s="457" customFormat="1" ht="24.95" customHeight="1">
      <c r="A142" s="1014" t="s">
        <v>658</v>
      </c>
      <c r="B142" s="1015"/>
      <c r="C142" s="1015"/>
      <c r="D142" s="1015"/>
      <c r="E142" s="1015"/>
      <c r="F142" s="1015"/>
      <c r="G142" s="1015"/>
      <c r="H142" s="1015"/>
      <c r="I142" s="1015"/>
      <c r="J142" s="1015"/>
      <c r="K142" s="1015"/>
      <c r="L142" s="1015"/>
      <c r="M142" s="1015"/>
      <c r="N142" s="1015"/>
      <c r="O142" s="1015"/>
      <c r="P142" s="1015"/>
      <c r="Q142" s="1015"/>
      <c r="R142" s="1015"/>
      <c r="S142" s="1015"/>
      <c r="T142" s="1015"/>
      <c r="U142" s="1015"/>
      <c r="V142" s="1015"/>
      <c r="W142" s="1015"/>
      <c r="X142" s="1015"/>
      <c r="Y142" s="1015"/>
      <c r="Z142" s="1015"/>
      <c r="AA142" s="1015"/>
      <c r="AB142" s="1015"/>
      <c r="AC142" s="1015"/>
      <c r="AD142" s="1015"/>
      <c r="AE142" s="1015"/>
      <c r="AF142" s="1015"/>
      <c r="AG142" s="1016"/>
      <c r="AH142" s="290">
        <f>+AH140+AJ112</f>
        <v>240900038.00000003</v>
      </c>
      <c r="AI142" s="482">
        <f>+AI140+AK112</f>
        <v>19272004</v>
      </c>
      <c r="AJ142" s="290">
        <f>+AL112+AJ140</f>
        <v>260172042</v>
      </c>
      <c r="AK142" s="290"/>
      <c r="AL142" s="290"/>
      <c r="AM142" s="290">
        <f>+AM140+AM112</f>
        <v>32497562.690000001</v>
      </c>
      <c r="AN142" s="291">
        <f>+AN140+AN112</f>
        <v>292669604.68999994</v>
      </c>
      <c r="AO142" s="292"/>
      <c r="AP142" s="293"/>
    </row>
    <row r="143" spans="1:42" s="457" customFormat="1">
      <c r="A143" s="269" t="s">
        <v>659</v>
      </c>
      <c r="B143" s="175"/>
      <c r="C143" s="175"/>
      <c r="D143" s="175"/>
      <c r="E143" s="175"/>
      <c r="F143" s="284"/>
      <c r="G143" s="285"/>
      <c r="H143" s="284"/>
      <c r="I143" s="284"/>
      <c r="J143" s="284"/>
      <c r="K143" s="284"/>
      <c r="L143" s="284"/>
      <c r="M143" s="284"/>
      <c r="N143" s="284"/>
      <c r="O143" s="284"/>
      <c r="P143" s="284"/>
      <c r="Q143" s="284"/>
      <c r="R143" s="284"/>
      <c r="S143" s="284"/>
      <c r="T143" s="284"/>
      <c r="U143" s="284"/>
      <c r="V143" s="284"/>
      <c r="W143" s="284"/>
      <c r="X143" s="284"/>
      <c r="Y143" s="175"/>
      <c r="Z143" s="286"/>
      <c r="AA143" s="286"/>
      <c r="AB143" s="284"/>
      <c r="AC143" s="286"/>
      <c r="AD143" s="175"/>
      <c r="AE143" s="175"/>
      <c r="AF143" s="175"/>
      <c r="AG143" s="175"/>
      <c r="AH143" s="175"/>
      <c r="AI143" s="175"/>
      <c r="AJ143" s="175"/>
      <c r="AK143" s="294"/>
      <c r="AL143" s="175"/>
      <c r="AM143" s="287"/>
      <c r="AN143" s="287"/>
      <c r="AO143" s="295"/>
      <c r="AP143" s="175"/>
    </row>
    <row r="144" spans="1:42" s="457" customFormat="1">
      <c r="A144" s="175" t="s">
        <v>660</v>
      </c>
      <c r="B144" s="175"/>
      <c r="C144" s="175"/>
      <c r="D144" s="175"/>
      <c r="E144" s="175"/>
      <c r="F144" s="284"/>
      <c r="G144" s="285"/>
      <c r="H144" s="284"/>
      <c r="I144" s="284"/>
      <c r="J144" s="284"/>
      <c r="K144" s="284"/>
      <c r="L144" s="284"/>
      <c r="M144" s="284"/>
      <c r="N144" s="284"/>
      <c r="O144" s="284"/>
      <c r="P144" s="284"/>
      <c r="Q144" s="284"/>
      <c r="R144" s="284"/>
      <c r="S144" s="284"/>
      <c r="T144" s="284"/>
      <c r="U144" s="284"/>
      <c r="V144" s="284"/>
      <c r="W144" s="284"/>
      <c r="X144" s="284"/>
      <c r="Y144" s="175"/>
      <c r="Z144" s="286"/>
      <c r="AA144" s="286"/>
      <c r="AB144" s="284"/>
      <c r="AC144" s="286"/>
      <c r="AD144" s="175"/>
      <c r="AE144" s="175"/>
      <c r="AF144" s="175"/>
      <c r="AG144" s="175"/>
      <c r="AH144" s="175"/>
      <c r="AI144" s="287"/>
      <c r="AJ144" s="296"/>
      <c r="AK144" s="175"/>
      <c r="AL144" s="175"/>
      <c r="AM144" s="287"/>
      <c r="AN144" s="287"/>
      <c r="AO144" s="288"/>
      <c r="AP144" s="175"/>
    </row>
    <row r="145" spans="1:41" s="457" customFormat="1">
      <c r="A145" s="1010" t="s">
        <v>661</v>
      </c>
      <c r="B145" s="1010"/>
      <c r="C145" s="1010"/>
      <c r="D145" s="1010"/>
      <c r="E145" s="1010"/>
      <c r="F145" s="1010"/>
      <c r="G145" s="298"/>
      <c r="H145" s="297"/>
      <c r="I145" s="297"/>
      <c r="J145" s="297"/>
      <c r="K145" s="297"/>
      <c r="L145" s="297"/>
      <c r="M145" s="297"/>
      <c r="N145" s="297"/>
      <c r="O145" s="297"/>
      <c r="P145" s="299"/>
      <c r="Q145" s="299"/>
      <c r="R145" s="299"/>
      <c r="S145" s="299"/>
      <c r="T145" s="299"/>
      <c r="U145" s="299"/>
      <c r="V145" s="299"/>
      <c r="W145" s="299"/>
      <c r="X145" s="175"/>
      <c r="Y145" s="175"/>
      <c r="Z145" s="300"/>
      <c r="AA145" s="175"/>
      <c r="AB145" s="175"/>
      <c r="AC145" s="175"/>
      <c r="AD145" s="175"/>
      <c r="AE145" s="175"/>
      <c r="AF145" s="175"/>
      <c r="AG145" s="175"/>
      <c r="AH145" s="175"/>
      <c r="AI145" s="287"/>
      <c r="AJ145" s="175"/>
      <c r="AK145" s="175"/>
      <c r="AL145" s="175"/>
      <c r="AM145" s="287"/>
      <c r="AN145" s="252"/>
      <c r="AO145" s="288"/>
    </row>
    <row r="146" spans="1:41" s="457" customFormat="1" ht="12" thickBot="1">
      <c r="A146" s="175"/>
      <c r="B146" s="175"/>
      <c r="C146" s="175"/>
      <c r="D146" s="175"/>
      <c r="E146" s="175"/>
      <c r="F146" s="284"/>
      <c r="G146" s="285"/>
      <c r="H146" s="284"/>
      <c r="I146" s="284"/>
      <c r="J146" s="284"/>
      <c r="K146" s="284"/>
      <c r="L146" s="284"/>
      <c r="M146" s="284"/>
      <c r="N146" s="284"/>
      <c r="O146" s="284"/>
      <c r="P146" s="284"/>
      <c r="Q146" s="284"/>
      <c r="R146" s="284"/>
      <c r="S146" s="284"/>
      <c r="T146" s="284"/>
      <c r="U146" s="284"/>
      <c r="V146" s="284"/>
      <c r="W146" s="284"/>
      <c r="X146" s="175"/>
      <c r="Y146" s="175"/>
      <c r="Z146" s="300"/>
      <c r="AA146" s="175"/>
      <c r="AB146" s="175"/>
      <c r="AC146" s="175"/>
      <c r="AD146" s="175"/>
      <c r="AE146" s="175"/>
      <c r="AF146" s="175"/>
      <c r="AG146" s="175"/>
      <c r="AH146" s="175"/>
      <c r="AI146" s="175"/>
      <c r="AJ146" s="175"/>
      <c r="AK146" s="175"/>
      <c r="AL146" s="175"/>
      <c r="AM146" s="175"/>
      <c r="AN146" s="288"/>
      <c r="AO146" s="288"/>
    </row>
    <row r="147" spans="1:41" s="457" customFormat="1" ht="33.75" customHeight="1" thickTop="1" thickBot="1">
      <c r="A147" s="483" t="s">
        <v>662</v>
      </c>
      <c r="B147" s="484"/>
      <c r="C147" s="484"/>
      <c r="D147" s="484"/>
      <c r="E147" s="485"/>
      <c r="F147" s="485"/>
      <c r="G147" s="301"/>
      <c r="H147" s="485"/>
      <c r="I147" s="485"/>
      <c r="J147" s="485"/>
      <c r="K147" s="485"/>
      <c r="L147" s="485"/>
      <c r="M147" s="485"/>
      <c r="N147" s="485"/>
      <c r="O147" s="485"/>
      <c r="P147" s="485"/>
      <c r="Q147" s="485"/>
      <c r="R147" s="485"/>
      <c r="S147" s="485"/>
      <c r="T147" s="485"/>
      <c r="U147" s="485"/>
      <c r="V147" s="485"/>
      <c r="W147" s="485"/>
      <c r="X147" s="485"/>
      <c r="Y147" s="485"/>
      <c r="Z147" s="300"/>
      <c r="AA147" s="175"/>
      <c r="AB147" s="175"/>
      <c r="AC147" s="175"/>
      <c r="AD147" s="175"/>
      <c r="AE147" s="175"/>
      <c r="AF147" s="175"/>
      <c r="AG147" s="175"/>
      <c r="AH147" s="175"/>
      <c r="AI147" s="175"/>
      <c r="AJ147" s="1011" t="s">
        <v>663</v>
      </c>
      <c r="AK147" s="1011"/>
      <c r="AL147" s="1011"/>
      <c r="AM147" s="1011"/>
      <c r="AN147" s="1011"/>
      <c r="AO147" s="1011"/>
    </row>
    <row r="148" spans="1:41" s="457" customFormat="1" ht="35.25" thickTop="1" thickBot="1">
      <c r="A148" s="485" t="s">
        <v>664</v>
      </c>
      <c r="B148" s="484"/>
      <c r="C148" s="484"/>
      <c r="D148" s="484"/>
      <c r="E148" s="485"/>
      <c r="F148" s="485"/>
      <c r="G148" s="301"/>
      <c r="H148" s="485"/>
      <c r="I148" s="485"/>
      <c r="J148" s="485"/>
      <c r="K148" s="485"/>
      <c r="L148" s="485"/>
      <c r="M148" s="485"/>
      <c r="N148" s="485"/>
      <c r="O148" s="485"/>
      <c r="P148" s="485"/>
      <c r="Q148" s="485"/>
      <c r="R148" s="485"/>
      <c r="S148" s="485"/>
      <c r="T148" s="485"/>
      <c r="U148" s="485"/>
      <c r="V148" s="485"/>
      <c r="W148" s="485"/>
      <c r="X148" s="485"/>
      <c r="Y148" s="485"/>
      <c r="Z148" s="300"/>
      <c r="AA148" s="175"/>
      <c r="AB148" s="175"/>
      <c r="AC148" s="175"/>
      <c r="AD148" s="175"/>
      <c r="AE148" s="175"/>
      <c r="AF148" s="175"/>
      <c r="AG148" s="175"/>
      <c r="AH148" s="175"/>
      <c r="AI148" s="175"/>
      <c r="AJ148" s="1012" t="s">
        <v>221</v>
      </c>
      <c r="AK148" s="1012"/>
      <c r="AL148" s="1012"/>
      <c r="AM148" s="302" t="s">
        <v>76</v>
      </c>
      <c r="AN148" s="302" t="s">
        <v>77</v>
      </c>
      <c r="AO148" s="486" t="s">
        <v>9</v>
      </c>
    </row>
    <row r="149" spans="1:41" s="457" customFormat="1" ht="40.5" customHeight="1" thickTop="1" thickBot="1">
      <c r="A149" s="485" t="s">
        <v>665</v>
      </c>
      <c r="B149" s="484"/>
      <c r="C149" s="484"/>
      <c r="D149" s="484"/>
      <c r="E149" s="485"/>
      <c r="F149" s="485"/>
      <c r="G149" s="301"/>
      <c r="H149" s="485"/>
      <c r="I149" s="485"/>
      <c r="J149" s="485"/>
      <c r="K149" s="485"/>
      <c r="L149" s="485"/>
      <c r="M149" s="485"/>
      <c r="N149" s="485"/>
      <c r="O149" s="485"/>
      <c r="P149" s="485"/>
      <c r="Q149" s="485"/>
      <c r="R149" s="485"/>
      <c r="S149" s="485"/>
      <c r="T149" s="485"/>
      <c r="U149" s="485"/>
      <c r="V149" s="485"/>
      <c r="W149" s="485"/>
      <c r="X149" s="485"/>
      <c r="Y149" s="485"/>
      <c r="Z149" s="300"/>
      <c r="AA149" s="175"/>
      <c r="AB149" s="175"/>
      <c r="AC149" s="175"/>
      <c r="AD149" s="175"/>
      <c r="AE149" s="175"/>
      <c r="AF149" s="175"/>
      <c r="AG149" s="175"/>
      <c r="AH149" s="175"/>
      <c r="AI149" s="175"/>
      <c r="AJ149" s="1006" t="s">
        <v>666</v>
      </c>
      <c r="AK149" s="1006"/>
      <c r="AL149" s="1006"/>
      <c r="AM149" s="487">
        <f>+AL109</f>
        <v>252800879</v>
      </c>
      <c r="AN149" s="487">
        <f>+AN109</f>
        <v>283910555.99999994</v>
      </c>
      <c r="AO149" s="303" t="s">
        <v>13</v>
      </c>
    </row>
    <row r="150" spans="1:41" s="457" customFormat="1" ht="30" customHeight="1" thickTop="1" thickBot="1">
      <c r="A150" s="485" t="s">
        <v>667</v>
      </c>
      <c r="B150" s="484"/>
      <c r="C150" s="484"/>
      <c r="D150" s="484"/>
      <c r="E150" s="485"/>
      <c r="F150" s="485"/>
      <c r="G150" s="301"/>
      <c r="H150" s="485"/>
      <c r="I150" s="485"/>
      <c r="J150" s="485"/>
      <c r="K150" s="485"/>
      <c r="L150" s="485"/>
      <c r="M150" s="485"/>
      <c r="N150" s="485"/>
      <c r="O150" s="485"/>
      <c r="P150" s="485"/>
      <c r="Q150" s="485"/>
      <c r="R150" s="485"/>
      <c r="S150" s="485"/>
      <c r="T150" s="485"/>
      <c r="U150" s="485"/>
      <c r="V150" s="485"/>
      <c r="W150" s="485"/>
      <c r="X150" s="485"/>
      <c r="Y150" s="485"/>
      <c r="Z150" s="300"/>
      <c r="AA150" s="175"/>
      <c r="AB150" s="175"/>
      <c r="AC150" s="175"/>
      <c r="AD150" s="175"/>
      <c r="AE150" s="175"/>
      <c r="AF150" s="175"/>
      <c r="AG150" s="175"/>
      <c r="AH150" s="175"/>
      <c r="AI150" s="175"/>
      <c r="AJ150" s="1006" t="s">
        <v>15</v>
      </c>
      <c r="AK150" s="1006"/>
      <c r="AL150" s="1006"/>
      <c r="AM150" s="487">
        <f>+AJ119</f>
        <v>0</v>
      </c>
      <c r="AN150" s="487">
        <f>+AN119</f>
        <v>0</v>
      </c>
      <c r="AO150" s="303" t="s">
        <v>16</v>
      </c>
    </row>
    <row r="151" spans="1:41" s="457" customFormat="1" ht="42" customHeight="1" thickTop="1" thickBot="1">
      <c r="A151" s="1013" t="s">
        <v>668</v>
      </c>
      <c r="B151" s="1013"/>
      <c r="C151" s="1013"/>
      <c r="D151" s="1013"/>
      <c r="E151" s="1013"/>
      <c r="F151" s="1013"/>
      <c r="G151" s="1013"/>
      <c r="H151" s="1013"/>
      <c r="I151" s="1013"/>
      <c r="J151" s="1013"/>
      <c r="K151" s="1013"/>
      <c r="L151" s="1013"/>
      <c r="M151" s="1013"/>
      <c r="N151" s="1013"/>
      <c r="O151" s="1013"/>
      <c r="P151" s="1013"/>
      <c r="Q151" s="1013"/>
      <c r="R151" s="1013"/>
      <c r="S151" s="1013"/>
      <c r="T151" s="1013"/>
      <c r="U151" s="1013"/>
      <c r="V151" s="1013"/>
      <c r="W151" s="1013"/>
      <c r="X151" s="1013"/>
      <c r="Y151" s="1013"/>
      <c r="Z151" s="1013"/>
      <c r="AA151" s="1013"/>
      <c r="AB151" s="1013"/>
      <c r="AC151" s="1013"/>
      <c r="AD151" s="1013"/>
      <c r="AE151" s="1013"/>
      <c r="AF151" s="1013"/>
      <c r="AG151" s="1013"/>
      <c r="AH151" s="1013"/>
      <c r="AI151" s="175"/>
      <c r="AJ151" s="1006" t="s">
        <v>18</v>
      </c>
      <c r="AK151" s="1006"/>
      <c r="AL151" s="1006"/>
      <c r="AM151" s="487">
        <f>+AJ120</f>
        <v>0</v>
      </c>
      <c r="AN151" s="487">
        <f>+AN120</f>
        <v>0</v>
      </c>
      <c r="AO151" s="303" t="s">
        <v>16</v>
      </c>
    </row>
    <row r="152" spans="1:41" s="457" customFormat="1" ht="33.75" customHeight="1" thickTop="1" thickBot="1">
      <c r="A152" s="485" t="s">
        <v>669</v>
      </c>
      <c r="B152" s="484"/>
      <c r="C152" s="484"/>
      <c r="D152" s="484"/>
      <c r="E152" s="485"/>
      <c r="F152" s="485"/>
      <c r="G152" s="301"/>
      <c r="H152" s="485"/>
      <c r="I152" s="485"/>
      <c r="J152" s="485"/>
      <c r="K152" s="485"/>
      <c r="L152" s="485"/>
      <c r="M152" s="485"/>
      <c r="N152" s="485"/>
      <c r="O152" s="485"/>
      <c r="P152" s="485"/>
      <c r="Q152" s="485"/>
      <c r="R152" s="485"/>
      <c r="S152" s="485"/>
      <c r="T152" s="485"/>
      <c r="U152" s="485"/>
      <c r="V152" s="485"/>
      <c r="W152" s="485"/>
      <c r="X152" s="175"/>
      <c r="Y152" s="175"/>
      <c r="Z152" s="300"/>
      <c r="AA152" s="175"/>
      <c r="AB152" s="175"/>
      <c r="AC152" s="175"/>
      <c r="AD152" s="175"/>
      <c r="AE152" s="175"/>
      <c r="AF152" s="175"/>
      <c r="AG152" s="175"/>
      <c r="AH152" s="175"/>
      <c r="AI152" s="175"/>
      <c r="AJ152" s="1006" t="s">
        <v>20</v>
      </c>
      <c r="AK152" s="1006"/>
      <c r="AL152" s="1006"/>
      <c r="AM152" s="487">
        <f>+AJ121+AJ124+AJ127+AJ123</f>
        <v>0</v>
      </c>
      <c r="AN152" s="487">
        <f>+AN121+AN124+AN127+AN123</f>
        <v>0</v>
      </c>
      <c r="AO152" s="303" t="s">
        <v>21</v>
      </c>
    </row>
    <row r="153" spans="1:41" s="457" customFormat="1" ht="32.25" customHeight="1" thickTop="1" thickBot="1">
      <c r="A153" s="304" t="s">
        <v>670</v>
      </c>
      <c r="B153" s="175"/>
      <c r="C153" s="175"/>
      <c r="D153" s="175"/>
      <c r="E153" s="175"/>
      <c r="F153" s="284"/>
      <c r="G153" s="285"/>
      <c r="H153" s="284"/>
      <c r="I153" s="284"/>
      <c r="J153" s="284"/>
      <c r="K153" s="284"/>
      <c r="L153" s="284"/>
      <c r="M153" s="284"/>
      <c r="N153" s="284"/>
      <c r="O153" s="284"/>
      <c r="P153" s="284"/>
      <c r="Q153" s="284"/>
      <c r="R153" s="284"/>
      <c r="S153" s="284"/>
      <c r="T153" s="284"/>
      <c r="U153" s="284"/>
      <c r="V153" s="284"/>
      <c r="W153" s="284"/>
      <c r="X153" s="485"/>
      <c r="Y153" s="485"/>
      <c r="Z153" s="300"/>
      <c r="AA153" s="175"/>
      <c r="AB153" s="175"/>
      <c r="AC153" s="175"/>
      <c r="AD153" s="175"/>
      <c r="AE153" s="175"/>
      <c r="AF153" s="175"/>
      <c r="AG153" s="175"/>
      <c r="AH153" s="175"/>
      <c r="AI153" s="175"/>
      <c r="AJ153" s="1006" t="s">
        <v>23</v>
      </c>
      <c r="AK153" s="1006"/>
      <c r="AL153" s="1006"/>
      <c r="AM153" s="487">
        <f>+AJ136</f>
        <v>7371163</v>
      </c>
      <c r="AN153" s="487">
        <f>+AN136</f>
        <v>8759048.6899999995</v>
      </c>
      <c r="AO153" s="303" t="s">
        <v>13</v>
      </c>
    </row>
    <row r="154" spans="1:41" s="457" customFormat="1" ht="27" customHeight="1" thickTop="1" thickBot="1">
      <c r="A154" s="488" t="s">
        <v>671</v>
      </c>
      <c r="B154" s="484"/>
      <c r="C154" s="484"/>
      <c r="D154" s="484"/>
      <c r="E154" s="485"/>
      <c r="F154" s="485"/>
      <c r="G154" s="301"/>
      <c r="H154" s="485"/>
      <c r="I154" s="485"/>
      <c r="J154" s="485"/>
      <c r="K154" s="485"/>
      <c r="L154" s="485"/>
      <c r="M154" s="485"/>
      <c r="N154" s="485"/>
      <c r="O154" s="485"/>
      <c r="P154" s="485"/>
      <c r="Q154" s="485"/>
      <c r="R154" s="485"/>
      <c r="S154" s="485"/>
      <c r="T154" s="485"/>
      <c r="U154" s="485"/>
      <c r="V154" s="485"/>
      <c r="W154" s="485"/>
      <c r="X154" s="485"/>
      <c r="Y154" s="485"/>
      <c r="Z154" s="300"/>
      <c r="AA154" s="175"/>
      <c r="AB154" s="175"/>
      <c r="AC154" s="175"/>
      <c r="AD154" s="175"/>
      <c r="AE154" s="175"/>
      <c r="AF154" s="175"/>
      <c r="AG154" s="175"/>
      <c r="AH154" s="175"/>
      <c r="AI154" s="175"/>
      <c r="AJ154" s="1007" t="s">
        <v>84</v>
      </c>
      <c r="AK154" s="1008"/>
      <c r="AL154" s="1009"/>
      <c r="AM154" s="305">
        <f>SUM(AM149:AM153)</f>
        <v>260172042</v>
      </c>
      <c r="AN154" s="305">
        <f>SUM(AN149:AN153)</f>
        <v>292669604.68999994</v>
      </c>
      <c r="AO154" s="305"/>
    </row>
    <row r="155" spans="1:41" s="457" customFormat="1" ht="27" customHeight="1" thickTop="1">
      <c r="A155" s="483" t="s">
        <v>335</v>
      </c>
      <c r="B155" s="483"/>
      <c r="C155" s="483"/>
      <c r="D155" s="483"/>
      <c r="E155" s="489"/>
      <c r="F155" s="284"/>
      <c r="G155" s="285"/>
      <c r="H155" s="284"/>
      <c r="I155" s="284"/>
      <c r="J155" s="284"/>
      <c r="K155" s="284"/>
      <c r="L155" s="284"/>
      <c r="M155" s="284"/>
      <c r="N155" s="284"/>
      <c r="O155" s="284"/>
      <c r="P155" s="284"/>
      <c r="Q155" s="284"/>
      <c r="R155" s="284"/>
      <c r="S155" s="284"/>
      <c r="T155" s="284"/>
      <c r="U155" s="284"/>
      <c r="V155" s="284"/>
      <c r="W155" s="284"/>
      <c r="X155" s="175"/>
      <c r="Y155" s="175"/>
      <c r="Z155" s="300"/>
      <c r="AA155" s="175"/>
      <c r="AB155" s="175"/>
      <c r="AC155" s="175"/>
      <c r="AD155" s="175"/>
      <c r="AE155" s="175"/>
      <c r="AF155" s="175"/>
      <c r="AG155" s="175"/>
      <c r="AH155" s="175"/>
      <c r="AI155" s="175"/>
      <c r="AJ155" s="288"/>
      <c r="AK155" s="288"/>
      <c r="AL155" s="288"/>
      <c r="AM155" s="288"/>
      <c r="AN155" s="288"/>
      <c r="AO155" s="288"/>
    </row>
    <row r="156" spans="1:41" s="457" customFormat="1" ht="27" customHeight="1">
      <c r="A156" s="490" t="s">
        <v>672</v>
      </c>
      <c r="B156" s="484"/>
      <c r="C156" s="484"/>
      <c r="D156" s="484"/>
      <c r="E156" s="485"/>
      <c r="F156" s="485"/>
      <c r="G156" s="301"/>
      <c r="H156" s="485"/>
      <c r="I156" s="485"/>
      <c r="J156" s="485"/>
      <c r="K156" s="485"/>
      <c r="L156" s="485"/>
      <c r="M156" s="485"/>
      <c r="N156" s="485"/>
      <c r="O156" s="485"/>
      <c r="P156" s="485"/>
      <c r="Q156" s="485"/>
      <c r="R156" s="485"/>
      <c r="S156" s="485"/>
      <c r="T156" s="485"/>
      <c r="U156" s="485"/>
      <c r="V156" s="485"/>
      <c r="W156" s="485"/>
      <c r="X156" s="485"/>
      <c r="Y156" s="485"/>
      <c r="Z156" s="300"/>
      <c r="AA156" s="175"/>
      <c r="AB156" s="175"/>
      <c r="AC156" s="175"/>
      <c r="AD156" s="175"/>
      <c r="AE156" s="175"/>
      <c r="AF156" s="175"/>
      <c r="AG156" s="175"/>
      <c r="AH156" s="175"/>
      <c r="AI156" s="175"/>
      <c r="AJ156" s="288"/>
      <c r="AK156" s="288"/>
      <c r="AL156" s="288"/>
      <c r="AO156" s="175"/>
    </row>
    <row r="157" spans="1:41" s="457" customFormat="1" ht="27" customHeight="1">
      <c r="A157" s="488" t="s">
        <v>673</v>
      </c>
      <c r="B157" s="484"/>
      <c r="C157" s="484"/>
      <c r="D157" s="484"/>
      <c r="E157" s="485"/>
      <c r="F157" s="485"/>
      <c r="G157" s="301"/>
      <c r="H157" s="485"/>
      <c r="I157" s="485"/>
      <c r="J157" s="485"/>
      <c r="K157" s="485"/>
      <c r="L157" s="485"/>
      <c r="M157" s="485"/>
      <c r="N157" s="485"/>
      <c r="O157" s="485"/>
      <c r="P157" s="485"/>
      <c r="Q157" s="485"/>
      <c r="R157" s="485"/>
      <c r="S157" s="485"/>
      <c r="T157" s="485"/>
      <c r="U157" s="485"/>
      <c r="V157" s="485"/>
      <c r="W157" s="485"/>
      <c r="X157" s="485"/>
      <c r="Y157" s="485"/>
      <c r="Z157" s="300"/>
      <c r="AA157" s="175"/>
      <c r="AB157" s="175"/>
      <c r="AC157" s="175"/>
      <c r="AD157" s="175"/>
      <c r="AE157" s="175"/>
      <c r="AF157" s="175"/>
      <c r="AG157" s="175"/>
      <c r="AH157" s="175"/>
      <c r="AI157" s="175"/>
      <c r="AJ157" s="288"/>
      <c r="AK157" s="288"/>
      <c r="AL157" s="288"/>
      <c r="AM157" s="306"/>
      <c r="AN157" s="306"/>
      <c r="AO157" s="175"/>
    </row>
    <row r="158" spans="1:41" s="457" customFormat="1" ht="20.25" customHeight="1">
      <c r="A158" s="485" t="s">
        <v>674</v>
      </c>
      <c r="B158" s="484"/>
      <c r="C158" s="484"/>
      <c r="D158" s="484"/>
      <c r="E158" s="485"/>
      <c r="F158" s="485"/>
      <c r="G158" s="301"/>
      <c r="H158" s="485"/>
      <c r="I158" s="485"/>
      <c r="J158" s="485"/>
      <c r="K158" s="485"/>
      <c r="L158" s="485"/>
      <c r="M158" s="485"/>
      <c r="N158" s="485"/>
      <c r="O158" s="485"/>
      <c r="P158" s="485"/>
      <c r="Q158" s="485"/>
      <c r="R158" s="485"/>
      <c r="S158" s="485"/>
      <c r="T158" s="485"/>
      <c r="U158" s="485"/>
      <c r="V158" s="485"/>
      <c r="W158" s="485"/>
      <c r="X158" s="485"/>
      <c r="Y158" s="485"/>
      <c r="Z158" s="300"/>
      <c r="AA158" s="175"/>
      <c r="AB158" s="175"/>
      <c r="AC158" s="175"/>
      <c r="AD158" s="175"/>
      <c r="AE158" s="175"/>
      <c r="AF158" s="175"/>
      <c r="AG158" s="175"/>
      <c r="AH158" s="175"/>
      <c r="AI158" s="175"/>
      <c r="AJ158" s="288"/>
      <c r="AK158" s="288"/>
      <c r="AL158" s="288"/>
      <c r="AM158" s="288"/>
      <c r="AN158" s="288"/>
      <c r="AO158" s="288"/>
    </row>
    <row r="159" spans="1:41" s="457" customFormat="1" ht="24" customHeight="1">
      <c r="A159" s="485" t="s">
        <v>675</v>
      </c>
      <c r="B159" s="484"/>
      <c r="C159" s="484"/>
      <c r="D159" s="484"/>
      <c r="E159" s="485"/>
      <c r="F159" s="485"/>
      <c r="G159" s="301"/>
      <c r="H159" s="485"/>
      <c r="I159" s="485"/>
      <c r="J159" s="485"/>
      <c r="K159" s="485"/>
      <c r="L159" s="485"/>
      <c r="M159" s="485"/>
      <c r="N159" s="485"/>
      <c r="O159" s="485"/>
      <c r="P159" s="485"/>
      <c r="Q159" s="485"/>
      <c r="R159" s="485"/>
      <c r="S159" s="485"/>
      <c r="T159" s="485"/>
      <c r="U159" s="485"/>
      <c r="V159" s="485"/>
      <c r="W159" s="485"/>
      <c r="X159" s="485"/>
      <c r="Y159" s="485"/>
      <c r="Z159" s="300"/>
      <c r="AA159" s="175"/>
      <c r="AB159" s="175"/>
      <c r="AC159" s="175"/>
      <c r="AD159" s="175"/>
      <c r="AE159" s="175"/>
      <c r="AF159" s="175"/>
      <c r="AG159" s="175"/>
      <c r="AH159" s="175"/>
      <c r="AI159" s="175"/>
      <c r="AJ159" s="288"/>
      <c r="AK159" s="288"/>
      <c r="AL159" s="288"/>
      <c r="AM159" s="288"/>
      <c r="AN159" s="288"/>
      <c r="AO159" s="288"/>
    </row>
    <row r="160" spans="1:41" s="457" customFormat="1" ht="12.75" customHeight="1">
      <c r="A160" s="485" t="s">
        <v>104</v>
      </c>
      <c r="B160" s="484"/>
      <c r="C160" s="484"/>
      <c r="D160" s="484"/>
      <c r="E160" s="485"/>
      <c r="F160" s="485"/>
      <c r="G160" s="301"/>
      <c r="H160" s="485"/>
      <c r="I160" s="485"/>
      <c r="J160" s="485"/>
      <c r="K160" s="485"/>
      <c r="L160" s="485"/>
      <c r="M160" s="485"/>
      <c r="N160" s="485"/>
      <c r="O160" s="485"/>
      <c r="P160" s="485"/>
      <c r="Q160" s="485"/>
      <c r="R160" s="485"/>
      <c r="S160" s="485"/>
      <c r="T160" s="485"/>
      <c r="U160" s="485"/>
      <c r="V160" s="485"/>
      <c r="W160" s="485"/>
      <c r="X160" s="485"/>
      <c r="Y160" s="485"/>
      <c r="Z160" s="300"/>
      <c r="AA160" s="175"/>
      <c r="AB160" s="175"/>
      <c r="AC160" s="175"/>
      <c r="AD160" s="175"/>
      <c r="AE160" s="175"/>
      <c r="AF160" s="175"/>
      <c r="AG160" s="175"/>
      <c r="AH160" s="175"/>
      <c r="AI160" s="175"/>
      <c r="AJ160" s="288"/>
      <c r="AK160" s="288"/>
      <c r="AL160" s="288"/>
      <c r="AM160" s="288"/>
      <c r="AN160" s="288"/>
      <c r="AO160" s="288"/>
    </row>
    <row r="163" spans="1:1" s="457" customFormat="1">
      <c r="A163" s="488" t="s">
        <v>676</v>
      </c>
    </row>
    <row r="164" spans="1:1" s="457" customFormat="1">
      <c r="A164" s="485" t="s">
        <v>677</v>
      </c>
    </row>
    <row r="165" spans="1:1" s="457" customFormat="1">
      <c r="A165" s="485" t="s">
        <v>678</v>
      </c>
    </row>
    <row r="166" spans="1:1" s="457" customFormat="1">
      <c r="A166" s="485"/>
    </row>
    <row r="167" spans="1:1" s="457" customFormat="1">
      <c r="A167" s="491"/>
    </row>
    <row r="168" spans="1:1" s="457" customFormat="1">
      <c r="A168" s="485"/>
    </row>
    <row r="169" spans="1:1" s="457" customFormat="1">
      <c r="A169" s="492" t="s">
        <v>679</v>
      </c>
    </row>
    <row r="170" spans="1:1" s="457" customFormat="1">
      <c r="A170" s="485"/>
    </row>
    <row r="171" spans="1:1" s="457" customFormat="1">
      <c r="A171" s="457" t="s">
        <v>680</v>
      </c>
    </row>
    <row r="172" spans="1:1" s="457" customFormat="1">
      <c r="A172" s="457" t="s">
        <v>681</v>
      </c>
    </row>
    <row r="173" spans="1:1" s="457" customFormat="1">
      <c r="A173" s="457" t="s">
        <v>682</v>
      </c>
    </row>
    <row r="174" spans="1:1" s="457" customFormat="1">
      <c r="A174" s="175" t="s">
        <v>683</v>
      </c>
    </row>
    <row r="175" spans="1:1" s="457" customFormat="1">
      <c r="A175" s="457" t="s">
        <v>684</v>
      </c>
    </row>
  </sheetData>
  <autoFilter ref="A7:AX109" xr:uid="{00000000-0009-0000-0000-000001000000}"/>
  <mergeCells count="72">
    <mergeCell ref="A1:AO1"/>
    <mergeCell ref="A2:AO2"/>
    <mergeCell ref="A3:AO3"/>
    <mergeCell ref="B5:AO5"/>
    <mergeCell ref="A7:A8"/>
    <mergeCell ref="B7:B8"/>
    <mergeCell ref="C7:C8"/>
    <mergeCell ref="D7:D8"/>
    <mergeCell ref="E7:E8"/>
    <mergeCell ref="F7:F8"/>
    <mergeCell ref="S7:S8"/>
    <mergeCell ref="H7:H8"/>
    <mergeCell ref="I7:I8"/>
    <mergeCell ref="J7:J8"/>
    <mergeCell ref="K7:K8"/>
    <mergeCell ref="L7:L8"/>
    <mergeCell ref="AN7:AN8"/>
    <mergeCell ref="AO7:AO8"/>
    <mergeCell ref="B114:AO114"/>
    <mergeCell ref="A116:A117"/>
    <mergeCell ref="B116:V117"/>
    <mergeCell ref="Z116:Z117"/>
    <mergeCell ref="AA116:AA117"/>
    <mergeCell ref="AB116:AB117"/>
    <mergeCell ref="AC116:AC117"/>
    <mergeCell ref="AD116:AD117"/>
    <mergeCell ref="T7:T8"/>
    <mergeCell ref="X7:X8"/>
    <mergeCell ref="AE7:AE8"/>
    <mergeCell ref="AF7:AF8"/>
    <mergeCell ref="AJ7:AJ8"/>
    <mergeCell ref="M7:M8"/>
    <mergeCell ref="AL7:AL8"/>
    <mergeCell ref="B126:V126"/>
    <mergeCell ref="AE116:AE117"/>
    <mergeCell ref="AF116:AF117"/>
    <mergeCell ref="AG116:AG117"/>
    <mergeCell ref="B123:V123"/>
    <mergeCell ref="B124:V124"/>
    <mergeCell ref="B125:V125"/>
    <mergeCell ref="R7:R8"/>
    <mergeCell ref="N7:N8"/>
    <mergeCell ref="O7:O8"/>
    <mergeCell ref="P7:P8"/>
    <mergeCell ref="Q7:Q8"/>
    <mergeCell ref="AO116:AO117"/>
    <mergeCell ref="B119:V119"/>
    <mergeCell ref="B120:V120"/>
    <mergeCell ref="B121:V121"/>
    <mergeCell ref="B122:V122"/>
    <mergeCell ref="A142:AG142"/>
    <mergeCell ref="B127:V127"/>
    <mergeCell ref="B128:X128"/>
    <mergeCell ref="B130:V130"/>
    <mergeCell ref="B131:V131"/>
    <mergeCell ref="B132:V132"/>
    <mergeCell ref="B133:V133"/>
    <mergeCell ref="B134:V134"/>
    <mergeCell ref="B135:V135"/>
    <mergeCell ref="B136:X136"/>
    <mergeCell ref="B137:X137"/>
    <mergeCell ref="B140:X140"/>
    <mergeCell ref="AJ152:AL152"/>
    <mergeCell ref="AJ153:AL153"/>
    <mergeCell ref="AJ154:AL154"/>
    <mergeCell ref="A145:F145"/>
    <mergeCell ref="AJ147:AO147"/>
    <mergeCell ref="AJ148:AL148"/>
    <mergeCell ref="AJ149:AL149"/>
    <mergeCell ref="AJ150:AL150"/>
    <mergeCell ref="A151:AH151"/>
    <mergeCell ref="AJ151:AL151"/>
  </mergeCells>
  <pageMargins left="0.35433070866141703" right="0" top="0.196850393700787" bottom="0.196850393700787" header="0" footer="0"/>
  <pageSetup scale="80" fitToHeight="0"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DEE8A-5A2A-4D99-B869-8756DC75F258}">
  <dimension ref="A1:ER14"/>
  <sheetViews>
    <sheetView workbookViewId="0">
      <selection sqref="A1:N3"/>
    </sheetView>
  </sheetViews>
  <sheetFormatPr baseColWidth="10" defaultColWidth="40.42578125" defaultRowHeight="14.25"/>
  <cols>
    <col min="1" max="1" width="6.28515625" style="152" customWidth="1"/>
    <col min="2" max="2" width="16.140625" style="152" customWidth="1"/>
    <col min="3" max="3" width="15" style="152" bestFit="1" customWidth="1"/>
    <col min="4" max="4" width="34.28515625" style="152" customWidth="1"/>
    <col min="5" max="5" width="16.7109375" style="152" customWidth="1"/>
    <col min="6" max="6" width="32.7109375" style="162" customWidth="1"/>
    <col min="7" max="7" width="17.42578125" style="167" customWidth="1"/>
    <col min="8" max="8" width="16.85546875" style="167" hidden="1" customWidth="1"/>
    <col min="9" max="9" width="16.85546875" style="167" customWidth="1"/>
    <col min="10" max="10" width="17.7109375" style="167" customWidth="1"/>
    <col min="11" max="11" width="15.28515625" style="164" customWidth="1"/>
    <col min="12" max="12" width="13.42578125" style="164" customWidth="1"/>
    <col min="13" max="13" width="20" style="164" hidden="1" customWidth="1"/>
    <col min="14" max="14" width="17.42578125" style="168" customWidth="1"/>
    <col min="15" max="15" width="17.28515625" style="164" customWidth="1"/>
    <col min="16" max="16" width="17.140625" style="164" customWidth="1"/>
    <col min="17" max="17" width="1.140625" style="164" hidden="1" customWidth="1"/>
    <col min="18" max="18" width="14.7109375" style="164" customWidth="1"/>
    <col min="19" max="19" width="14.42578125" style="169" customWidth="1"/>
    <col min="20" max="20" width="15.42578125" style="142" hidden="1" customWidth="1"/>
    <col min="21" max="21" width="15.42578125" style="143" hidden="1" customWidth="1"/>
    <col min="22" max="148" width="40.42578125" style="142"/>
    <col min="149" max="16384" width="40.42578125" style="163"/>
  </cols>
  <sheetData>
    <row r="1" spans="1:30" ht="18" customHeight="1">
      <c r="A1" s="1070" t="s">
        <v>685</v>
      </c>
      <c r="B1" s="1070"/>
      <c r="C1" s="1070"/>
      <c r="D1" s="1070"/>
      <c r="E1" s="1070"/>
      <c r="F1" s="1070"/>
      <c r="G1" s="1070"/>
      <c r="H1" s="1070"/>
      <c r="I1" s="1070"/>
      <c r="J1" s="1070"/>
      <c r="K1" s="1070"/>
      <c r="L1" s="1070"/>
      <c r="M1" s="1070"/>
      <c r="N1" s="1071"/>
      <c r="O1" s="545" t="s">
        <v>25</v>
      </c>
      <c r="P1" s="545" t="s">
        <v>26</v>
      </c>
      <c r="Q1" s="545"/>
      <c r="R1" s="546" t="s">
        <v>25</v>
      </c>
      <c r="S1" s="547" t="s">
        <v>27</v>
      </c>
      <c r="T1" s="1074"/>
    </row>
    <row r="2" spans="1:30" ht="15" customHeight="1">
      <c r="A2" s="1070"/>
      <c r="B2" s="1070"/>
      <c r="C2" s="1070"/>
      <c r="D2" s="1070"/>
      <c r="E2" s="1070"/>
      <c r="F2" s="1070"/>
      <c r="G2" s="1070"/>
      <c r="H2" s="1070"/>
      <c r="I2" s="1070"/>
      <c r="J2" s="1070"/>
      <c r="K2" s="1070"/>
      <c r="L2" s="1070"/>
      <c r="M2" s="1070"/>
      <c r="N2" s="1071"/>
      <c r="O2" s="545" t="s">
        <v>28</v>
      </c>
      <c r="P2" s="548">
        <f>+O12+P12</f>
        <v>1546205.5917</v>
      </c>
      <c r="Q2" s="549"/>
      <c r="R2" s="546" t="s">
        <v>28</v>
      </c>
      <c r="S2" s="550">
        <f>+R13</f>
        <v>1120000</v>
      </c>
      <c r="T2" s="1074"/>
    </row>
    <row r="3" spans="1:30" ht="21.2" customHeight="1">
      <c r="A3" s="1072"/>
      <c r="B3" s="1072"/>
      <c r="C3" s="1072"/>
      <c r="D3" s="1072"/>
      <c r="E3" s="1072"/>
      <c r="F3" s="1072"/>
      <c r="G3" s="1072"/>
      <c r="H3" s="1072"/>
      <c r="I3" s="1072"/>
      <c r="J3" s="1072"/>
      <c r="K3" s="1072"/>
      <c r="L3" s="1072"/>
      <c r="M3" s="1072"/>
      <c r="N3" s="1073"/>
      <c r="O3" s="144"/>
      <c r="P3" s="145"/>
      <c r="Q3" s="145"/>
      <c r="R3" s="146"/>
      <c r="S3" s="147"/>
      <c r="T3" s="1074"/>
    </row>
    <row r="4" spans="1:30" ht="39.200000000000003" customHeight="1">
      <c r="A4" s="1075" t="s">
        <v>29</v>
      </c>
      <c r="B4" s="1075" t="s">
        <v>30</v>
      </c>
      <c r="C4" s="1075" t="s">
        <v>31</v>
      </c>
      <c r="D4" s="1075" t="s">
        <v>32</v>
      </c>
      <c r="E4" s="1075" t="s">
        <v>33</v>
      </c>
      <c r="F4" s="1075" t="s">
        <v>34</v>
      </c>
      <c r="G4" s="1066" t="s">
        <v>686</v>
      </c>
      <c r="H4" s="1069" t="s">
        <v>687</v>
      </c>
      <c r="I4" s="1066" t="s">
        <v>688</v>
      </c>
      <c r="J4" s="1069" t="s">
        <v>35</v>
      </c>
      <c r="K4" s="1066" t="s">
        <v>36</v>
      </c>
      <c r="L4" s="1066" t="s">
        <v>45</v>
      </c>
      <c r="M4" s="551"/>
      <c r="N4" s="1078" t="s">
        <v>38</v>
      </c>
      <c r="O4" s="1065" t="s">
        <v>39</v>
      </c>
      <c r="P4" s="1065" t="s">
        <v>40</v>
      </c>
      <c r="Q4" s="1065" t="s">
        <v>41</v>
      </c>
      <c r="R4" s="1066" t="s">
        <v>42</v>
      </c>
      <c r="S4" s="1067" t="s">
        <v>43</v>
      </c>
      <c r="T4" s="1076" t="s">
        <v>44</v>
      </c>
      <c r="U4" s="553" t="s">
        <v>45</v>
      </c>
    </row>
    <row r="5" spans="1:30" ht="39.200000000000003" customHeight="1">
      <c r="A5" s="1075"/>
      <c r="B5" s="1075" t="s">
        <v>689</v>
      </c>
      <c r="C5" s="1075"/>
      <c r="D5" s="1075"/>
      <c r="E5" s="1075"/>
      <c r="F5" s="1075"/>
      <c r="G5" s="1066"/>
      <c r="H5" s="1069"/>
      <c r="I5" s="1066"/>
      <c r="J5" s="1069"/>
      <c r="K5" s="1066"/>
      <c r="L5" s="1066"/>
      <c r="M5" s="551" t="s">
        <v>690</v>
      </c>
      <c r="N5" s="1078"/>
      <c r="O5" s="1065"/>
      <c r="P5" s="1065"/>
      <c r="Q5" s="1065"/>
      <c r="R5" s="1066"/>
      <c r="S5" s="1067"/>
      <c r="T5" s="1077"/>
      <c r="U5" s="552" t="s">
        <v>46</v>
      </c>
      <c r="AD5" s="142" t="s">
        <v>47</v>
      </c>
    </row>
    <row r="6" spans="1:30" ht="39.200000000000003" customHeight="1">
      <c r="A6" s="554">
        <v>1</v>
      </c>
      <c r="B6" s="554" t="s">
        <v>691</v>
      </c>
      <c r="C6" s="555">
        <v>45769</v>
      </c>
      <c r="D6" s="556" t="s">
        <v>692</v>
      </c>
      <c r="E6" s="554" t="s">
        <v>693</v>
      </c>
      <c r="F6" s="554" t="s">
        <v>694</v>
      </c>
      <c r="G6" s="557">
        <v>35200</v>
      </c>
      <c r="H6" s="557"/>
      <c r="I6" s="557"/>
      <c r="J6" s="558">
        <f>+G6-H6</f>
        <v>35200</v>
      </c>
      <c r="K6" s="559">
        <f>+J6*19%</f>
        <v>6688</v>
      </c>
      <c r="L6" s="560"/>
      <c r="M6" s="560"/>
      <c r="N6" s="561">
        <f t="shared" ref="N6:N11" si="0">+J6+K6</f>
        <v>41888</v>
      </c>
      <c r="O6" s="561">
        <f t="shared" ref="O6:P10" si="1">+J6</f>
        <v>35200</v>
      </c>
      <c r="P6" s="561">
        <f t="shared" si="1"/>
        <v>6688</v>
      </c>
      <c r="Q6" s="562"/>
      <c r="R6" s="563"/>
      <c r="S6" s="564"/>
      <c r="T6" s="149"/>
      <c r="U6" s="565"/>
    </row>
    <row r="7" spans="1:30" ht="39.200000000000003" customHeight="1">
      <c r="A7" s="554">
        <v>2</v>
      </c>
      <c r="B7" s="554">
        <v>1509</v>
      </c>
      <c r="C7" s="555">
        <v>45769</v>
      </c>
      <c r="D7" s="556" t="s">
        <v>695</v>
      </c>
      <c r="E7" s="554">
        <v>860001300</v>
      </c>
      <c r="F7" s="554" t="s">
        <v>694</v>
      </c>
      <c r="G7" s="557">
        <v>326640</v>
      </c>
      <c r="H7" s="557"/>
      <c r="I7" s="557"/>
      <c r="J7" s="566">
        <f>+G7-H7</f>
        <v>326640</v>
      </c>
      <c r="K7" s="567">
        <f>+J7*19%</f>
        <v>62061.599999999999</v>
      </c>
      <c r="L7" s="563"/>
      <c r="M7" s="563"/>
      <c r="N7" s="568">
        <f t="shared" si="0"/>
        <v>388701.6</v>
      </c>
      <c r="O7" s="568">
        <f t="shared" si="1"/>
        <v>326640</v>
      </c>
      <c r="P7" s="568">
        <f t="shared" si="1"/>
        <v>62061.599999999999</v>
      </c>
      <c r="Q7" s="562"/>
      <c r="R7" s="563"/>
      <c r="S7" s="564"/>
      <c r="T7" s="149"/>
      <c r="U7" s="565"/>
    </row>
    <row r="8" spans="1:30" ht="39.200000000000003" customHeight="1">
      <c r="A8" s="554">
        <v>3</v>
      </c>
      <c r="B8" s="569" t="s">
        <v>696</v>
      </c>
      <c r="C8" s="555">
        <v>45772</v>
      </c>
      <c r="D8" s="556" t="s">
        <v>697</v>
      </c>
      <c r="E8" s="554" t="s">
        <v>698</v>
      </c>
      <c r="F8" s="554" t="s">
        <v>699</v>
      </c>
      <c r="G8" s="557">
        <v>410756.3</v>
      </c>
      <c r="H8" s="557"/>
      <c r="I8" s="557">
        <v>73936.13</v>
      </c>
      <c r="J8" s="566">
        <f>+G8-I8</f>
        <v>336820.17</v>
      </c>
      <c r="K8" s="567">
        <f>+J8*19%</f>
        <v>63995.832299999995</v>
      </c>
      <c r="L8" s="563"/>
      <c r="M8" s="563"/>
      <c r="N8" s="568">
        <f t="shared" si="0"/>
        <v>400816.00229999999</v>
      </c>
      <c r="O8" s="568">
        <f t="shared" si="1"/>
        <v>336820.17</v>
      </c>
      <c r="P8" s="568">
        <f t="shared" si="1"/>
        <v>63995.832299999995</v>
      </c>
      <c r="Q8" s="570"/>
      <c r="R8" s="557"/>
      <c r="S8" s="571"/>
      <c r="T8" s="149"/>
      <c r="U8" s="565"/>
    </row>
    <row r="9" spans="1:30" ht="39.200000000000003" customHeight="1">
      <c r="A9" s="554">
        <v>4</v>
      </c>
      <c r="B9" s="309" t="s">
        <v>700</v>
      </c>
      <c r="C9" s="555">
        <v>45775</v>
      </c>
      <c r="D9" s="310" t="s">
        <v>701</v>
      </c>
      <c r="E9" s="309">
        <v>71700116</v>
      </c>
      <c r="F9" s="554" t="s">
        <v>702</v>
      </c>
      <c r="G9" s="557">
        <v>80672.259999999995</v>
      </c>
      <c r="H9" s="557"/>
      <c r="I9" s="557"/>
      <c r="J9" s="566">
        <f>+G9-H9</f>
        <v>80672.259999999995</v>
      </c>
      <c r="K9" s="567">
        <f>+J9*19%</f>
        <v>15327.729399999998</v>
      </c>
      <c r="L9" s="563"/>
      <c r="M9" s="563"/>
      <c r="N9" s="572">
        <f>+J9+K9</f>
        <v>95999.989399999991</v>
      </c>
      <c r="O9" s="568">
        <f>+J9</f>
        <v>80672.259999999995</v>
      </c>
      <c r="P9" s="568">
        <f>+K9</f>
        <v>15327.729399999998</v>
      </c>
      <c r="Q9" s="570"/>
      <c r="R9" s="557"/>
      <c r="S9" s="571"/>
      <c r="T9" s="149"/>
      <c r="U9" s="565"/>
    </row>
    <row r="10" spans="1:30" ht="46.35" customHeight="1">
      <c r="A10" s="554">
        <v>5</v>
      </c>
      <c r="B10" s="554" t="s">
        <v>703</v>
      </c>
      <c r="C10" s="555">
        <v>45777</v>
      </c>
      <c r="D10" s="573" t="s">
        <v>52</v>
      </c>
      <c r="E10" s="574" t="s">
        <v>53</v>
      </c>
      <c r="F10" s="554" t="s">
        <v>704</v>
      </c>
      <c r="G10" s="557">
        <v>520000</v>
      </c>
      <c r="H10" s="557"/>
      <c r="I10" s="557"/>
      <c r="J10" s="566">
        <f>+G10-H10</f>
        <v>520000</v>
      </c>
      <c r="K10" s="559">
        <f>+J10*19%</f>
        <v>98800</v>
      </c>
      <c r="L10" s="560"/>
      <c r="M10" s="560"/>
      <c r="N10" s="568">
        <f t="shared" si="0"/>
        <v>618800</v>
      </c>
      <c r="O10" s="568">
        <f t="shared" si="1"/>
        <v>520000</v>
      </c>
      <c r="P10" s="568">
        <f t="shared" si="1"/>
        <v>98800</v>
      </c>
      <c r="Q10" s="570"/>
      <c r="R10" s="557"/>
      <c r="S10" s="571"/>
      <c r="T10" s="149"/>
      <c r="U10" s="565"/>
    </row>
    <row r="11" spans="1:30" ht="39.200000000000003" customHeight="1">
      <c r="A11" s="554">
        <v>6</v>
      </c>
      <c r="B11" s="554" t="s">
        <v>705</v>
      </c>
      <c r="C11" s="555">
        <v>45777</v>
      </c>
      <c r="D11" s="556" t="s">
        <v>706</v>
      </c>
      <c r="E11" s="554" t="s">
        <v>707</v>
      </c>
      <c r="F11" s="554" t="s">
        <v>708</v>
      </c>
      <c r="G11" s="557">
        <f>140000*8</f>
        <v>1120000</v>
      </c>
      <c r="H11" s="557"/>
      <c r="I11" s="557"/>
      <c r="J11" s="566">
        <f>+G11-H11</f>
        <v>1120000</v>
      </c>
      <c r="K11" s="567"/>
      <c r="L11" s="563"/>
      <c r="M11" s="563"/>
      <c r="N11" s="572">
        <f t="shared" si="0"/>
        <v>1120000</v>
      </c>
      <c r="O11" s="568"/>
      <c r="P11" s="568"/>
      <c r="Q11" s="570"/>
      <c r="R11" s="557">
        <f>+N11</f>
        <v>1120000</v>
      </c>
      <c r="S11" s="571"/>
      <c r="T11" s="149"/>
      <c r="U11" s="565"/>
    </row>
    <row r="12" spans="1:30" ht="15">
      <c r="A12" s="575"/>
      <c r="B12" s="1068" t="s">
        <v>69</v>
      </c>
      <c r="C12" s="1068"/>
      <c r="D12" s="1068"/>
      <c r="E12" s="1068"/>
      <c r="F12" s="1068"/>
      <c r="G12" s="568">
        <f>SUM(G6:G11)</f>
        <v>2493268.56</v>
      </c>
      <c r="H12" s="568">
        <f>SUM(H6:H11)</f>
        <v>0</v>
      </c>
      <c r="I12" s="568">
        <f>SUM(I6:I11)</f>
        <v>73936.13</v>
      </c>
      <c r="J12" s="568">
        <f>SUM(J6:J11)</f>
        <v>2419332.4299999997</v>
      </c>
      <c r="K12" s="568">
        <f>SUM(K6:K11)</f>
        <v>246873.1617</v>
      </c>
      <c r="L12" s="576"/>
      <c r="M12" s="576"/>
      <c r="N12" s="568">
        <f>SUM(N6:N11)</f>
        <v>2666205.5916999998</v>
      </c>
      <c r="O12" s="568">
        <f>SUM(O6:O11)</f>
        <v>1299332.43</v>
      </c>
      <c r="P12" s="568">
        <f>SUM(P6:P11)</f>
        <v>246873.1617</v>
      </c>
      <c r="Q12" s="568">
        <f>SUM(Q6:Q10)</f>
        <v>0</v>
      </c>
      <c r="R12" s="568">
        <f>SUM(R6:R11)</f>
        <v>1120000</v>
      </c>
      <c r="S12" s="568"/>
      <c r="T12" s="577"/>
      <c r="U12" s="578" t="e">
        <f>SUM(#REF!)</f>
        <v>#REF!</v>
      </c>
    </row>
    <row r="13" spans="1:30" ht="15.75" thickBot="1">
      <c r="A13" s="150"/>
      <c r="B13" s="151"/>
      <c r="C13" s="151"/>
      <c r="E13" s="151"/>
      <c r="F13" s="153"/>
      <c r="G13" s="154"/>
      <c r="H13" s="154"/>
      <c r="I13" s="154"/>
      <c r="J13" s="155"/>
      <c r="K13" s="155"/>
      <c r="L13" s="154"/>
      <c r="M13" s="154"/>
      <c r="N13" s="156"/>
      <c r="O13" s="1057">
        <f>+O12+P12</f>
        <v>1546205.5917</v>
      </c>
      <c r="P13" s="1058"/>
      <c r="Q13" s="172"/>
      <c r="R13" s="1059">
        <f>+R12+S12</f>
        <v>1120000</v>
      </c>
      <c r="S13" s="1060"/>
      <c r="T13" s="157"/>
    </row>
    <row r="14" spans="1:30" ht="15.75" thickBot="1">
      <c r="A14" s="158"/>
      <c r="B14" s="159"/>
      <c r="C14" s="160"/>
      <c r="D14" s="160"/>
      <c r="E14" s="161"/>
      <c r="G14" s="1061"/>
      <c r="H14" s="1061"/>
      <c r="I14" s="308"/>
      <c r="J14" s="163"/>
      <c r="K14" s="163"/>
      <c r="N14" s="579" t="s">
        <v>709</v>
      </c>
      <c r="O14" s="1062">
        <f>-N12+8100000</f>
        <v>5433794.4083000002</v>
      </c>
      <c r="P14" s="1063"/>
      <c r="Q14" s="1064"/>
      <c r="R14" s="165"/>
      <c r="S14" s="166"/>
      <c r="T14" s="577"/>
    </row>
  </sheetData>
  <mergeCells count="26">
    <mergeCell ref="A1:N3"/>
    <mergeCell ref="T1:T3"/>
    <mergeCell ref="A4:A5"/>
    <mergeCell ref="B4:B5"/>
    <mergeCell ref="C4:C5"/>
    <mergeCell ref="D4:D5"/>
    <mergeCell ref="E4:E5"/>
    <mergeCell ref="F4:F5"/>
    <mergeCell ref="G4:G5"/>
    <mergeCell ref="H4:H5"/>
    <mergeCell ref="T4:T5"/>
    <mergeCell ref="N4:N5"/>
    <mergeCell ref="O4:O5"/>
    <mergeCell ref="B12:F12"/>
    <mergeCell ref="I4:I5"/>
    <mergeCell ref="J4:J5"/>
    <mergeCell ref="K4:K5"/>
    <mergeCell ref="L4:L5"/>
    <mergeCell ref="O13:P13"/>
    <mergeCell ref="R13:S13"/>
    <mergeCell ref="G14:H14"/>
    <mergeCell ref="O14:Q14"/>
    <mergeCell ref="P4:P5"/>
    <mergeCell ref="Q4:Q5"/>
    <mergeCell ref="R4:R5"/>
    <mergeCell ref="S4:S5"/>
  </mergeCells>
  <pageMargins left="0.16" right="0.16" top="0.3543307086614173" bottom="0.3543307086614173" header="0" footer="0"/>
  <pageSetup paperSize="9" scale="65"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B339C-263A-4AD6-A6E4-F1534BC34406}">
  <sheetPr codeName="Hoja6"/>
  <dimension ref="A1:EQ20"/>
  <sheetViews>
    <sheetView workbookViewId="0">
      <selection sqref="A1:M3"/>
    </sheetView>
  </sheetViews>
  <sheetFormatPr baseColWidth="10" defaultColWidth="40.42578125" defaultRowHeight="14.25"/>
  <cols>
    <col min="1" max="1" width="7.42578125" style="152" customWidth="1"/>
    <col min="2" max="2" width="12.85546875" style="152" customWidth="1"/>
    <col min="3" max="3" width="15" style="152" bestFit="1" customWidth="1"/>
    <col min="4" max="4" width="34.28515625" style="152" customWidth="1"/>
    <col min="5" max="5" width="16.7109375" style="152" customWidth="1"/>
    <col min="6" max="6" width="32.7109375" style="162" customWidth="1"/>
    <col min="7" max="7" width="17.42578125" style="167" customWidth="1"/>
    <col min="8" max="8" width="16.85546875" style="167" hidden="1" customWidth="1"/>
    <col min="9" max="9" width="17.7109375" style="167" customWidth="1"/>
    <col min="10" max="10" width="16.42578125" style="164" customWidth="1"/>
    <col min="11" max="11" width="13.42578125" style="164" customWidth="1"/>
    <col min="12" max="12" width="20" style="164" hidden="1" customWidth="1"/>
    <col min="13" max="13" width="17.42578125" style="168" customWidth="1"/>
    <col min="14" max="14" width="17.28515625" style="164" customWidth="1"/>
    <col min="15" max="15" width="17.140625" style="164" customWidth="1"/>
    <col min="16" max="16" width="1.140625" style="164" hidden="1" customWidth="1"/>
    <col min="17" max="17" width="14.7109375" style="164" customWidth="1"/>
    <col min="18" max="18" width="14.42578125" style="169" customWidth="1"/>
    <col min="19" max="19" width="15.42578125" style="142" hidden="1" customWidth="1"/>
    <col min="20" max="20" width="15.42578125" style="143" hidden="1" customWidth="1"/>
    <col min="21" max="147" width="40.42578125" style="142"/>
    <col min="148" max="16384" width="40.42578125" style="163"/>
  </cols>
  <sheetData>
    <row r="1" spans="1:29" ht="18" customHeight="1">
      <c r="A1" s="1070" t="s">
        <v>710</v>
      </c>
      <c r="B1" s="1070"/>
      <c r="C1" s="1070"/>
      <c r="D1" s="1070"/>
      <c r="E1" s="1070"/>
      <c r="F1" s="1070"/>
      <c r="G1" s="1070"/>
      <c r="H1" s="1070"/>
      <c r="I1" s="1070"/>
      <c r="J1" s="1070"/>
      <c r="K1" s="1070"/>
      <c r="L1" s="1070"/>
      <c r="M1" s="1071"/>
      <c r="N1" s="545" t="s">
        <v>25</v>
      </c>
      <c r="O1" s="545" t="s">
        <v>26</v>
      </c>
      <c r="P1" s="545"/>
      <c r="Q1" s="546" t="s">
        <v>25</v>
      </c>
      <c r="R1" s="547" t="s">
        <v>27</v>
      </c>
      <c r="S1" s="1074"/>
    </row>
    <row r="2" spans="1:29" ht="15" customHeight="1">
      <c r="A2" s="1070"/>
      <c r="B2" s="1070"/>
      <c r="C2" s="1070"/>
      <c r="D2" s="1070"/>
      <c r="E2" s="1070"/>
      <c r="F2" s="1070"/>
      <c r="G2" s="1070"/>
      <c r="H2" s="1070"/>
      <c r="I2" s="1070"/>
      <c r="J2" s="1070"/>
      <c r="K2" s="1070"/>
      <c r="L2" s="1070"/>
      <c r="M2" s="1071"/>
      <c r="N2" s="545" t="s">
        <v>28</v>
      </c>
      <c r="O2" s="548">
        <f>+N18+O18</f>
        <v>7251285.7060000002</v>
      </c>
      <c r="P2" s="549"/>
      <c r="Q2" s="546" t="s">
        <v>28</v>
      </c>
      <c r="R2" s="550">
        <f>+Q19</f>
        <v>833000</v>
      </c>
      <c r="S2" s="1074"/>
    </row>
    <row r="3" spans="1:29" ht="21.2" customHeight="1">
      <c r="A3" s="1072"/>
      <c r="B3" s="1072"/>
      <c r="C3" s="1072"/>
      <c r="D3" s="1072"/>
      <c r="E3" s="1072"/>
      <c r="F3" s="1072"/>
      <c r="G3" s="1072"/>
      <c r="H3" s="1072"/>
      <c r="I3" s="1072"/>
      <c r="J3" s="1072"/>
      <c r="K3" s="1072"/>
      <c r="L3" s="1072"/>
      <c r="M3" s="1073"/>
      <c r="N3" s="144"/>
      <c r="O3" s="145"/>
      <c r="P3" s="145"/>
      <c r="Q3" s="146"/>
      <c r="R3" s="147"/>
      <c r="S3" s="1074"/>
    </row>
    <row r="4" spans="1:29" ht="39.200000000000003" customHeight="1">
      <c r="A4" s="1075" t="s">
        <v>29</v>
      </c>
      <c r="B4" s="1075" t="s">
        <v>30</v>
      </c>
      <c r="C4" s="1075" t="s">
        <v>31</v>
      </c>
      <c r="D4" s="1075" t="s">
        <v>32</v>
      </c>
      <c r="E4" s="1075" t="s">
        <v>33</v>
      </c>
      <c r="F4" s="1075" t="s">
        <v>34</v>
      </c>
      <c r="G4" s="1066" t="s">
        <v>686</v>
      </c>
      <c r="H4" s="1069" t="s">
        <v>687</v>
      </c>
      <c r="I4" s="1069" t="s">
        <v>35</v>
      </c>
      <c r="J4" s="1066" t="s">
        <v>36</v>
      </c>
      <c r="K4" s="1066" t="s">
        <v>45</v>
      </c>
      <c r="L4" s="551"/>
      <c r="M4" s="1078" t="s">
        <v>38</v>
      </c>
      <c r="N4" s="1065" t="s">
        <v>39</v>
      </c>
      <c r="O4" s="1065" t="s">
        <v>40</v>
      </c>
      <c r="P4" s="1065" t="s">
        <v>41</v>
      </c>
      <c r="Q4" s="1066" t="s">
        <v>42</v>
      </c>
      <c r="R4" s="1067" t="s">
        <v>43</v>
      </c>
      <c r="S4" s="1076" t="s">
        <v>44</v>
      </c>
      <c r="T4" s="553" t="s">
        <v>45</v>
      </c>
    </row>
    <row r="5" spans="1:29" ht="39.200000000000003" customHeight="1">
      <c r="A5" s="1075"/>
      <c r="B5" s="1075" t="s">
        <v>689</v>
      </c>
      <c r="C5" s="1075"/>
      <c r="D5" s="1075"/>
      <c r="E5" s="1075"/>
      <c r="F5" s="1075"/>
      <c r="G5" s="1066"/>
      <c r="H5" s="1069"/>
      <c r="I5" s="1069"/>
      <c r="J5" s="1066"/>
      <c r="K5" s="1066"/>
      <c r="L5" s="551" t="s">
        <v>690</v>
      </c>
      <c r="M5" s="1078"/>
      <c r="N5" s="1065"/>
      <c r="O5" s="1065"/>
      <c r="P5" s="1065"/>
      <c r="Q5" s="1066"/>
      <c r="R5" s="1067"/>
      <c r="S5" s="1077"/>
      <c r="T5" s="552" t="s">
        <v>46</v>
      </c>
      <c r="AC5" s="142" t="s">
        <v>47</v>
      </c>
    </row>
    <row r="6" spans="1:29" ht="45.6" customHeight="1">
      <c r="A6" s="580">
        <v>1</v>
      </c>
      <c r="B6" s="581" t="s">
        <v>711</v>
      </c>
      <c r="C6" s="582">
        <v>45720</v>
      </c>
      <c r="D6" s="583" t="s">
        <v>712</v>
      </c>
      <c r="E6" s="584" t="s">
        <v>713</v>
      </c>
      <c r="F6" s="573" t="s">
        <v>714</v>
      </c>
      <c r="G6" s="563">
        <v>800473</v>
      </c>
      <c r="H6" s="560"/>
      <c r="I6" s="558">
        <f>+G6-H6</f>
        <v>800473</v>
      </c>
      <c r="J6" s="559">
        <f t="shared" ref="J6:J17" si="0">+I6*19%</f>
        <v>152089.87</v>
      </c>
      <c r="K6" s="560"/>
      <c r="L6" s="560"/>
      <c r="M6" s="561">
        <f t="shared" ref="M6:M17" si="1">+I6+J6</f>
        <v>952562.87</v>
      </c>
      <c r="N6" s="561">
        <f t="shared" ref="N6:O13" si="2">+I6</f>
        <v>800473</v>
      </c>
      <c r="O6" s="561">
        <f t="shared" si="2"/>
        <v>152089.87</v>
      </c>
      <c r="P6" s="562"/>
      <c r="Q6" s="563"/>
      <c r="R6" s="564"/>
      <c r="S6" s="148"/>
      <c r="T6" s="552"/>
    </row>
    <row r="7" spans="1:29" ht="39.200000000000003" customHeight="1">
      <c r="A7" s="580">
        <v>2</v>
      </c>
      <c r="B7" s="581">
        <v>325901</v>
      </c>
      <c r="C7" s="582">
        <v>45722</v>
      </c>
      <c r="D7" s="585" t="s">
        <v>715</v>
      </c>
      <c r="E7" s="584">
        <v>890928960</v>
      </c>
      <c r="F7" s="573" t="s">
        <v>716</v>
      </c>
      <c r="G7" s="563">
        <v>102000</v>
      </c>
      <c r="H7" s="563"/>
      <c r="I7" s="566">
        <f>+G7-H7</f>
        <v>102000</v>
      </c>
      <c r="J7" s="567">
        <f t="shared" si="0"/>
        <v>19380</v>
      </c>
      <c r="K7" s="563"/>
      <c r="L7" s="563"/>
      <c r="M7" s="568">
        <f t="shared" si="1"/>
        <v>121380</v>
      </c>
      <c r="N7" s="568">
        <f t="shared" si="2"/>
        <v>102000</v>
      </c>
      <c r="O7" s="568">
        <f t="shared" si="2"/>
        <v>19380</v>
      </c>
      <c r="P7" s="562"/>
      <c r="Q7" s="563"/>
      <c r="R7" s="564"/>
      <c r="S7" s="148"/>
      <c r="T7" s="552"/>
    </row>
    <row r="8" spans="1:29" ht="39.200000000000003" customHeight="1">
      <c r="A8" s="580">
        <v>3</v>
      </c>
      <c r="B8" s="581">
        <v>326000</v>
      </c>
      <c r="C8" s="582">
        <v>45722</v>
      </c>
      <c r="D8" s="585" t="s">
        <v>715</v>
      </c>
      <c r="E8" s="584">
        <v>890928960</v>
      </c>
      <c r="F8" s="573" t="s">
        <v>716</v>
      </c>
      <c r="G8" s="563">
        <v>67964</v>
      </c>
      <c r="H8" s="563"/>
      <c r="I8" s="566">
        <f t="shared" ref="I8:I17" si="3">+G8-H8</f>
        <v>67964</v>
      </c>
      <c r="J8" s="559">
        <f t="shared" si="0"/>
        <v>12913.16</v>
      </c>
      <c r="K8" s="563"/>
      <c r="L8" s="563"/>
      <c r="M8" s="561">
        <f t="shared" si="1"/>
        <v>80877.16</v>
      </c>
      <c r="N8" s="561">
        <f t="shared" si="2"/>
        <v>67964</v>
      </c>
      <c r="O8" s="561">
        <f t="shared" si="2"/>
        <v>12913.16</v>
      </c>
      <c r="P8" s="562"/>
      <c r="Q8" s="563"/>
      <c r="R8" s="564"/>
      <c r="S8" s="148"/>
      <c r="T8" s="552"/>
    </row>
    <row r="9" spans="1:29" ht="39.200000000000003" customHeight="1">
      <c r="A9" s="580">
        <v>4</v>
      </c>
      <c r="B9" s="581" t="s">
        <v>717</v>
      </c>
      <c r="C9" s="582">
        <v>45723</v>
      </c>
      <c r="D9" s="573" t="s">
        <v>52</v>
      </c>
      <c r="E9" s="574" t="s">
        <v>53</v>
      </c>
      <c r="F9" s="573" t="s">
        <v>718</v>
      </c>
      <c r="G9" s="563">
        <v>700000</v>
      </c>
      <c r="H9" s="563"/>
      <c r="I9" s="566">
        <f t="shared" si="3"/>
        <v>700000</v>
      </c>
      <c r="J9" s="559">
        <f t="shared" si="0"/>
        <v>133000</v>
      </c>
      <c r="K9" s="563"/>
      <c r="L9" s="563"/>
      <c r="M9" s="561">
        <f t="shared" si="1"/>
        <v>833000</v>
      </c>
      <c r="N9" s="561">
        <f t="shared" si="2"/>
        <v>700000</v>
      </c>
      <c r="O9" s="561">
        <f t="shared" si="2"/>
        <v>133000</v>
      </c>
      <c r="P9" s="562"/>
      <c r="Q9" s="563"/>
      <c r="R9" s="564"/>
      <c r="S9" s="148"/>
      <c r="T9" s="552"/>
    </row>
    <row r="10" spans="1:29" ht="39.200000000000003" customHeight="1">
      <c r="A10" s="580">
        <v>5</v>
      </c>
      <c r="B10" s="581" t="s">
        <v>719</v>
      </c>
      <c r="C10" s="582">
        <v>45730</v>
      </c>
      <c r="D10" s="573" t="s">
        <v>720</v>
      </c>
      <c r="E10" s="574" t="s">
        <v>721</v>
      </c>
      <c r="F10" s="573" t="s">
        <v>722</v>
      </c>
      <c r="G10" s="563">
        <v>610084</v>
      </c>
      <c r="H10" s="563"/>
      <c r="I10" s="566">
        <f t="shared" si="3"/>
        <v>610084</v>
      </c>
      <c r="J10" s="559">
        <f t="shared" si="0"/>
        <v>115915.96</v>
      </c>
      <c r="K10" s="563"/>
      <c r="L10" s="563"/>
      <c r="M10" s="561">
        <f t="shared" si="1"/>
        <v>725999.96</v>
      </c>
      <c r="N10" s="561">
        <f t="shared" si="2"/>
        <v>610084</v>
      </c>
      <c r="O10" s="561">
        <f t="shared" si="2"/>
        <v>115915.96</v>
      </c>
      <c r="P10" s="562"/>
      <c r="Q10" s="563"/>
      <c r="R10" s="564"/>
      <c r="S10" s="148"/>
      <c r="T10" s="552"/>
    </row>
    <row r="11" spans="1:29" ht="39.200000000000003" customHeight="1">
      <c r="A11" s="580">
        <v>6</v>
      </c>
      <c r="B11" s="581" t="s">
        <v>723</v>
      </c>
      <c r="C11" s="582">
        <v>45730</v>
      </c>
      <c r="D11" s="573" t="s">
        <v>724</v>
      </c>
      <c r="E11" s="574" t="s">
        <v>725</v>
      </c>
      <c r="F11" s="573" t="s">
        <v>726</v>
      </c>
      <c r="G11" s="563">
        <v>780672</v>
      </c>
      <c r="H11" s="563"/>
      <c r="I11" s="566">
        <f t="shared" si="3"/>
        <v>780672</v>
      </c>
      <c r="J11" s="559">
        <f t="shared" si="0"/>
        <v>148327.67999999999</v>
      </c>
      <c r="K11" s="563"/>
      <c r="L11" s="563"/>
      <c r="M11" s="561">
        <f t="shared" si="1"/>
        <v>928999.67999999993</v>
      </c>
      <c r="N11" s="561">
        <f t="shared" si="2"/>
        <v>780672</v>
      </c>
      <c r="O11" s="561">
        <f t="shared" si="2"/>
        <v>148327.67999999999</v>
      </c>
      <c r="P11" s="562"/>
      <c r="Q11" s="563"/>
      <c r="R11" s="564"/>
      <c r="S11" s="148"/>
      <c r="T11" s="552"/>
    </row>
    <row r="12" spans="1:29" ht="39.200000000000003" customHeight="1">
      <c r="A12" s="580">
        <v>7</v>
      </c>
      <c r="B12" s="581">
        <v>10452</v>
      </c>
      <c r="C12" s="582">
        <v>45731</v>
      </c>
      <c r="D12" s="573" t="s">
        <v>727</v>
      </c>
      <c r="E12" s="574" t="s">
        <v>728</v>
      </c>
      <c r="F12" s="573" t="s">
        <v>726</v>
      </c>
      <c r="G12" s="563">
        <v>100840.34</v>
      </c>
      <c r="H12" s="563"/>
      <c r="I12" s="566">
        <f t="shared" si="3"/>
        <v>100840.34</v>
      </c>
      <c r="J12" s="567">
        <f t="shared" si="0"/>
        <v>19159.6646</v>
      </c>
      <c r="K12" s="563"/>
      <c r="L12" s="563"/>
      <c r="M12" s="561">
        <f t="shared" si="1"/>
        <v>120000.0046</v>
      </c>
      <c r="N12" s="568">
        <f t="shared" si="2"/>
        <v>100840.34</v>
      </c>
      <c r="O12" s="568">
        <f t="shared" si="2"/>
        <v>19159.6646</v>
      </c>
      <c r="P12" s="562"/>
      <c r="Q12" s="563"/>
      <c r="R12" s="564"/>
      <c r="S12" s="148"/>
      <c r="T12" s="552"/>
    </row>
    <row r="13" spans="1:29" ht="39.200000000000003" customHeight="1">
      <c r="A13" s="580">
        <v>8</v>
      </c>
      <c r="B13" s="581" t="s">
        <v>729</v>
      </c>
      <c r="C13" s="582">
        <v>45742</v>
      </c>
      <c r="D13" s="573" t="s">
        <v>720</v>
      </c>
      <c r="E13" s="574" t="s">
        <v>721</v>
      </c>
      <c r="F13" s="573" t="s">
        <v>722</v>
      </c>
      <c r="G13" s="563">
        <v>915126.06</v>
      </c>
      <c r="H13" s="563"/>
      <c r="I13" s="566">
        <f t="shared" si="3"/>
        <v>915126.06</v>
      </c>
      <c r="J13" s="567">
        <f t="shared" si="0"/>
        <v>173873.95140000002</v>
      </c>
      <c r="K13" s="563"/>
      <c r="L13" s="563"/>
      <c r="M13" s="561">
        <f t="shared" si="1"/>
        <v>1089000.0114000002</v>
      </c>
      <c r="N13" s="568">
        <f t="shared" si="2"/>
        <v>915126.06</v>
      </c>
      <c r="O13" s="568">
        <f t="shared" si="2"/>
        <v>173873.95140000002</v>
      </c>
      <c r="P13" s="562"/>
      <c r="Q13" s="563"/>
      <c r="R13" s="564"/>
      <c r="S13" s="148"/>
      <c r="T13" s="552"/>
    </row>
    <row r="14" spans="1:29" ht="44.1" customHeight="1">
      <c r="A14" s="580">
        <v>9</v>
      </c>
      <c r="B14" s="584" t="s">
        <v>730</v>
      </c>
      <c r="C14" s="586">
        <v>45744</v>
      </c>
      <c r="D14" s="585" t="s">
        <v>731</v>
      </c>
      <c r="E14" s="584" t="s">
        <v>732</v>
      </c>
      <c r="F14" s="573" t="s">
        <v>733</v>
      </c>
      <c r="G14" s="563">
        <v>700000</v>
      </c>
      <c r="H14" s="563"/>
      <c r="I14" s="566">
        <f t="shared" si="3"/>
        <v>700000</v>
      </c>
      <c r="J14" s="567">
        <f t="shared" si="0"/>
        <v>133000</v>
      </c>
      <c r="K14" s="563"/>
      <c r="L14" s="563"/>
      <c r="M14" s="568">
        <f t="shared" si="1"/>
        <v>833000</v>
      </c>
      <c r="N14" s="587"/>
      <c r="O14" s="587"/>
      <c r="P14" s="562"/>
      <c r="Q14" s="568">
        <f>+I14</f>
        <v>700000</v>
      </c>
      <c r="R14" s="568">
        <f>+J14</f>
        <v>133000</v>
      </c>
      <c r="S14" s="149"/>
      <c r="T14" s="565"/>
    </row>
    <row r="15" spans="1:29" ht="44.1" customHeight="1">
      <c r="A15" s="580">
        <v>10</v>
      </c>
      <c r="B15" s="584" t="s">
        <v>734</v>
      </c>
      <c r="C15" s="588">
        <v>45744</v>
      </c>
      <c r="D15" s="573" t="s">
        <v>52</v>
      </c>
      <c r="E15" s="574" t="s">
        <v>53</v>
      </c>
      <c r="F15" s="573" t="s">
        <v>735</v>
      </c>
      <c r="G15" s="563">
        <v>1034000</v>
      </c>
      <c r="H15" s="563"/>
      <c r="I15" s="566">
        <f t="shared" si="3"/>
        <v>1034000</v>
      </c>
      <c r="J15" s="567">
        <f t="shared" si="0"/>
        <v>196460</v>
      </c>
      <c r="K15" s="563"/>
      <c r="L15" s="563"/>
      <c r="M15" s="568">
        <f t="shared" si="1"/>
        <v>1230460</v>
      </c>
      <c r="N15" s="568">
        <f t="shared" ref="N15:O17" si="4">+I15</f>
        <v>1034000</v>
      </c>
      <c r="O15" s="568">
        <f t="shared" si="4"/>
        <v>196460</v>
      </c>
      <c r="P15" s="562"/>
      <c r="Q15" s="563"/>
      <c r="R15" s="564"/>
      <c r="S15" s="148"/>
      <c r="T15" s="552"/>
    </row>
    <row r="16" spans="1:29" ht="44.1" customHeight="1">
      <c r="A16" s="580">
        <v>11</v>
      </c>
      <c r="B16" s="581" t="s">
        <v>736</v>
      </c>
      <c r="C16" s="582">
        <v>45747</v>
      </c>
      <c r="D16" s="585" t="s">
        <v>737</v>
      </c>
      <c r="E16" s="584" t="s">
        <v>738</v>
      </c>
      <c r="F16" s="573" t="s">
        <v>735</v>
      </c>
      <c r="G16" s="563">
        <v>343700</v>
      </c>
      <c r="H16" s="563"/>
      <c r="I16" s="566">
        <f t="shared" si="3"/>
        <v>343700</v>
      </c>
      <c r="J16" s="567">
        <f t="shared" si="0"/>
        <v>65303</v>
      </c>
      <c r="K16" s="563"/>
      <c r="L16" s="563"/>
      <c r="M16" s="561">
        <f t="shared" si="1"/>
        <v>409003</v>
      </c>
      <c r="N16" s="568">
        <f t="shared" si="4"/>
        <v>343700</v>
      </c>
      <c r="O16" s="568">
        <f t="shared" si="4"/>
        <v>65303</v>
      </c>
      <c r="P16" s="562"/>
      <c r="Q16" s="563"/>
      <c r="R16" s="564"/>
      <c r="S16" s="148"/>
      <c r="T16" s="552"/>
    </row>
    <row r="17" spans="1:20" ht="44.1" customHeight="1">
      <c r="A17" s="580">
        <v>12</v>
      </c>
      <c r="B17" s="589" t="s">
        <v>739</v>
      </c>
      <c r="C17" s="588">
        <v>45747</v>
      </c>
      <c r="D17" s="585" t="s">
        <v>740</v>
      </c>
      <c r="E17" s="590" t="s">
        <v>741</v>
      </c>
      <c r="F17" s="573" t="s">
        <v>735</v>
      </c>
      <c r="G17" s="563">
        <v>638658</v>
      </c>
      <c r="H17" s="563"/>
      <c r="I17" s="566">
        <f t="shared" si="3"/>
        <v>638658</v>
      </c>
      <c r="J17" s="567">
        <f t="shared" si="0"/>
        <v>121345.02</v>
      </c>
      <c r="K17" s="563"/>
      <c r="L17" s="563"/>
      <c r="M17" s="561">
        <f t="shared" si="1"/>
        <v>760003.02</v>
      </c>
      <c r="N17" s="568">
        <f t="shared" si="4"/>
        <v>638658</v>
      </c>
      <c r="O17" s="568">
        <f t="shared" si="4"/>
        <v>121345.02</v>
      </c>
      <c r="P17" s="562"/>
      <c r="Q17" s="563"/>
      <c r="R17" s="564"/>
      <c r="S17" s="149"/>
      <c r="T17" s="565"/>
    </row>
    <row r="18" spans="1:20" ht="15">
      <c r="A18" s="575"/>
      <c r="B18" s="1068" t="s">
        <v>69</v>
      </c>
      <c r="C18" s="1068"/>
      <c r="D18" s="1068"/>
      <c r="E18" s="1068"/>
      <c r="F18" s="1068"/>
      <c r="G18" s="576">
        <f>SUM(G6:G17)</f>
        <v>6793517.4000000004</v>
      </c>
      <c r="H18" s="576" t="e">
        <f>SUM(#REF!)</f>
        <v>#REF!</v>
      </c>
      <c r="I18" s="576">
        <f>SUM(I6:I17)</f>
        <v>6793517.4000000004</v>
      </c>
      <c r="J18" s="576">
        <f>SUM(J6:J17)</f>
        <v>1290768.3060000001</v>
      </c>
      <c r="K18" s="576"/>
      <c r="L18" s="576"/>
      <c r="M18" s="568">
        <f t="shared" ref="M18:R18" si="5">SUM(M6:M17)</f>
        <v>8084285.7060000002</v>
      </c>
      <c r="N18" s="568">
        <f t="shared" si="5"/>
        <v>6093517.4000000004</v>
      </c>
      <c r="O18" s="568">
        <f t="shared" si="5"/>
        <v>1157768.3060000001</v>
      </c>
      <c r="P18" s="568">
        <f t="shared" si="5"/>
        <v>0</v>
      </c>
      <c r="Q18" s="568">
        <f t="shared" si="5"/>
        <v>700000</v>
      </c>
      <c r="R18" s="568">
        <f t="shared" si="5"/>
        <v>133000</v>
      </c>
      <c r="S18" s="577"/>
      <c r="T18" s="578" t="e">
        <f>SUM(#REF!)</f>
        <v>#REF!</v>
      </c>
    </row>
    <row r="19" spans="1:20" ht="15.75" thickBot="1">
      <c r="A19" s="150"/>
      <c r="B19" s="151"/>
      <c r="C19" s="151"/>
      <c r="E19" s="151"/>
      <c r="F19" s="153"/>
      <c r="G19" s="154"/>
      <c r="H19" s="154"/>
      <c r="I19" s="155"/>
      <c r="J19" s="155"/>
      <c r="K19" s="154"/>
      <c r="L19" s="154"/>
      <c r="M19" s="156"/>
      <c r="N19" s="1057">
        <f>+N18+O18</f>
        <v>7251285.7060000002</v>
      </c>
      <c r="O19" s="1058"/>
      <c r="P19" s="172"/>
      <c r="Q19" s="1059">
        <f>+Q18+R18</f>
        <v>833000</v>
      </c>
      <c r="R19" s="1060"/>
      <c r="S19" s="157"/>
    </row>
    <row r="20" spans="1:20" ht="15.75" thickBot="1">
      <c r="A20" s="158"/>
      <c r="B20" s="159"/>
      <c r="C20" s="160"/>
      <c r="D20" s="160"/>
      <c r="E20" s="161"/>
      <c r="G20" s="1061"/>
      <c r="H20" s="1061"/>
      <c r="I20" s="163"/>
      <c r="J20" s="163"/>
      <c r="M20" s="579" t="s">
        <v>709</v>
      </c>
      <c r="N20" s="1062">
        <f>-M18+8100000</f>
        <v>15714.293999999762</v>
      </c>
      <c r="O20" s="1063"/>
      <c r="P20" s="1064"/>
      <c r="Q20" s="165"/>
      <c r="R20" s="166"/>
      <c r="S20" s="577"/>
    </row>
  </sheetData>
  <mergeCells count="25">
    <mergeCell ref="G20:H20"/>
    <mergeCell ref="N20:P20"/>
    <mergeCell ref="P4:P5"/>
    <mergeCell ref="Q4:Q5"/>
    <mergeCell ref="R4:R5"/>
    <mergeCell ref="B18:F18"/>
    <mergeCell ref="N19:O19"/>
    <mergeCell ref="Q19:R19"/>
    <mergeCell ref="I4:I5"/>
    <mergeCell ref="J4:J5"/>
    <mergeCell ref="K4:K5"/>
    <mergeCell ref="M4:M5"/>
    <mergeCell ref="N4:N5"/>
    <mergeCell ref="O4:O5"/>
    <mergeCell ref="A1:M3"/>
    <mergeCell ref="S1:S3"/>
    <mergeCell ref="A4:A5"/>
    <mergeCell ref="B4:B5"/>
    <mergeCell ref="C4:C5"/>
    <mergeCell ref="D4:D5"/>
    <mergeCell ref="E4:E5"/>
    <mergeCell ref="F4:F5"/>
    <mergeCell ref="G4:G5"/>
    <mergeCell ref="H4:H5"/>
    <mergeCell ref="S4:S5"/>
  </mergeCells>
  <pageMargins left="0.16" right="0.16" top="0.3543307086614173" bottom="0.3543307086614173" header="0" footer="0"/>
  <pageSetup paperSize="9" scale="6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9">
    <tabColor rgb="FFFF0000"/>
  </sheetPr>
  <dimension ref="A1"/>
  <sheetViews>
    <sheetView workbookViewId="0"/>
  </sheetViews>
  <sheetFormatPr baseColWidth="10" defaultColWidth="10.7109375" defaultRowHeight="12.75"/>
  <sheetData>
    <row r="1" spans="1:1">
      <c r="A1" t="s">
        <v>742</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dimension ref="A1:L23"/>
  <sheetViews>
    <sheetView workbookViewId="0"/>
  </sheetViews>
  <sheetFormatPr baseColWidth="10" defaultColWidth="10.7109375" defaultRowHeight="12.75"/>
  <cols>
    <col min="10" max="10" width="12.85546875" bestFit="1" customWidth="1"/>
  </cols>
  <sheetData>
    <row r="1" spans="1:12">
      <c r="A1" t="s">
        <v>743</v>
      </c>
    </row>
    <row r="2" spans="1:12" ht="14.25">
      <c r="A2" s="1080" t="s">
        <v>744</v>
      </c>
      <c r="B2" s="1080"/>
      <c r="C2" s="1080"/>
      <c r="D2" s="1080"/>
      <c r="E2" s="1080"/>
      <c r="F2" s="1080"/>
      <c r="G2" s="1080"/>
      <c r="H2" s="1080"/>
      <c r="I2" s="1080"/>
      <c r="J2" s="1080"/>
      <c r="K2" s="1080"/>
      <c r="L2" s="1080"/>
    </row>
    <row r="3" spans="1:12">
      <c r="A3" s="1081" t="s">
        <v>745</v>
      </c>
      <c r="B3" s="1081"/>
      <c r="C3" s="1081"/>
      <c r="D3" s="1081"/>
      <c r="E3" s="1081"/>
      <c r="F3" s="1081"/>
      <c r="G3" s="1081"/>
      <c r="H3" s="1081"/>
      <c r="I3" s="1081"/>
      <c r="J3" s="1081"/>
      <c r="K3" s="1081"/>
      <c r="L3" s="1081"/>
    </row>
    <row r="4" spans="1:12" ht="14.25">
      <c r="A4" s="1082" t="s">
        <v>746</v>
      </c>
      <c r="B4" s="1082"/>
      <c r="C4" s="1082"/>
      <c r="D4" s="1082"/>
      <c r="E4" s="1082"/>
      <c r="F4" s="1082"/>
      <c r="G4" s="1082"/>
      <c r="H4" s="1082"/>
      <c r="I4" s="1082"/>
      <c r="J4" s="1082"/>
      <c r="K4" s="1082"/>
      <c r="L4" s="1082"/>
    </row>
    <row r="5" spans="1:12" ht="15">
      <c r="A5" s="1083" t="s">
        <v>747</v>
      </c>
      <c r="B5" s="1083"/>
      <c r="C5" s="1083"/>
      <c r="D5" s="1083"/>
      <c r="E5" s="1083"/>
      <c r="F5" s="1083"/>
      <c r="G5" s="1083"/>
      <c r="H5" s="1083"/>
      <c r="I5" s="1083"/>
      <c r="J5" s="1083"/>
      <c r="K5" s="1083"/>
      <c r="L5" s="1083"/>
    </row>
    <row r="6" spans="1:12" ht="14.25">
      <c r="A6" s="1084" t="s">
        <v>748</v>
      </c>
      <c r="B6" s="1084"/>
      <c r="C6" s="1084"/>
      <c r="D6" s="1084"/>
      <c r="E6" s="1084"/>
      <c r="F6" s="1084"/>
      <c r="G6" s="1084"/>
      <c r="H6" s="1084"/>
      <c r="I6" s="1084"/>
      <c r="J6" s="1084"/>
      <c r="K6" s="1084"/>
      <c r="L6" s="1084"/>
    </row>
    <row r="7" spans="1:12" ht="15">
      <c r="A7" s="1085"/>
      <c r="B7" s="1085"/>
      <c r="C7" s="1085"/>
      <c r="D7" s="1085"/>
      <c r="E7" s="1085"/>
      <c r="F7" s="1085"/>
      <c r="G7" s="1085"/>
      <c r="H7" s="1085"/>
      <c r="I7" s="1085"/>
      <c r="J7" s="1085"/>
      <c r="K7" s="1085"/>
      <c r="L7" s="1085"/>
    </row>
    <row r="8" spans="1:12" ht="22.5">
      <c r="A8" s="26" t="s">
        <v>749</v>
      </c>
      <c r="B8" s="26" t="s">
        <v>750</v>
      </c>
      <c r="C8" s="27" t="s">
        <v>751</v>
      </c>
      <c r="D8" s="28" t="s">
        <v>752</v>
      </c>
      <c r="E8" s="29" t="s">
        <v>753</v>
      </c>
      <c r="F8" s="26" t="s">
        <v>754</v>
      </c>
      <c r="G8" s="26" t="s">
        <v>755</v>
      </c>
      <c r="H8" s="30" t="s">
        <v>756</v>
      </c>
      <c r="I8" s="26" t="s">
        <v>757</v>
      </c>
      <c r="J8" s="26" t="s">
        <v>758</v>
      </c>
      <c r="K8" s="26" t="s">
        <v>759</v>
      </c>
      <c r="L8" s="26" t="s">
        <v>480</v>
      </c>
    </row>
    <row r="9" spans="1:12" ht="90">
      <c r="A9" s="31">
        <v>1</v>
      </c>
      <c r="B9" s="32" t="s">
        <v>760</v>
      </c>
      <c r="C9" s="33" t="s">
        <v>761</v>
      </c>
      <c r="D9" s="34" t="s">
        <v>762</v>
      </c>
      <c r="E9" s="33" t="s">
        <v>763</v>
      </c>
      <c r="F9" s="31">
        <v>2</v>
      </c>
      <c r="G9" s="32" t="s">
        <v>764</v>
      </c>
      <c r="H9" s="35">
        <v>39060</v>
      </c>
      <c r="I9" s="32">
        <v>0</v>
      </c>
      <c r="J9" s="32">
        <v>0</v>
      </c>
      <c r="K9" s="36">
        <v>78120</v>
      </c>
      <c r="L9" s="36"/>
    </row>
    <row r="10" spans="1:12" ht="112.5">
      <c r="A10" s="31">
        <v>2</v>
      </c>
      <c r="B10" s="32" t="s">
        <v>760</v>
      </c>
      <c r="C10" s="33" t="s">
        <v>765</v>
      </c>
      <c r="D10" s="32" t="s">
        <v>766</v>
      </c>
      <c r="E10" s="33" t="s">
        <v>767</v>
      </c>
      <c r="F10" s="31">
        <v>2</v>
      </c>
      <c r="G10" s="32" t="s">
        <v>768</v>
      </c>
      <c r="H10" s="35">
        <v>154000</v>
      </c>
      <c r="I10" s="32">
        <v>0</v>
      </c>
      <c r="J10" s="32">
        <v>0</v>
      </c>
      <c r="K10" s="36">
        <v>308000</v>
      </c>
      <c r="L10" s="37" t="s">
        <v>769</v>
      </c>
    </row>
    <row r="11" spans="1:12" ht="180">
      <c r="A11" s="31">
        <v>4</v>
      </c>
      <c r="B11" s="32" t="s">
        <v>760</v>
      </c>
      <c r="C11" s="33" t="s">
        <v>770</v>
      </c>
      <c r="D11" s="32" t="s">
        <v>771</v>
      </c>
      <c r="E11" s="33" t="s">
        <v>772</v>
      </c>
      <c r="F11" s="31">
        <v>25</v>
      </c>
      <c r="G11" s="32" t="s">
        <v>764</v>
      </c>
      <c r="H11" s="35">
        <v>13300</v>
      </c>
      <c r="I11" s="32">
        <v>0</v>
      </c>
      <c r="J11" s="32">
        <v>0</v>
      </c>
      <c r="K11" s="36">
        <v>332500</v>
      </c>
      <c r="L11" s="36"/>
    </row>
    <row r="12" spans="1:12" ht="157.5">
      <c r="A12" s="31">
        <v>5</v>
      </c>
      <c r="B12" s="32" t="s">
        <v>760</v>
      </c>
      <c r="C12" s="34" t="s">
        <v>773</v>
      </c>
      <c r="D12" s="34" t="s">
        <v>774</v>
      </c>
      <c r="E12" s="33" t="s">
        <v>775</v>
      </c>
      <c r="F12" s="31">
        <v>2</v>
      </c>
      <c r="G12" s="32" t="s">
        <v>764</v>
      </c>
      <c r="H12" s="40">
        <v>171431</v>
      </c>
      <c r="I12" s="41">
        <v>0</v>
      </c>
      <c r="J12" s="41">
        <v>0</v>
      </c>
      <c r="K12" s="36">
        <v>342862</v>
      </c>
      <c r="L12" s="36"/>
    </row>
    <row r="13" spans="1:12" ht="292.5">
      <c r="A13" s="42">
        <v>8</v>
      </c>
      <c r="B13" s="32" t="s">
        <v>760</v>
      </c>
      <c r="C13" s="34" t="s">
        <v>776</v>
      </c>
      <c r="D13" s="32" t="s">
        <v>777</v>
      </c>
      <c r="E13" s="38" t="s">
        <v>778</v>
      </c>
      <c r="F13" s="31">
        <v>53</v>
      </c>
      <c r="G13" s="32" t="s">
        <v>764</v>
      </c>
      <c r="H13" s="35">
        <v>16800</v>
      </c>
      <c r="I13" s="32">
        <v>0</v>
      </c>
      <c r="J13" s="32">
        <v>0</v>
      </c>
      <c r="K13" s="36">
        <v>890400</v>
      </c>
      <c r="L13" s="37" t="s">
        <v>779</v>
      </c>
    </row>
    <row r="14" spans="1:12" ht="45">
      <c r="A14" s="42">
        <v>13</v>
      </c>
      <c r="B14" s="32" t="s">
        <v>760</v>
      </c>
      <c r="C14" s="38" t="s">
        <v>780</v>
      </c>
      <c r="D14" s="33" t="s">
        <v>781</v>
      </c>
      <c r="E14" s="34" t="s">
        <v>782</v>
      </c>
      <c r="F14" s="31">
        <v>2</v>
      </c>
      <c r="G14" s="32" t="s">
        <v>764</v>
      </c>
      <c r="H14" s="35">
        <v>135800</v>
      </c>
      <c r="I14" s="32">
        <v>0</v>
      </c>
      <c r="J14" s="39">
        <v>0</v>
      </c>
      <c r="K14" s="36">
        <v>170337</v>
      </c>
      <c r="L14" s="36"/>
    </row>
    <row r="15" spans="1:12" ht="123.75">
      <c r="A15" s="42">
        <v>14</v>
      </c>
      <c r="B15" s="32" t="s">
        <v>760</v>
      </c>
      <c r="C15" s="33" t="s">
        <v>783</v>
      </c>
      <c r="D15" s="34" t="s">
        <v>784</v>
      </c>
      <c r="E15" s="34" t="s">
        <v>782</v>
      </c>
      <c r="F15" s="31">
        <v>2</v>
      </c>
      <c r="G15" s="32" t="s">
        <v>764</v>
      </c>
      <c r="H15" s="35">
        <v>135800</v>
      </c>
      <c r="I15" s="32">
        <v>0</v>
      </c>
      <c r="J15" s="39">
        <v>0</v>
      </c>
      <c r="K15" s="36">
        <v>271600</v>
      </c>
      <c r="L15" s="36"/>
    </row>
    <row r="17" spans="1:12">
      <c r="A17" s="1079" t="s">
        <v>785</v>
      </c>
      <c r="B17" s="1079"/>
      <c r="C17" s="1079"/>
      <c r="D17" s="1079"/>
      <c r="E17" s="1079"/>
      <c r="F17" s="1079"/>
      <c r="G17" s="1079"/>
      <c r="H17" s="1079"/>
      <c r="I17" s="1079"/>
      <c r="J17" s="43">
        <v>807667.19999999995</v>
      </c>
      <c r="K17" s="44"/>
      <c r="L17" s="25"/>
    </row>
    <row r="18" spans="1:12">
      <c r="A18" s="1079" t="s">
        <v>786</v>
      </c>
      <c r="B18" s="1079"/>
      <c r="C18" s="1079"/>
      <c r="D18" s="1079"/>
      <c r="E18" s="1079"/>
      <c r="F18" s="1079"/>
      <c r="G18" s="1079"/>
      <c r="H18" s="1079"/>
      <c r="I18" s="1079"/>
      <c r="J18" s="43">
        <v>6336699</v>
      </c>
      <c r="K18" s="45">
        <v>6644699</v>
      </c>
      <c r="L18" s="25"/>
    </row>
    <row r="19" spans="1:12">
      <c r="A19" s="46"/>
      <c r="B19" s="46"/>
      <c r="C19" s="46"/>
      <c r="D19" s="46"/>
      <c r="E19" s="46"/>
      <c r="F19" s="46"/>
      <c r="G19" s="46"/>
      <c r="H19" s="46"/>
      <c r="I19" s="46"/>
      <c r="J19" s="43"/>
      <c r="K19" s="45">
        <v>6644699</v>
      </c>
      <c r="L19" s="25"/>
    </row>
    <row r="20" spans="1:12">
      <c r="A20" s="1079" t="s">
        <v>787</v>
      </c>
      <c r="B20" s="1079"/>
      <c r="C20" s="1079"/>
      <c r="D20" s="1079"/>
      <c r="E20" s="1079"/>
      <c r="F20" s="1079"/>
      <c r="G20" s="1079"/>
      <c r="H20" s="1079"/>
      <c r="I20" s="1079"/>
      <c r="J20" s="43">
        <v>0</v>
      </c>
      <c r="K20" s="44"/>
      <c r="L20" s="45">
        <v>0</v>
      </c>
    </row>
    <row r="21" spans="1:12">
      <c r="A21" s="1079" t="s">
        <v>788</v>
      </c>
      <c r="B21" s="1079"/>
      <c r="C21" s="1079"/>
      <c r="D21" s="1079"/>
      <c r="E21" s="1079"/>
      <c r="F21" s="1079"/>
      <c r="G21" s="1079"/>
      <c r="H21" s="1079"/>
      <c r="I21" s="1079"/>
      <c r="J21" s="43">
        <v>308000</v>
      </c>
      <c r="K21" s="25"/>
      <c r="L21" s="25"/>
    </row>
    <row r="23" spans="1:12">
      <c r="J23" s="47">
        <v>6644699</v>
      </c>
    </row>
  </sheetData>
  <mergeCells count="10">
    <mergeCell ref="A21:I21"/>
    <mergeCell ref="A17:I17"/>
    <mergeCell ref="A18:I18"/>
    <mergeCell ref="A20:I20"/>
    <mergeCell ref="A2:L2"/>
    <mergeCell ref="A3:L3"/>
    <mergeCell ref="A4:L4"/>
    <mergeCell ref="A5:L5"/>
    <mergeCell ref="A6:L6"/>
    <mergeCell ref="A7:L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C52388C-A302-4A4D-A621-59F043FF082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Resumen</vt:lpstr>
      <vt:lpstr>CAJA MENOR Prueba feb 2026</vt:lpstr>
      <vt:lpstr>PRESUP. OFICIAL CONSOL</vt:lpstr>
      <vt:lpstr>POP DETALLADO 2026 </vt:lpstr>
      <vt:lpstr>POE DETALLADO 2027</vt:lpstr>
      <vt:lpstr>Revisión Dominic y Festiv</vt:lpstr>
      <vt:lpstr>NOMINA AGOSTO_14.10</vt:lpstr>
      <vt:lpstr>AGOSTO(23.09)rev05.11</vt:lpstr>
      <vt:lpstr>CAJA MENOR ABRIL 2025</vt:lpstr>
      <vt:lpstr>CAJA MENOR MARZO 2025</vt:lpstr>
      <vt:lpstr>VALOR SALARIOS 2022</vt:lpstr>
      <vt:lpstr>Hoja1</vt:lpstr>
      <vt:lpstr>'AGOSTO(23.09)rev05.11'!Área_de_impresión</vt:lpstr>
      <vt:lpstr>'CAJA MENOR ABRIL 2025'!Área_de_impresión</vt:lpstr>
      <vt:lpstr>'CAJA MENOR MARZO 2025'!Área_de_impresión</vt:lpstr>
      <vt:lpstr>'POE DETALLADO 2027'!Área_de_impresión</vt:lpstr>
      <vt:lpstr>'POP DETALLADO 2026 '!Área_de_impresión</vt:lpstr>
      <vt:lpstr>'PRESUP. OFICIAL CONSOL'!Área_de_impresión</vt:lpstr>
      <vt:lpstr>Resumen!Área_de_impresión</vt:lpstr>
      <vt:lpstr>'POE DETALLADO 2027'!Incremento_2027</vt:lpstr>
      <vt:lpstr>'AGOSTO(23.09)rev05.11'!Títulos_a_imprimir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Pilar Hoyos Guerrero</dc:creator>
  <cp:keywords/>
  <dc:description/>
  <cp:lastModifiedBy>Stefania Gomez Marin</cp:lastModifiedBy>
  <cp:revision/>
  <dcterms:created xsi:type="dcterms:W3CDTF">2019-02-20T17:23:04Z</dcterms:created>
  <dcterms:modified xsi:type="dcterms:W3CDTF">2026-09-23T17:32:21Z</dcterms:modified>
  <cp:category/>
  <cp:contentStatus/>
</cp:coreProperties>
</file>