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1. PROCESOS ALCALDIA DE FONSECA\2. PROCESOS MUNICIPIO DE FONSECA 2026\13. SAMC OBRA PUBLICA 00X DE 2026 AMPLIACION DE ALCANTARILLADO\"/>
    </mc:Choice>
  </mc:AlternateContent>
  <xr:revisionPtr revIDLastSave="0" documentId="13_ncr:1_{B43411FD-02EA-4D44-A3E0-7FD4B3BF3037}" xr6:coauthVersionLast="47" xr6:coauthVersionMax="47" xr10:uidLastSave="{00000000-0000-0000-0000-000000000000}"/>
  <bookViews>
    <workbookView xWindow="-110" yWindow="-110" windowWidth="19420" windowHeight="10300" xr2:uid="{C5105B20-074F-43FB-BB00-98A53134ABD8}"/>
  </bookViews>
  <sheets>
    <sheet name="ppto de obras" sheetId="1" r:id="rId1"/>
    <sheet name="cartera y cantidades" sheetId="2" r:id="rId2"/>
    <sheet name="apus" sheetId="3" r:id="rId3"/>
    <sheet name="memoria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F25" i="1"/>
  <c r="G582" i="3"/>
  <c r="F559" i="3"/>
  <c r="D9" i="1" l="1"/>
  <c r="G308" i="3"/>
  <c r="G264" i="3"/>
  <c r="G172" i="3"/>
  <c r="K8" i="2"/>
  <c r="K49" i="2"/>
  <c r="I355" i="4" l="1"/>
  <c r="I365" i="4" s="1"/>
  <c r="I332" i="4"/>
  <c r="I342" i="4" s="1"/>
  <c r="I317" i="4"/>
  <c r="I316" i="4"/>
  <c r="I315" i="4"/>
  <c r="I314" i="4"/>
  <c r="I313" i="4"/>
  <c r="I312" i="4"/>
  <c r="I311" i="4"/>
  <c r="I310" i="4"/>
  <c r="I309" i="4"/>
  <c r="I319" i="4" s="1"/>
  <c r="I287" i="4"/>
  <c r="I288" i="4"/>
  <c r="I289" i="4"/>
  <c r="I286" i="4"/>
  <c r="I296" i="4" s="1"/>
  <c r="I263" i="4"/>
  <c r="I241" i="4"/>
  <c r="I242" i="4"/>
  <c r="I243" i="4"/>
  <c r="I240" i="4"/>
  <c r="I250" i="4" s="1"/>
  <c r="I217" i="4"/>
  <c r="I227" i="4"/>
  <c r="I194" i="4"/>
  <c r="I204" i="4" s="1"/>
  <c r="I179" i="4"/>
  <c r="I178" i="4"/>
  <c r="I177" i="4"/>
  <c r="I176" i="4"/>
  <c r="I175" i="4"/>
  <c r="I174" i="4"/>
  <c r="I173" i="4"/>
  <c r="I172" i="4"/>
  <c r="I171" i="4"/>
  <c r="I181" i="4" s="1"/>
  <c r="I149" i="4"/>
  <c r="I150" i="4"/>
  <c r="I151" i="4"/>
  <c r="I152" i="4"/>
  <c r="I153" i="4"/>
  <c r="I154" i="4"/>
  <c r="I155" i="4"/>
  <c r="I156" i="4"/>
  <c r="I157" i="4"/>
  <c r="I148" i="4"/>
  <c r="C124" i="2"/>
  <c r="C135" i="2"/>
  <c r="I158" i="4"/>
  <c r="I134" i="4"/>
  <c r="I133" i="4"/>
  <c r="I132" i="4"/>
  <c r="I131" i="4"/>
  <c r="I130" i="4"/>
  <c r="I129" i="4"/>
  <c r="I128" i="4"/>
  <c r="I127" i="4"/>
  <c r="I126" i="4"/>
  <c r="I125" i="4"/>
  <c r="I135" i="4" s="1"/>
  <c r="I103" i="4"/>
  <c r="I104" i="4"/>
  <c r="I105" i="4"/>
  <c r="I106" i="4"/>
  <c r="I107" i="4"/>
  <c r="I108" i="4"/>
  <c r="I109" i="4"/>
  <c r="I110" i="4"/>
  <c r="I111" i="4"/>
  <c r="I102" i="4"/>
  <c r="I112" i="4"/>
  <c r="I80" i="4"/>
  <c r="I81" i="4"/>
  <c r="I82" i="4"/>
  <c r="I83" i="4"/>
  <c r="I84" i="4"/>
  <c r="I85" i="4"/>
  <c r="I86" i="4"/>
  <c r="I87" i="4"/>
  <c r="I88" i="4"/>
  <c r="I79" i="4"/>
  <c r="I89" i="4"/>
  <c r="C138" i="2"/>
  <c r="I58" i="4"/>
  <c r="I57" i="4"/>
  <c r="I56" i="4"/>
  <c r="I42" i="4"/>
  <c r="I41" i="4"/>
  <c r="I40" i="4"/>
  <c r="I39" i="4"/>
  <c r="I38" i="4"/>
  <c r="I37" i="4"/>
  <c r="I36" i="4"/>
  <c r="I35" i="4"/>
  <c r="I34" i="4"/>
  <c r="I33" i="4"/>
  <c r="I43" i="4" s="1"/>
  <c r="B120" i="2"/>
  <c r="I11" i="4"/>
  <c r="I12" i="4"/>
  <c r="I13" i="4"/>
  <c r="I14" i="4"/>
  <c r="I15" i="4"/>
  <c r="I16" i="4"/>
  <c r="I17" i="4"/>
  <c r="I18" i="4"/>
  <c r="I19" i="4"/>
  <c r="I10" i="4"/>
  <c r="G579" i="3"/>
  <c r="G580" i="3" s="1"/>
  <c r="G575" i="3"/>
  <c r="G574" i="3"/>
  <c r="G569" i="3"/>
  <c r="G568" i="3"/>
  <c r="G567" i="3"/>
  <c r="G563" i="3"/>
  <c r="G562" i="3"/>
  <c r="G561" i="3"/>
  <c r="G560" i="3"/>
  <c r="G559" i="3"/>
  <c r="G558" i="3"/>
  <c r="G557" i="3"/>
  <c r="G556" i="3"/>
  <c r="G536" i="3"/>
  <c r="G537" i="3" s="1"/>
  <c r="G532" i="3"/>
  <c r="G531" i="3"/>
  <c r="G526" i="3"/>
  <c r="G525" i="3"/>
  <c r="G524" i="3"/>
  <c r="G520" i="3"/>
  <c r="G519" i="3"/>
  <c r="G518" i="3"/>
  <c r="G517" i="3"/>
  <c r="G516" i="3"/>
  <c r="G515" i="3"/>
  <c r="G514" i="3"/>
  <c r="G513" i="3"/>
  <c r="G491" i="3"/>
  <c r="G492" i="3" s="1"/>
  <c r="G487" i="3"/>
  <c r="G486" i="3"/>
  <c r="G481" i="3"/>
  <c r="G480" i="3"/>
  <c r="G479" i="3"/>
  <c r="G475" i="3"/>
  <c r="G474" i="3"/>
  <c r="G473" i="3"/>
  <c r="G472" i="3"/>
  <c r="G471" i="3"/>
  <c r="G470" i="3"/>
  <c r="G469" i="3"/>
  <c r="G468" i="3"/>
  <c r="G445" i="3"/>
  <c r="G446" i="3" s="1"/>
  <c r="G441" i="3"/>
  <c r="G440" i="3"/>
  <c r="G435" i="3"/>
  <c r="G434" i="3"/>
  <c r="G433" i="3"/>
  <c r="G429" i="3"/>
  <c r="G428" i="3"/>
  <c r="G427" i="3"/>
  <c r="G426" i="3"/>
  <c r="G425" i="3"/>
  <c r="G424" i="3"/>
  <c r="G423" i="3"/>
  <c r="G422" i="3"/>
  <c r="G399" i="3"/>
  <c r="G400" i="3" s="1"/>
  <c r="G395" i="3"/>
  <c r="G394" i="3"/>
  <c r="G389" i="3"/>
  <c r="G388" i="3"/>
  <c r="G387" i="3"/>
  <c r="G383" i="3"/>
  <c r="G382" i="3"/>
  <c r="G381" i="3"/>
  <c r="G380" i="3"/>
  <c r="G379" i="3"/>
  <c r="G378" i="3"/>
  <c r="G377" i="3"/>
  <c r="G376" i="3"/>
  <c r="G352" i="3"/>
  <c r="G353" i="3" s="1"/>
  <c r="G348" i="3"/>
  <c r="G347" i="3"/>
  <c r="G342" i="3"/>
  <c r="G341" i="3"/>
  <c r="G340" i="3"/>
  <c r="G336" i="3"/>
  <c r="G335" i="3"/>
  <c r="G334" i="3"/>
  <c r="G333" i="3"/>
  <c r="G332" i="3"/>
  <c r="G331" i="3"/>
  <c r="G330" i="3"/>
  <c r="G329" i="3"/>
  <c r="G309" i="3"/>
  <c r="G304" i="3"/>
  <c r="G303" i="3"/>
  <c r="G298" i="3"/>
  <c r="G297" i="3"/>
  <c r="G296" i="3"/>
  <c r="G292" i="3"/>
  <c r="G291" i="3"/>
  <c r="G290" i="3"/>
  <c r="G289" i="3"/>
  <c r="G288" i="3"/>
  <c r="G287" i="3"/>
  <c r="G286" i="3"/>
  <c r="G285" i="3"/>
  <c r="G265" i="3"/>
  <c r="G260" i="3"/>
  <c r="G259" i="3"/>
  <c r="G254" i="3"/>
  <c r="G253" i="3"/>
  <c r="G252" i="3"/>
  <c r="G248" i="3"/>
  <c r="G247" i="3"/>
  <c r="G246" i="3"/>
  <c r="G245" i="3"/>
  <c r="G244" i="3"/>
  <c r="G243" i="3"/>
  <c r="G242" i="3"/>
  <c r="G241" i="3"/>
  <c r="G219" i="3"/>
  <c r="G220" i="3" s="1"/>
  <c r="G215" i="3"/>
  <c r="G214" i="3"/>
  <c r="G209" i="3"/>
  <c r="G208" i="3"/>
  <c r="G207" i="3"/>
  <c r="G203" i="3"/>
  <c r="G202" i="3"/>
  <c r="G201" i="3"/>
  <c r="G200" i="3"/>
  <c r="G199" i="3"/>
  <c r="G198" i="3"/>
  <c r="G197" i="3"/>
  <c r="G196" i="3"/>
  <c r="G173" i="3"/>
  <c r="G168" i="3"/>
  <c r="G167" i="3"/>
  <c r="G162" i="3"/>
  <c r="G161" i="3"/>
  <c r="G160" i="3"/>
  <c r="G156" i="3"/>
  <c r="G155" i="3"/>
  <c r="G154" i="3"/>
  <c r="G153" i="3"/>
  <c r="G152" i="3"/>
  <c r="G151" i="3"/>
  <c r="G150" i="3"/>
  <c r="G149" i="3"/>
  <c r="G127" i="3"/>
  <c r="G128" i="3" s="1"/>
  <c r="G123" i="3"/>
  <c r="G122" i="3"/>
  <c r="G117" i="3"/>
  <c r="G116" i="3"/>
  <c r="G115" i="3"/>
  <c r="G111" i="3"/>
  <c r="G110" i="3"/>
  <c r="G109" i="3"/>
  <c r="G108" i="3"/>
  <c r="G107" i="3"/>
  <c r="G106" i="3"/>
  <c r="G105" i="3"/>
  <c r="G104" i="3"/>
  <c r="G81" i="3"/>
  <c r="G82" i="3" s="1"/>
  <c r="G77" i="3"/>
  <c r="G76" i="3"/>
  <c r="G71" i="3"/>
  <c r="G70" i="3"/>
  <c r="G69" i="3"/>
  <c r="G65" i="3"/>
  <c r="G64" i="3"/>
  <c r="G63" i="3"/>
  <c r="G62" i="3"/>
  <c r="G38" i="3"/>
  <c r="G39" i="3" s="1"/>
  <c r="G34" i="3"/>
  <c r="G31" i="3"/>
  <c r="G26" i="3"/>
  <c r="G23" i="3"/>
  <c r="G19" i="3"/>
  <c r="G14" i="3"/>
  <c r="G13" i="3"/>
  <c r="G12" i="3"/>
  <c r="G11" i="3"/>
  <c r="D22" i="1"/>
  <c r="D21" i="1"/>
  <c r="D18" i="1"/>
  <c r="D17" i="1"/>
  <c r="D16" i="1"/>
  <c r="D13" i="1"/>
  <c r="D12" i="1"/>
  <c r="D11" i="1"/>
  <c r="D10" i="1"/>
  <c r="C137" i="2"/>
  <c r="D5" i="1"/>
  <c r="D126" i="2"/>
  <c r="C132" i="2" s="1"/>
  <c r="G114" i="2"/>
  <c r="H114" i="2" s="1"/>
  <c r="E114" i="2"/>
  <c r="E115" i="2" s="1"/>
  <c r="G113" i="2"/>
  <c r="E103" i="2"/>
  <c r="E104" i="2" s="1"/>
  <c r="G102" i="2"/>
  <c r="E95" i="2"/>
  <c r="E96" i="2" s="1"/>
  <c r="E94" i="2"/>
  <c r="G94" i="2" s="1"/>
  <c r="H94" i="2" s="1"/>
  <c r="G93" i="2"/>
  <c r="E78" i="2"/>
  <c r="E79" i="2" s="1"/>
  <c r="E80" i="2" s="1"/>
  <c r="G77" i="2"/>
  <c r="E66" i="2"/>
  <c r="E67" i="2" s="1"/>
  <c r="G65" i="2"/>
  <c r="E50" i="2"/>
  <c r="E51" i="2" s="1"/>
  <c r="G49" i="2"/>
  <c r="E34" i="2"/>
  <c r="E35" i="2" s="1"/>
  <c r="G33" i="2"/>
  <c r="E23" i="2"/>
  <c r="E24" i="2" s="1"/>
  <c r="E22" i="2"/>
  <c r="G22" i="2" s="1"/>
  <c r="H22" i="2" s="1"/>
  <c r="G21" i="2"/>
  <c r="G9" i="2"/>
  <c r="H9" i="2" s="1"/>
  <c r="E9" i="2"/>
  <c r="E10" i="2" s="1"/>
  <c r="G8" i="2"/>
  <c r="G255" i="3" l="1"/>
  <c r="F258" i="3" s="1"/>
  <c r="G258" i="3" s="1"/>
  <c r="G261" i="3" s="1"/>
  <c r="G210" i="3"/>
  <c r="F213" i="3" s="1"/>
  <c r="G213" i="3" s="1"/>
  <c r="G216" i="3" s="1"/>
  <c r="G390" i="3"/>
  <c r="F393" i="3" s="1"/>
  <c r="G393" i="3" s="1"/>
  <c r="G396" i="3" s="1"/>
  <c r="G570" i="3"/>
  <c r="F573" i="3" s="1"/>
  <c r="G573" i="3" s="1"/>
  <c r="G576" i="3" s="1"/>
  <c r="G249" i="3"/>
  <c r="G267" i="3" s="1"/>
  <c r="E12" i="1" s="1"/>
  <c r="F12" i="1" s="1"/>
  <c r="G66" i="3"/>
  <c r="G430" i="3"/>
  <c r="G436" i="3"/>
  <c r="F439" i="3" s="1"/>
  <c r="G439" i="3" s="1"/>
  <c r="G442" i="3" s="1"/>
  <c r="G27" i="3"/>
  <c r="F30" i="3" s="1"/>
  <c r="G30" i="3" s="1"/>
  <c r="G35" i="3" s="1"/>
  <c r="G204" i="3"/>
  <c r="G157" i="3"/>
  <c r="G337" i="3"/>
  <c r="G564" i="3"/>
  <c r="G112" i="3"/>
  <c r="G118" i="3"/>
  <c r="F121" i="3" s="1"/>
  <c r="G121" i="3" s="1"/>
  <c r="G124" i="3" s="1"/>
  <c r="G293" i="3"/>
  <c r="G299" i="3"/>
  <c r="F302" i="3" s="1"/>
  <c r="G302" i="3" s="1"/>
  <c r="G305" i="3" s="1"/>
  <c r="G482" i="3"/>
  <c r="F485" i="3" s="1"/>
  <c r="G485" i="3" s="1"/>
  <c r="G488" i="3" s="1"/>
  <c r="G384" i="3"/>
  <c r="I66" i="4"/>
  <c r="G163" i="3"/>
  <c r="F166" i="3" s="1"/>
  <c r="G166" i="3" s="1"/>
  <c r="G169" i="3" s="1"/>
  <c r="I273" i="4"/>
  <c r="I20" i="4"/>
  <c r="G527" i="3"/>
  <c r="F530" i="3" s="1"/>
  <c r="G530" i="3" s="1"/>
  <c r="G533" i="3" s="1"/>
  <c r="G521" i="3"/>
  <c r="G476" i="3"/>
  <c r="G343" i="3"/>
  <c r="G72" i="3"/>
  <c r="F75" i="3" s="1"/>
  <c r="G75" i="3" s="1"/>
  <c r="G78" i="3" s="1"/>
  <c r="G20" i="3"/>
  <c r="G78" i="2"/>
  <c r="H78" i="2" s="1"/>
  <c r="E81" i="2"/>
  <c r="G80" i="2"/>
  <c r="E25" i="2"/>
  <c r="G24" i="2"/>
  <c r="H24" i="2" s="1"/>
  <c r="G35" i="2"/>
  <c r="E36" i="2"/>
  <c r="G67" i="2"/>
  <c r="H67" i="2" s="1"/>
  <c r="E68" i="2"/>
  <c r="E97" i="2"/>
  <c r="G97" i="2" s="1"/>
  <c r="G96" i="2"/>
  <c r="E105" i="2"/>
  <c r="G104" i="2"/>
  <c r="E11" i="2"/>
  <c r="G10" i="2"/>
  <c r="G51" i="2"/>
  <c r="E52" i="2"/>
  <c r="G115" i="2"/>
  <c r="E116" i="2"/>
  <c r="G23" i="2"/>
  <c r="H23" i="2" s="1"/>
  <c r="G79" i="2"/>
  <c r="H79" i="2" s="1"/>
  <c r="G95" i="2"/>
  <c r="H95" i="2" s="1"/>
  <c r="G103" i="2"/>
  <c r="G34" i="2"/>
  <c r="G50" i="2"/>
  <c r="G66" i="2"/>
  <c r="G448" i="3" l="1"/>
  <c r="E18" i="1" s="1"/>
  <c r="F18" i="1" s="1"/>
  <c r="G311" i="3"/>
  <c r="E13" i="1" s="1"/>
  <c r="F13" i="1" s="1"/>
  <c r="G402" i="3"/>
  <c r="E17" i="1" s="1"/>
  <c r="F17" i="1" s="1"/>
  <c r="G222" i="3"/>
  <c r="E11" i="1" s="1"/>
  <c r="F11" i="1" s="1"/>
  <c r="G84" i="3"/>
  <c r="E8" i="1" s="1"/>
  <c r="G130" i="3"/>
  <c r="E9" i="1" s="1"/>
  <c r="F9" i="1" s="1"/>
  <c r="E23" i="1"/>
  <c r="F23" i="1" s="1"/>
  <c r="G494" i="3"/>
  <c r="E21" i="1" s="1"/>
  <c r="F21" i="1" s="1"/>
  <c r="G175" i="3"/>
  <c r="G539" i="3"/>
  <c r="E22" i="1" s="1"/>
  <c r="F22" i="1" s="1"/>
  <c r="F346" i="3"/>
  <c r="G346" i="3" s="1"/>
  <c r="G349" i="3" s="1"/>
  <c r="G355" i="3" s="1"/>
  <c r="E16" i="1" s="1"/>
  <c r="F16" i="1" s="1"/>
  <c r="G41" i="3"/>
  <c r="E5" i="1" s="1"/>
  <c r="F5" i="1" s="1"/>
  <c r="F6" i="1" s="1"/>
  <c r="H104" i="2"/>
  <c r="H80" i="2"/>
  <c r="H10" i="2"/>
  <c r="H97" i="2"/>
  <c r="H103" i="2"/>
  <c r="E106" i="2"/>
  <c r="G105" i="2"/>
  <c r="H105" i="2" s="1"/>
  <c r="G36" i="2"/>
  <c r="H36" i="2" s="1"/>
  <c r="E37" i="2"/>
  <c r="I93" i="2"/>
  <c r="J93" i="2" s="1"/>
  <c r="I98" i="2" s="1"/>
  <c r="I99" i="2" s="1"/>
  <c r="H96" i="2"/>
  <c r="H98" i="2" s="1"/>
  <c r="H99" i="2" s="1"/>
  <c r="H35" i="2"/>
  <c r="H50" i="2"/>
  <c r="H34" i="2"/>
  <c r="E117" i="2"/>
  <c r="G116" i="2"/>
  <c r="H116" i="2" s="1"/>
  <c r="H115" i="2"/>
  <c r="E53" i="2"/>
  <c r="G52" i="2"/>
  <c r="H52" i="2" s="1"/>
  <c r="H51" i="2"/>
  <c r="E69" i="2"/>
  <c r="G68" i="2"/>
  <c r="H68" i="2" s="1"/>
  <c r="G25" i="2"/>
  <c r="E26" i="2"/>
  <c r="G11" i="2"/>
  <c r="H11" i="2" s="1"/>
  <c r="E12" i="2"/>
  <c r="G81" i="2"/>
  <c r="H81" i="2" s="1"/>
  <c r="E82" i="2"/>
  <c r="H66" i="2"/>
  <c r="F19" i="1" l="1"/>
  <c r="F24" i="1"/>
  <c r="E10" i="1"/>
  <c r="F10" i="1" s="1"/>
  <c r="E107" i="2"/>
  <c r="G106" i="2"/>
  <c r="H106" i="2" s="1"/>
  <c r="E54" i="2"/>
  <c r="G53" i="2"/>
  <c r="H53" i="2" s="1"/>
  <c r="E70" i="2"/>
  <c r="G69" i="2"/>
  <c r="E83" i="2"/>
  <c r="G82" i="2"/>
  <c r="H82" i="2" s="1"/>
  <c r="E13" i="2"/>
  <c r="G12" i="2"/>
  <c r="H12" i="2" s="1"/>
  <c r="E27" i="2"/>
  <c r="G26" i="2"/>
  <c r="H26" i="2" s="1"/>
  <c r="H25" i="2"/>
  <c r="E118" i="2"/>
  <c r="G118" i="2" s="1"/>
  <c r="H118" i="2" s="1"/>
  <c r="G117" i="2"/>
  <c r="E38" i="2"/>
  <c r="G37" i="2"/>
  <c r="H37" i="2" s="1"/>
  <c r="E14" i="2" l="1"/>
  <c r="G13" i="2"/>
  <c r="H13" i="2" s="1"/>
  <c r="G54" i="2"/>
  <c r="H54" i="2" s="1"/>
  <c r="E55" i="2"/>
  <c r="G38" i="2"/>
  <c r="H38" i="2" s="1"/>
  <c r="E39" i="2"/>
  <c r="H117" i="2"/>
  <c r="H119" i="2" s="1"/>
  <c r="I113" i="2"/>
  <c r="J113" i="2" s="1"/>
  <c r="I119" i="2" s="1"/>
  <c r="G83" i="2"/>
  <c r="E84" i="2"/>
  <c r="E28" i="2"/>
  <c r="G28" i="2" s="1"/>
  <c r="G27" i="2"/>
  <c r="G107" i="2"/>
  <c r="H107" i="2" s="1"/>
  <c r="E108" i="2"/>
  <c r="G108" i="2" s="1"/>
  <c r="H108" i="2" s="1"/>
  <c r="H69" i="2"/>
  <c r="G70" i="2"/>
  <c r="H70" i="2" s="1"/>
  <c r="E71" i="2"/>
  <c r="H109" i="2" l="1"/>
  <c r="H110" i="2" s="1"/>
  <c r="I102" i="2"/>
  <c r="J102" i="2" s="1"/>
  <c r="I109" i="2" s="1"/>
  <c r="I110" i="2" s="1"/>
  <c r="K65" i="2"/>
  <c r="H28" i="2"/>
  <c r="E56" i="2"/>
  <c r="G55" i="2"/>
  <c r="H55" i="2" s="1"/>
  <c r="G84" i="2"/>
  <c r="H84" i="2" s="1"/>
  <c r="E85" i="2"/>
  <c r="H27" i="2"/>
  <c r="I21" i="2"/>
  <c r="J21" i="2" s="1"/>
  <c r="I29" i="2" s="1"/>
  <c r="I30" i="2" s="1"/>
  <c r="I120" i="2"/>
  <c r="G14" i="2"/>
  <c r="H14" i="2" s="1"/>
  <c r="E15" i="2"/>
  <c r="H120" i="2"/>
  <c r="H83" i="2"/>
  <c r="E72" i="2"/>
  <c r="G72" i="2" s="1"/>
  <c r="H72" i="2" s="1"/>
  <c r="G71" i="2"/>
  <c r="E40" i="2"/>
  <c r="G39" i="2"/>
  <c r="H71" i="2" l="1"/>
  <c r="H73" i="2" s="1"/>
  <c r="H74" i="2" s="1"/>
  <c r="I65" i="2"/>
  <c r="J65" i="2" s="1"/>
  <c r="I73" i="2" s="1"/>
  <c r="I74" i="2" s="1"/>
  <c r="E86" i="2"/>
  <c r="G85" i="2"/>
  <c r="H85" i="2" s="1"/>
  <c r="H39" i="2"/>
  <c r="E41" i="2"/>
  <c r="G40" i="2"/>
  <c r="H40" i="2" s="1"/>
  <c r="E16" i="2"/>
  <c r="G16" i="2" s="1"/>
  <c r="G15" i="2"/>
  <c r="H15" i="2" s="1"/>
  <c r="E57" i="2"/>
  <c r="G56" i="2"/>
  <c r="H29" i="2"/>
  <c r="H30" i="2" s="1"/>
  <c r="H56" i="2" l="1"/>
  <c r="G41" i="2"/>
  <c r="H41" i="2" s="1"/>
  <c r="E42" i="2"/>
  <c r="E58" i="2"/>
  <c r="G57" i="2"/>
  <c r="H57" i="2" s="1"/>
  <c r="G86" i="2"/>
  <c r="H86" i="2" s="1"/>
  <c r="E87" i="2"/>
  <c r="H16" i="2"/>
  <c r="H17" i="2" s="1"/>
  <c r="H18" i="2" s="1"/>
  <c r="I8" i="2"/>
  <c r="J8" i="2" s="1"/>
  <c r="I17" i="2" s="1"/>
  <c r="I18" i="2" s="1"/>
  <c r="E88" i="2" l="1"/>
  <c r="G88" i="2" s="1"/>
  <c r="G87" i="2"/>
  <c r="H87" i="2" s="1"/>
  <c r="E59" i="2"/>
  <c r="G58" i="2"/>
  <c r="H58" i="2" s="1"/>
  <c r="E43" i="2"/>
  <c r="G42" i="2"/>
  <c r="H42" i="2" s="1"/>
  <c r="G43" i="2" l="1"/>
  <c r="H43" i="2" s="1"/>
  <c r="E44" i="2"/>
  <c r="G44" i="2" s="1"/>
  <c r="E60" i="2"/>
  <c r="G60" i="2" s="1"/>
  <c r="G59" i="2"/>
  <c r="H59" i="2" s="1"/>
  <c r="H88" i="2"/>
  <c r="H89" i="2" s="1"/>
  <c r="H90" i="2" s="1"/>
  <c r="I77" i="2"/>
  <c r="J77" i="2" s="1"/>
  <c r="I89" i="2" s="1"/>
  <c r="I90" i="2" l="1"/>
  <c r="H60" i="2"/>
  <c r="H61" i="2" s="1"/>
  <c r="H62" i="2" s="1"/>
  <c r="I49" i="2"/>
  <c r="J49" i="2" s="1"/>
  <c r="I61" i="2" s="1"/>
  <c r="I62" i="2" s="1"/>
  <c r="H44" i="2"/>
  <c r="H45" i="2" s="1"/>
  <c r="H46" i="2" s="1"/>
  <c r="I33" i="2"/>
  <c r="J33" i="2" s="1"/>
  <c r="I45" i="2" s="1"/>
  <c r="I46" i="2" s="1"/>
  <c r="C125" i="2" l="1"/>
  <c r="D124" i="2"/>
  <c r="D125" i="2"/>
  <c r="C134" i="2" s="1"/>
  <c r="C133" i="2" l="1"/>
  <c r="D8" i="1" s="1"/>
  <c r="C136" i="2"/>
  <c r="F8" i="1" l="1"/>
  <c r="F14" i="1" s="1"/>
</calcChain>
</file>

<file path=xl/sharedStrings.xml><?xml version="1.0" encoding="utf-8"?>
<sst xmlns="http://schemas.openxmlformats.org/spreadsheetml/2006/main" count="1336" uniqueCount="235">
  <si>
    <t>1.1</t>
  </si>
  <si>
    <t>ACTIVIDADES PRELIMINARES</t>
  </si>
  <si>
    <t>Localización y Replanteo topográfico</t>
  </si>
  <si>
    <t>1.2</t>
  </si>
  <si>
    <t>1.2.1</t>
  </si>
  <si>
    <t>Excavación a màquina en material heterogéneo seco a cualquer profundidad.</t>
  </si>
  <si>
    <t>1.2.2</t>
  </si>
  <si>
    <t>Entibado temporal en tablón de madera para excavaciones bajo cualquier altura y grado de humedad. Incluye suministro, transporte y colocación de elementos en madera.</t>
  </si>
  <si>
    <t>1.2.3</t>
  </si>
  <si>
    <t>1.2.4</t>
  </si>
  <si>
    <t>Llenos en material proveniente de la excavación, compactados mecánicamente hasta obtener una densidad igual o mayor del 90% de la densidad obtenida en el ensayo del próctor Modificado.</t>
  </si>
  <si>
    <t>1.2.5</t>
  </si>
  <si>
    <t>Llenos en material proveniente de cantera, compactados mecánicamente hasta obtener una densidad igual o mayor del 90% de la densidad obtenida en el ensayo del próctor Modificado.</t>
  </si>
  <si>
    <t>1.2.6</t>
  </si>
  <si>
    <t>Cargue manual, retiro y disposición final de material sobrante a cualquier distancia, medido en sitio.</t>
  </si>
  <si>
    <t>1.3</t>
  </si>
  <si>
    <t>1.3.1</t>
  </si>
  <si>
    <t>1.3.2</t>
  </si>
  <si>
    <t>1.4</t>
  </si>
  <si>
    <t>1.4.1</t>
  </si>
  <si>
    <t>1.4.2</t>
  </si>
  <si>
    <t>1.4.3</t>
  </si>
  <si>
    <t>Relleno con Arena Gruesa para colchon de tuberia</t>
  </si>
  <si>
    <t>Instalaciòn de Tuberìa perfilada 8"</t>
  </si>
  <si>
    <t>Instalación de Tuberìa perfilada 6"</t>
  </si>
  <si>
    <t>ML</t>
  </si>
  <si>
    <t>M3</t>
  </si>
  <si>
    <t>M2</t>
  </si>
  <si>
    <t>UNDIDAD</t>
  </si>
  <si>
    <t>CANTIDAD</t>
  </si>
  <si>
    <t>un</t>
  </si>
  <si>
    <t>ml</t>
  </si>
  <si>
    <t>Construcción pozo de inspecciòn sanitario de h= 0 a 2.5 ml  diametro 1,5 ml  en concreto de 21 Mpa.  Incluye tapa, herrajes, acero de refuerzo.</t>
  </si>
  <si>
    <t>VR UNITARIO</t>
  </si>
  <si>
    <t>VR. TOTAL</t>
  </si>
  <si>
    <t>SUBTOTAL PRELIMINARES</t>
  </si>
  <si>
    <t>SUBTOTAL MOVIMIENTO DE TIERRAS</t>
  </si>
  <si>
    <t>SUBTOTAL  INSTALACION TUBERIAS Y ACCESORIOS</t>
  </si>
  <si>
    <t>Instalaciòn de Kit silla Yee de 8 a 6"</t>
  </si>
  <si>
    <t>SUBTOTAL POZOS DE INSPECCION Y CAJA REGISTROS</t>
  </si>
  <si>
    <t>POZOS DE INSPECCION y CAJAS REGISTROS  EN CONCRETO</t>
  </si>
  <si>
    <t>UN</t>
  </si>
  <si>
    <t>Tuberìa perfilada tipo Novafort de 8"</t>
  </si>
  <si>
    <t>Tuberìa perfilada tipo Novafort de 6"</t>
  </si>
  <si>
    <t>Kit silla Yee sanitaria de 8" a 6"</t>
  </si>
  <si>
    <t>OBRAS E INSTALACIONES</t>
  </si>
  <si>
    <t>2.1.1</t>
  </si>
  <si>
    <t>2.1.2</t>
  </si>
  <si>
    <t>2.1.3</t>
  </si>
  <si>
    <t>PERFORACIÓN DE CÁMARA DE INSPECCIÓN EXISTENTE, ABOCADA PARA NUEVA TUBERÍA Ø MENOR DE 400 MM Y RESANE.</t>
  </si>
  <si>
    <t>CONSTRUCCIÓN DE CAJA DE EMPALME PARA DOMICILIARIA A LA RED EN ANDEN O ZONA VERDE DE  0.50 M ANCHO LIBRE INT.  PROFUNDIDAD DE 0.80 A 1.20 M E= 0.10 M INCLUYE TAPA EN CONCRETO DE 0.60 X 0.60 M.</t>
  </si>
  <si>
    <t>AMPLIACION SISTEMA DE ALCANTARILLADO EN EL BARRIO 7 DE MAYO DEL MUNICIPIO DE FONSECA, LA GUAJIRA</t>
  </si>
  <si>
    <t>PRESUPUESTO DE OBRA</t>
  </si>
  <si>
    <t xml:space="preserve">CARTERA  DE ALCANTARILLADO </t>
  </si>
  <si>
    <t>MUNICIPIO DE  FONSECAA DEPARTAMENTO DE LA GUAJIRA</t>
  </si>
  <si>
    <t>BARRIO 7 DE MAYO</t>
  </si>
  <si>
    <t xml:space="preserve">CONTRATISTA  ING        </t>
  </si>
  <si>
    <r>
      <t xml:space="preserve">SEPTIEMBRE  DE 2026               TOP.  BELQUIS  PERALTA. </t>
    </r>
    <r>
      <rPr>
        <b/>
        <sz val="8"/>
        <rFont val="Arial"/>
        <family val="2"/>
      </rPr>
      <t>LIC. N° 01-19575</t>
    </r>
  </si>
  <si>
    <t>TRMO 1</t>
  </si>
  <si>
    <t>TRAMO CALLE 30 ENTRE CARRERA 15 Y 15A    P=0.4%  D=8"</t>
  </si>
  <si>
    <t>12 DOMCLRIAS</t>
  </si>
  <si>
    <t>ACOMETIDAS</t>
  </si>
  <si>
    <t>N° POZO</t>
  </si>
  <si>
    <t>ABSCISADO</t>
  </si>
  <si>
    <t xml:space="preserve">Cota Terreno </t>
  </si>
  <si>
    <t>Cota Clave</t>
  </si>
  <si>
    <t xml:space="preserve">Cota Batea </t>
  </si>
  <si>
    <t>COLCHON</t>
  </si>
  <si>
    <t>CORTE</t>
  </si>
  <si>
    <t>VOLUMEN</t>
  </si>
  <si>
    <t>CORTE PROMEDIO</t>
  </si>
  <si>
    <t>VOLUMEN PROMEDIO</t>
  </si>
  <si>
    <t>V, EXCV</t>
  </si>
  <si>
    <t>V. RELLENO</t>
  </si>
  <si>
    <t>TRMO 2</t>
  </si>
  <si>
    <t>TRAMO CALLE 29 ENTRE CARRERAS 15A Y 16     P=0.36%  D=8"</t>
  </si>
  <si>
    <t>5 DOMCLRIAS</t>
  </si>
  <si>
    <t>TRMO 3</t>
  </si>
  <si>
    <t>TRAMO CALLE 29 ENTRE CARRERAS 15 Y 15A     P=0.36%  D=8"</t>
  </si>
  <si>
    <t>16 DOMCLRIAS</t>
  </si>
  <si>
    <t>TRMO 4</t>
  </si>
  <si>
    <t>TRAMO CALLE 28 ENTRE CARRERAS 165 Y CANAL     P=0.21%  D=8"</t>
  </si>
  <si>
    <t>10 DOMCLRIAS</t>
  </si>
  <si>
    <t>TRMO 5</t>
  </si>
  <si>
    <t>TRAMO CALLE 28 ENTRE CARRERAS 15A Y 16    P=0.21%  D=8"</t>
  </si>
  <si>
    <t>7 DOMCLRIAS</t>
  </si>
  <si>
    <t>TRMO 6</t>
  </si>
  <si>
    <t>TRAMO CALLE 28 ENTRE CARRERAS 15 Y 15A     P=0.21%  D=8"</t>
  </si>
  <si>
    <t>14 DOMCLRIAS</t>
  </si>
  <si>
    <t>TRMO 7</t>
  </si>
  <si>
    <t>TRAMO CALLE 27 ENTRE CARRERAS 15 Y CANAL    P=0.53%  D=8"</t>
  </si>
  <si>
    <t>3 DOMCLRIAS</t>
  </si>
  <si>
    <t>TRMO 8</t>
  </si>
  <si>
    <t>TRAMO CARRERA 15A ENTRE CALLES 29 Y 28    P=0.76%  D=8"</t>
  </si>
  <si>
    <t>TRMO 9</t>
  </si>
  <si>
    <t>TRAMO CARRERA 15A ENTRE CALLES 29 Y 28    P=1.07%  D=8"</t>
  </si>
  <si>
    <t>CANTIDADES ALCANTARILLADO</t>
  </si>
  <si>
    <t>Tuberia 8"</t>
  </si>
  <si>
    <t>Tuberia 6"</t>
  </si>
  <si>
    <t>UND</t>
  </si>
  <si>
    <t>VOLUMEN  EXCAVACION</t>
  </si>
  <si>
    <t>VOLUMEN  RELLENOS</t>
  </si>
  <si>
    <t>M4</t>
  </si>
  <si>
    <t>LONGT. DE TUB. DE 8"</t>
  </si>
  <si>
    <t>POZOS DE INSPECCION</t>
  </si>
  <si>
    <t>DOMICILIARIAS</t>
  </si>
  <si>
    <t>CAJAS DE REGISTROS</t>
  </si>
  <si>
    <t>Localizacion y replanteo</t>
  </si>
  <si>
    <t>Excavacion</t>
  </si>
  <si>
    <t>Relleno de la excavacion</t>
  </si>
  <si>
    <t>Relleno seleccionado</t>
  </si>
  <si>
    <t>Retiro sobrantes</t>
  </si>
  <si>
    <t>entibado</t>
  </si>
  <si>
    <t>Colchon de arena</t>
  </si>
  <si>
    <t>ANALISIS DE PRECIOS UNITARIOS</t>
  </si>
  <si>
    <t>Item:</t>
  </si>
  <si>
    <t>Unidad:</t>
  </si>
  <si>
    <t>Unidad</t>
  </si>
  <si>
    <t>Cant</t>
  </si>
  <si>
    <t>Precio x Unidad</t>
  </si>
  <si>
    <t>Valor Parcial</t>
  </si>
  <si>
    <t>Materiales</t>
  </si>
  <si>
    <t>Mano de obra</t>
  </si>
  <si>
    <t>Transporte</t>
  </si>
  <si>
    <t>Equipo</t>
  </si>
  <si>
    <t>Actividad:</t>
  </si>
  <si>
    <t>sub total</t>
  </si>
  <si>
    <t>Descripcion</t>
  </si>
  <si>
    <t>Rend</t>
  </si>
  <si>
    <t>Tarifa</t>
  </si>
  <si>
    <t>Salario</t>
  </si>
  <si>
    <t>Estaca de madera</t>
  </si>
  <si>
    <t>und</t>
  </si>
  <si>
    <t>Puntillas 2"</t>
  </si>
  <si>
    <t>lb</t>
  </si>
  <si>
    <t>Nylon</t>
  </si>
  <si>
    <t>m</t>
  </si>
  <si>
    <t>Cal</t>
  </si>
  <si>
    <t>kg</t>
  </si>
  <si>
    <t>Cuadrilla topografica (1 top + 2 cad)</t>
  </si>
  <si>
    <t>hh</t>
  </si>
  <si>
    <t>Herramienta meno (5% m.o)</t>
  </si>
  <si>
    <t>glb</t>
  </si>
  <si>
    <t>Equipo topografico</t>
  </si>
  <si>
    <t>m3</t>
  </si>
  <si>
    <t>Operador de maquina</t>
  </si>
  <si>
    <t>Ayudante</t>
  </si>
  <si>
    <t>Excavadora tipo pajarita</t>
  </si>
  <si>
    <t>m2</t>
  </si>
  <si>
    <t>Tablon de madera 10"x3m</t>
  </si>
  <si>
    <t>Parales 3"x3"x3m</t>
  </si>
  <si>
    <t>Codales</t>
  </si>
  <si>
    <t>p</t>
  </si>
  <si>
    <t>Puntilla de acero 4"</t>
  </si>
  <si>
    <t>Oficial</t>
  </si>
  <si>
    <t>Arena gruesa lavada puesta en obra</t>
  </si>
  <si>
    <t>Agua para humectacion</t>
  </si>
  <si>
    <t>Compactador tipo rana</t>
  </si>
  <si>
    <t>Material seleccionado de cantera</t>
  </si>
  <si>
    <t>Ayudante de limpieza</t>
  </si>
  <si>
    <t>Transporte al sitio de disposicion final</t>
  </si>
  <si>
    <t>Equipo de nivelacion</t>
  </si>
  <si>
    <t>Lubricante para junta elastica</t>
  </si>
  <si>
    <t>gal</t>
  </si>
  <si>
    <t>Limpiador tecnico pvc</t>
  </si>
  <si>
    <t>1.3.3</t>
  </si>
  <si>
    <t>Ruteadora de copa broca 6"</t>
  </si>
  <si>
    <t>Concreto 21 mpa</t>
  </si>
  <si>
    <t>Tapa y marco para trafico vehicular</t>
  </si>
  <si>
    <t>Acero de refuerzo</t>
  </si>
  <si>
    <t>Herrajes</t>
  </si>
  <si>
    <t>Aditivo impermeabilizante</t>
  </si>
  <si>
    <t>Alambre negro cal 18</t>
  </si>
  <si>
    <t>Mortero 1:3</t>
  </si>
  <si>
    <t>Alquiler de formaleta</t>
  </si>
  <si>
    <t>Vibrador de concreto</t>
  </si>
  <si>
    <t>marco en angulo</t>
  </si>
  <si>
    <t>Manijas de hizaje</t>
  </si>
  <si>
    <t>Formaletas</t>
  </si>
  <si>
    <t>Puntales de madera</t>
  </si>
  <si>
    <t>Martillo demoledor</t>
  </si>
  <si>
    <t>MEMORIAS DE CANTIDADES</t>
  </si>
  <si>
    <t>Descripcion:</t>
  </si>
  <si>
    <t>Ubicación</t>
  </si>
  <si>
    <t>Largo</t>
  </si>
  <si>
    <t>Ancho</t>
  </si>
  <si>
    <t>Alto</t>
  </si>
  <si>
    <t>Cant Elem</t>
  </si>
  <si>
    <t>Cant Parcial</t>
  </si>
  <si>
    <t>Total Item</t>
  </si>
  <si>
    <t>Tramo</t>
  </si>
  <si>
    <t>Calle 30 entre carreras 15 y 15a</t>
  </si>
  <si>
    <t>Calle 29 entre carreras 15 y 16</t>
  </si>
  <si>
    <t>Pozo 706 a MH 2</t>
  </si>
  <si>
    <t>Pozo 702 a MH 1</t>
  </si>
  <si>
    <t>MH 2 a MH 3</t>
  </si>
  <si>
    <t>Calle 28 entre carrera 15 y canal</t>
  </si>
  <si>
    <t>Pozo 693 a MH 4</t>
  </si>
  <si>
    <t>MH 4 a MH 5</t>
  </si>
  <si>
    <t>MH 5 a MH 6</t>
  </si>
  <si>
    <t>Calle 27 entre carrera 15 y canal</t>
  </si>
  <si>
    <t>Pozo 692 a MH 7</t>
  </si>
  <si>
    <t>Carrera 15a entre calles 28 y 29</t>
  </si>
  <si>
    <t>MH 2 a MH 4</t>
  </si>
  <si>
    <t>Carrera 16 entre calles 28 y 29</t>
  </si>
  <si>
    <t>MH 3 a MH 5</t>
  </si>
  <si>
    <t>Acometidas domiciliarias</t>
  </si>
  <si>
    <t>Todos los tramos</t>
  </si>
  <si>
    <t>Vol Exc</t>
  </si>
  <si>
    <t>Area Ent</t>
  </si>
  <si>
    <t>% Util</t>
  </si>
  <si>
    <t>Vol Rell</t>
  </si>
  <si>
    <t>Pozo 702</t>
  </si>
  <si>
    <t>Pozo 706</t>
  </si>
  <si>
    <t>Pozo 693</t>
  </si>
  <si>
    <t>Pozo 692</t>
  </si>
  <si>
    <t>transporte arena</t>
  </si>
  <si>
    <t>Transporte material</t>
  </si>
  <si>
    <t>SUMINISTRO E INSTALACION DE TUBERIAS Y ACCESORIOS</t>
  </si>
  <si>
    <t>Suministro e Instalaciòn de Tuberìa perfilada 8"</t>
  </si>
  <si>
    <t>Suministro e Instalación de Tuberìa perfilada 6"</t>
  </si>
  <si>
    <t>Suministro e Instalaciòn de Kit silla Yee de 8 a 6"</t>
  </si>
  <si>
    <t>Tuberia perfilada novafort 8"</t>
  </si>
  <si>
    <t>Solucion limpiadora para pvc</t>
  </si>
  <si>
    <t>VALOR TOTAL PROYECTO</t>
  </si>
  <si>
    <t>PRECIO TOTAL DE ITEM CON AIU 30%</t>
  </si>
  <si>
    <t xml:space="preserve">ADMINISTRACION </t>
  </si>
  <si>
    <t>IMPREVISTOS</t>
  </si>
  <si>
    <t>UTILIDAD</t>
  </si>
  <si>
    <t>Tuberia perfilada novafort 6"</t>
  </si>
  <si>
    <t>SUBTOTAL OBRAS E INSTALACIONES</t>
  </si>
  <si>
    <t>MOVIMIENTOS DE TIERRA</t>
  </si>
  <si>
    <t>Excavación a màquina en material heterogéneo seco a cualquier profundidad.</t>
  </si>
  <si>
    <t>Perforación de cámara de inspección existente, abocada para nueva tubería Ø menor de 400 mm y resane.</t>
  </si>
  <si>
    <t>Construcción de caja de empalme para domiciliaria a la red en anden o zona verde de 0.50 m ancho libre int.  profundidad de 0.80 a 1.20 m e= 0.10 m incluye tapa en concreto de 0.60 x 0.60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</si>
</sst>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[$-240A]dddd\ d&quot; de &quot;mmmm&quot; de &quot;yyyy;@"/>
    <numFmt numFmtId="165" formatCode="_-&quot;$&quot;\ * #,##0_-;\-&quot;$&quot;\ * #,##0_-;_-&quot;$&quot;\ * &quot;-&quot;??_-;_-@_-"/>
    <numFmt numFmtId="166" formatCode="0.000"/>
    <numFmt numFmtId="167" formatCode="0.0000"/>
    <numFmt numFmtId="168" formatCode="0.0"/>
    <numFmt numFmtId="169" formatCode="&quot;$&quot;\ #,##0.00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4"/>
      <name val="Arial"/>
      <family val="2"/>
    </font>
    <font>
      <b/>
      <sz val="8"/>
      <name val="Arial"/>
      <family val="2"/>
    </font>
    <font>
      <sz val="8"/>
      <color indexed="11"/>
      <name val="Arial"/>
      <family val="2"/>
    </font>
    <font>
      <b/>
      <sz val="11"/>
      <color indexed="18"/>
      <name val="Century Gothic"/>
      <family val="2"/>
    </font>
    <font>
      <b/>
      <sz val="10"/>
      <color rgb="FFFF0000"/>
      <name val="Century Gothic"/>
      <family val="2"/>
    </font>
    <font>
      <sz val="10"/>
      <name val="Century Gothic"/>
      <family val="2"/>
    </font>
    <font>
      <sz val="10"/>
      <color theme="1"/>
      <name val="Aptos Narrow"/>
      <family val="2"/>
      <scheme val="minor"/>
    </font>
    <font>
      <sz val="11"/>
      <color rgb="FF00B0F0"/>
      <name val="Aptos Narrow"/>
      <family val="2"/>
      <scheme val="minor"/>
    </font>
    <font>
      <sz val="10"/>
      <color rgb="FF00B0F0"/>
      <name val="Arial"/>
      <family val="2"/>
    </font>
    <font>
      <b/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1" fillId="0" borderId="0"/>
  </cellStyleXfs>
  <cellXfs count="213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164" fontId="8" fillId="0" borderId="2" xfId="3" applyFont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164" fontId="8" fillId="0" borderId="4" xfId="3" applyFont="1" applyBorder="1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165" fontId="0" fillId="2" borderId="2" xfId="1" applyNumberFormat="1" applyFont="1" applyFill="1" applyBorder="1"/>
    <xf numFmtId="165" fontId="2" fillId="0" borderId="2" xfId="1" applyNumberFormat="1" applyFont="1" applyBorder="1"/>
    <xf numFmtId="164" fontId="5" fillId="0" borderId="5" xfId="3" applyFont="1" applyBorder="1" applyAlignment="1">
      <alignment horizontal="right" vertical="center" wrapText="1"/>
    </xf>
    <xf numFmtId="0" fontId="8" fillId="0" borderId="2" xfId="3" applyNumberFormat="1" applyFont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5" fillId="0" borderId="7" xfId="0" applyFont="1" applyBorder="1"/>
    <xf numFmtId="0" fontId="15" fillId="0" borderId="8" xfId="0" applyFont="1" applyBorder="1"/>
    <xf numFmtId="0" fontId="15" fillId="0" borderId="9" xfId="0" applyFont="1" applyBorder="1"/>
    <xf numFmtId="0" fontId="15" fillId="0" borderId="1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1" fontId="6" fillId="0" borderId="13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2" fontId="7" fillId="0" borderId="15" xfId="0" applyNumberFormat="1" applyFont="1" applyBorder="1" applyAlignment="1">
      <alignment horizontal="center"/>
    </xf>
    <xf numFmtId="166" fontId="7" fillId="0" borderId="16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6" xfId="0" applyFon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166" fontId="20" fillId="0" borderId="20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1" fillId="0" borderId="2" xfId="0" applyFont="1" applyBorder="1"/>
    <xf numFmtId="166" fontId="11" fillId="0" borderId="4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1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1" fillId="0" borderId="2" xfId="0" applyFont="1" applyBorder="1"/>
    <xf numFmtId="2" fontId="0" fillId="0" borderId="2" xfId="0" applyNumberFormat="1" applyBorder="1"/>
    <xf numFmtId="0" fontId="17" fillId="0" borderId="2" xfId="0" applyFont="1" applyBorder="1" applyAlignment="1">
      <alignment horizontal="center"/>
    </xf>
    <xf numFmtId="0" fontId="4" fillId="0" borderId="13" xfId="3" applyNumberFormat="1" applyFont="1" applyBorder="1" applyAlignment="1">
      <alignment horizontal="center" vertical="center" wrapText="1"/>
    </xf>
    <xf numFmtId="164" fontId="4" fillId="0" borderId="21" xfId="3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44" fontId="0" fillId="0" borderId="2" xfId="1" applyFont="1" applyFill="1" applyBorder="1"/>
    <xf numFmtId="44" fontId="0" fillId="0" borderId="16" xfId="1" applyFont="1" applyFill="1" applyBorder="1"/>
    <xf numFmtId="0" fontId="0" fillId="0" borderId="1" xfId="0" applyBorder="1"/>
    <xf numFmtId="44" fontId="0" fillId="0" borderId="29" xfId="1" applyFont="1" applyFill="1" applyBorder="1"/>
    <xf numFmtId="44" fontId="2" fillId="2" borderId="24" xfId="0" applyNumberFormat="1" applyFont="1" applyFill="1" applyBorder="1"/>
    <xf numFmtId="0" fontId="2" fillId="2" borderId="25" xfId="0" applyFont="1" applyFill="1" applyBorder="1"/>
    <xf numFmtId="0" fontId="2" fillId="2" borderId="1" xfId="0" applyFont="1" applyFill="1" applyBorder="1"/>
    <xf numFmtId="0" fontId="2" fillId="2" borderId="18" xfId="0" applyFont="1" applyFill="1" applyBorder="1"/>
    <xf numFmtId="44" fontId="0" fillId="0" borderId="33" xfId="1" applyFont="1" applyFill="1" applyBorder="1"/>
    <xf numFmtId="167" fontId="0" fillId="0" borderId="2" xfId="0" applyNumberFormat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39" xfId="0" applyBorder="1"/>
    <xf numFmtId="2" fontId="0" fillId="0" borderId="39" xfId="0" applyNumberFormat="1" applyBorder="1" applyAlignment="1">
      <alignment horizontal="center"/>
    </xf>
    <xf numFmtId="0" fontId="0" fillId="0" borderId="37" xfId="0" applyBorder="1"/>
    <xf numFmtId="0" fontId="0" fillId="0" borderId="38" xfId="0" applyBorder="1"/>
    <xf numFmtId="0" fontId="2" fillId="2" borderId="37" xfId="0" applyFont="1" applyFill="1" applyBorder="1"/>
    <xf numFmtId="0" fontId="2" fillId="2" borderId="38" xfId="0" applyFont="1" applyFill="1" applyBorder="1"/>
    <xf numFmtId="0" fontId="2" fillId="2" borderId="12" xfId="0" applyFont="1" applyFill="1" applyBorder="1" applyAlignment="1">
      <alignment horizontal="center"/>
    </xf>
    <xf numFmtId="2" fontId="2" fillId="2" borderId="12" xfId="0" applyNumberFormat="1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2" fontId="0" fillId="0" borderId="38" xfId="0" applyNumberFormat="1" applyBorder="1" applyAlignment="1">
      <alignment horizontal="center"/>
    </xf>
    <xf numFmtId="2" fontId="0" fillId="0" borderId="37" xfId="0" applyNumberFormat="1" applyBorder="1" applyAlignment="1">
      <alignment horizontal="center"/>
    </xf>
    <xf numFmtId="0" fontId="2" fillId="2" borderId="37" xfId="0" applyFont="1" applyFill="1" applyBorder="1" applyAlignment="1">
      <alignment vertical="center"/>
    </xf>
    <xf numFmtId="0" fontId="0" fillId="0" borderId="36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0" fontId="0" fillId="0" borderId="36" xfId="0" applyBorder="1"/>
    <xf numFmtId="165" fontId="0" fillId="0" borderId="0" xfId="0" applyNumberFormat="1"/>
    <xf numFmtId="44" fontId="0" fillId="0" borderId="0" xfId="0" applyNumberFormat="1"/>
    <xf numFmtId="0" fontId="10" fillId="0" borderId="2" xfId="2" applyFont="1" applyBorder="1" applyAlignment="1">
      <alignment horizontal="center" vertical="center"/>
    </xf>
    <xf numFmtId="164" fontId="5" fillId="0" borderId="5" xfId="3" applyFont="1" applyBorder="1" applyAlignment="1">
      <alignment horizontal="right" vertical="center" wrapText="1"/>
    </xf>
    <xf numFmtId="0" fontId="0" fillId="0" borderId="2" xfId="0" applyBorder="1" applyAlignment="1">
      <alignment horizontal="center"/>
    </xf>
    <xf numFmtId="44" fontId="0" fillId="0" borderId="0" xfId="1" applyFont="1"/>
    <xf numFmtId="44" fontId="2" fillId="0" borderId="0" xfId="1" applyFont="1"/>
    <xf numFmtId="168" fontId="0" fillId="0" borderId="2" xfId="0" applyNumberFormat="1" applyBorder="1" applyAlignment="1">
      <alignment horizontal="center"/>
    </xf>
    <xf numFmtId="168" fontId="8" fillId="0" borderId="2" xfId="1" applyNumberFormat="1" applyFont="1" applyBorder="1" applyAlignment="1">
      <alignment horizontal="center" vertical="center" wrapText="1"/>
    </xf>
    <xf numFmtId="0" fontId="0" fillId="0" borderId="0" xfId="0" applyBorder="1"/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9" fontId="23" fillId="0" borderId="0" xfId="0" applyNumberFormat="1" applyFont="1"/>
    <xf numFmtId="0" fontId="10" fillId="2" borderId="1" xfId="2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9" fontId="5" fillId="0" borderId="2" xfId="3" applyNumberFormat="1" applyFont="1" applyBorder="1" applyAlignment="1">
      <alignment horizontal="center" vertical="center" wrapText="1"/>
    </xf>
    <xf numFmtId="169" fontId="0" fillId="0" borderId="2" xfId="1" applyNumberFormat="1" applyFont="1" applyBorder="1" applyAlignment="1">
      <alignment horizontal="center" vertical="center"/>
    </xf>
    <xf numFmtId="169" fontId="0" fillId="0" borderId="2" xfId="1" applyNumberFormat="1" applyFont="1" applyFill="1" applyBorder="1" applyAlignment="1">
      <alignment horizontal="center" vertical="center"/>
    </xf>
    <xf numFmtId="169" fontId="0" fillId="0" borderId="2" xfId="1" applyNumberFormat="1" applyFont="1" applyBorder="1" applyAlignment="1">
      <alignment horizontal="center"/>
    </xf>
    <xf numFmtId="169" fontId="2" fillId="0" borderId="2" xfId="1" applyNumberFormat="1" applyFont="1" applyBorder="1" applyAlignment="1">
      <alignment horizontal="center"/>
    </xf>
    <xf numFmtId="169" fontId="2" fillId="0" borderId="2" xfId="1" applyNumberFormat="1" applyFont="1" applyBorder="1" applyAlignment="1">
      <alignment horizontal="center" vertical="center"/>
    </xf>
    <xf numFmtId="169" fontId="2" fillId="2" borderId="2" xfId="1" applyNumberFormat="1" applyFont="1" applyFill="1" applyBorder="1" applyAlignment="1">
      <alignment horizontal="center" vertical="center"/>
    </xf>
    <xf numFmtId="169" fontId="23" fillId="2" borderId="0" xfId="0" applyNumberFormat="1" applyFont="1" applyFill="1" applyAlignment="1">
      <alignment horizontal="center" vertical="center"/>
    </xf>
    <xf numFmtId="164" fontId="5" fillId="2" borderId="4" xfId="3" applyFont="1" applyFill="1" applyBorder="1" applyAlignment="1">
      <alignment horizontal="center" vertical="center" wrapText="1"/>
    </xf>
    <xf numFmtId="164" fontId="5" fillId="2" borderId="5" xfId="3" applyFont="1" applyFill="1" applyBorder="1" applyAlignment="1">
      <alignment horizontal="center" vertical="center" wrapText="1"/>
    </xf>
    <xf numFmtId="164" fontId="5" fillId="2" borderId="6" xfId="3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5" fillId="0" borderId="4" xfId="3" applyFont="1" applyBorder="1" applyAlignment="1">
      <alignment horizontal="right" vertical="center" wrapText="1"/>
    </xf>
    <xf numFmtId="164" fontId="5" fillId="0" borderId="5" xfId="3" applyFont="1" applyBorder="1" applyAlignment="1">
      <alignment horizontal="right" vertical="center" wrapText="1"/>
    </xf>
    <xf numFmtId="164" fontId="5" fillId="0" borderId="6" xfId="3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right" vertical="center" wrapText="1"/>
    </xf>
    <xf numFmtId="166" fontId="12" fillId="0" borderId="7" xfId="0" applyNumberFormat="1" applyFont="1" applyBorder="1" applyAlignment="1">
      <alignment horizontal="center"/>
    </xf>
    <xf numFmtId="166" fontId="12" fillId="0" borderId="8" xfId="0" applyNumberFormat="1" applyFont="1" applyBorder="1" applyAlignment="1">
      <alignment horizontal="center"/>
    </xf>
    <xf numFmtId="166" fontId="12" fillId="0" borderId="9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166" fontId="4" fillId="0" borderId="8" xfId="0" applyNumberFormat="1" applyFont="1" applyBorder="1" applyAlignment="1">
      <alignment horizontal="center"/>
    </xf>
    <xf numFmtId="166" fontId="4" fillId="0" borderId="9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0" fillId="0" borderId="34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35" xfId="0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0" fillId="0" borderId="32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2" xfId="0" applyFill="1" applyBorder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2" borderId="28" xfId="0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1" fillId="2" borderId="22" xfId="0" applyFont="1" applyFill="1" applyBorder="1" applyAlignment="1">
      <alignment horizontal="center"/>
    </xf>
    <xf numFmtId="0" fontId="21" fillId="2" borderId="23" xfId="0" applyFont="1" applyFill="1" applyBorder="1" applyAlignment="1">
      <alignment horizontal="center"/>
    </xf>
    <xf numFmtId="0" fontId="21" fillId="2" borderId="24" xfId="0" applyFont="1" applyFill="1" applyBorder="1" applyAlignment="1">
      <alignment horizontal="center"/>
    </xf>
    <xf numFmtId="0" fontId="0" fillId="2" borderId="26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2" borderId="2" xfId="0" applyFill="1" applyBorder="1" applyAlignment="1">
      <alignment horizontal="left" wrapText="1"/>
    </xf>
    <xf numFmtId="0" fontId="0" fillId="2" borderId="16" xfId="0" applyFill="1" applyBorder="1" applyAlignment="1">
      <alignment horizontal="left" wrapText="1"/>
    </xf>
    <xf numFmtId="0" fontId="0" fillId="2" borderId="2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0" fillId="2" borderId="41" xfId="0" applyFill="1" applyBorder="1" applyAlignment="1">
      <alignment horizontal="left" vertical="top"/>
    </xf>
    <xf numFmtId="0" fontId="0" fillId="2" borderId="45" xfId="0" applyFill="1" applyBorder="1" applyAlignment="1">
      <alignment horizontal="left" vertical="top"/>
    </xf>
    <xf numFmtId="0" fontId="0" fillId="2" borderId="42" xfId="0" applyFill="1" applyBorder="1" applyAlignment="1">
      <alignment horizontal="left" vertical="top"/>
    </xf>
    <xf numFmtId="0" fontId="0" fillId="2" borderId="32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43" xfId="0" applyFill="1" applyBorder="1" applyAlignment="1">
      <alignment horizontal="left" vertical="top"/>
    </xf>
    <xf numFmtId="0" fontId="0" fillId="2" borderId="40" xfId="0" applyFill="1" applyBorder="1" applyAlignment="1">
      <alignment horizontal="left" vertical="top"/>
    </xf>
    <xf numFmtId="0" fontId="0" fillId="2" borderId="46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21" fillId="2" borderId="31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3" xfId="0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2" borderId="32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43" xfId="0" applyFill="1" applyBorder="1" applyAlignment="1">
      <alignment horizontal="left" vertical="top" wrapText="1"/>
    </xf>
  </cellXfs>
  <cellStyles count="4">
    <cellStyle name="Hipervínculo" xfId="2" builtinId="8"/>
    <cellStyle name="Moneda" xfId="1" builtinId="4"/>
    <cellStyle name="Normal" xfId="0" builtinId="0"/>
    <cellStyle name="Normal 15 2" xfId="3" xr:uid="{6B2CFD4C-2E74-4307-B5F5-F4C9F03A83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ACA2-4279-4CA5-B539-2DD25CFD0303}">
  <dimension ref="A1:J34"/>
  <sheetViews>
    <sheetView tabSelected="1" topLeftCell="A7" workbookViewId="0">
      <selection activeCell="B15" sqref="B15"/>
    </sheetView>
  </sheetViews>
  <sheetFormatPr baseColWidth="10" defaultColWidth="11.58203125" defaultRowHeight="14"/>
  <cols>
    <col min="1" max="1" width="8.83203125" customWidth="1"/>
    <col min="2" max="2" width="65.1640625" customWidth="1"/>
    <col min="3" max="3" width="10" customWidth="1"/>
    <col min="4" max="4" width="12.58203125" customWidth="1"/>
    <col min="5" max="5" width="16.83203125" customWidth="1"/>
    <col min="6" max="6" width="19.4140625" customWidth="1"/>
    <col min="8" max="8" width="15.58203125" bestFit="1" customWidth="1"/>
  </cols>
  <sheetData>
    <row r="1" spans="1:10">
      <c r="A1" s="125" t="s">
        <v>51</v>
      </c>
      <c r="B1" s="125"/>
      <c r="C1" s="125"/>
      <c r="D1" s="125"/>
      <c r="E1" s="125"/>
      <c r="F1" s="125"/>
    </row>
    <row r="2" spans="1:10">
      <c r="A2" s="125" t="s">
        <v>52</v>
      </c>
      <c r="B2" s="125"/>
      <c r="C2" s="125"/>
      <c r="D2" s="125"/>
      <c r="E2" s="125"/>
      <c r="F2" s="125"/>
    </row>
    <row r="3" spans="1:10" ht="15.5">
      <c r="A3" s="57">
        <v>1</v>
      </c>
      <c r="B3" s="58" t="s">
        <v>45</v>
      </c>
      <c r="C3" s="59" t="s">
        <v>28</v>
      </c>
      <c r="D3" s="59" t="s">
        <v>29</v>
      </c>
      <c r="E3" s="60" t="s">
        <v>33</v>
      </c>
      <c r="F3" s="60" t="s">
        <v>34</v>
      </c>
    </row>
    <row r="4" spans="1:10">
      <c r="A4" s="1" t="s">
        <v>0</v>
      </c>
      <c r="B4" s="3" t="s">
        <v>1</v>
      </c>
      <c r="C4" s="10"/>
      <c r="D4" s="10"/>
      <c r="E4" s="11"/>
      <c r="F4" s="11"/>
    </row>
    <row r="5" spans="1:10">
      <c r="A5" s="95" t="s">
        <v>0</v>
      </c>
      <c r="B5" t="s">
        <v>2</v>
      </c>
      <c r="C5" s="104" t="s">
        <v>25</v>
      </c>
      <c r="D5" s="103">
        <f>+'cartera y cantidades'!C132</f>
        <v>1102.7</v>
      </c>
      <c r="E5" s="109">
        <f>+apus!G41</f>
        <v>7140</v>
      </c>
      <c r="F5" s="111">
        <f>+D5*E5</f>
        <v>7873278</v>
      </c>
    </row>
    <row r="6" spans="1:10">
      <c r="A6" s="95"/>
      <c r="B6" s="129" t="s">
        <v>35</v>
      </c>
      <c r="C6" s="129"/>
      <c r="D6" s="129"/>
      <c r="E6" s="130"/>
      <c r="F6" s="112">
        <f>+F5</f>
        <v>7873278</v>
      </c>
    </row>
    <row r="7" spans="1:10">
      <c r="A7" s="1" t="s">
        <v>3</v>
      </c>
      <c r="B7" s="3" t="s">
        <v>231</v>
      </c>
      <c r="C7" s="10"/>
      <c r="D7" s="10"/>
      <c r="E7" s="12"/>
      <c r="F7" s="12"/>
    </row>
    <row r="8" spans="1:10">
      <c r="A8" s="18" t="s">
        <v>4</v>
      </c>
      <c r="B8" s="4" t="s">
        <v>232</v>
      </c>
      <c r="C8" s="104" t="s">
        <v>26</v>
      </c>
      <c r="D8" s="103">
        <f>+'cartera y cantidades'!C133</f>
        <v>1205.5746678721603</v>
      </c>
      <c r="E8" s="110">
        <f>+apus!G84</f>
        <v>63437</v>
      </c>
      <c r="F8" s="109">
        <f t="shared" ref="F8:F23" si="0">+D8*E8</f>
        <v>76478040.205806226</v>
      </c>
      <c r="H8" s="98"/>
    </row>
    <row r="9" spans="1:10" ht="37.5">
      <c r="A9" s="17" t="s">
        <v>6</v>
      </c>
      <c r="B9" s="4" t="s">
        <v>7</v>
      </c>
      <c r="C9" s="104" t="s">
        <v>27</v>
      </c>
      <c r="D9" s="103">
        <f>+'cartera y cantidades'!C138</f>
        <v>425.41979714286128</v>
      </c>
      <c r="E9" s="110">
        <f>+apus!G130</f>
        <v>46554</v>
      </c>
      <c r="F9" s="109">
        <f t="shared" si="0"/>
        <v>19804993.236188766</v>
      </c>
      <c r="H9" s="98"/>
      <c r="I9" s="93"/>
      <c r="J9" s="93"/>
    </row>
    <row r="10" spans="1:10">
      <c r="A10" s="18" t="s">
        <v>8</v>
      </c>
      <c r="B10" s="4" t="s">
        <v>22</v>
      </c>
      <c r="C10" s="104" t="s">
        <v>26</v>
      </c>
      <c r="D10" s="103">
        <f>+'cartera y cantidades'!C137</f>
        <v>79.216000000000008</v>
      </c>
      <c r="E10" s="110">
        <f>+apus!G175</f>
        <v>175975</v>
      </c>
      <c r="F10" s="109">
        <f t="shared" si="0"/>
        <v>13940035.600000001</v>
      </c>
      <c r="H10" s="98"/>
    </row>
    <row r="11" spans="1:10" ht="37.5">
      <c r="A11" s="18" t="s">
        <v>9</v>
      </c>
      <c r="B11" s="4" t="s">
        <v>10</v>
      </c>
      <c r="C11" s="104" t="s">
        <v>26</v>
      </c>
      <c r="D11" s="103">
        <f>+'cartera y cantidades'!C134</f>
        <v>944.14373429772832</v>
      </c>
      <c r="E11" s="110">
        <f>+apus!G222</f>
        <v>84936</v>
      </c>
      <c r="F11" s="109">
        <f t="shared" si="0"/>
        <v>80191792.216311857</v>
      </c>
      <c r="H11" s="98"/>
    </row>
    <row r="12" spans="1:10" ht="37.5">
      <c r="A12" s="18" t="s">
        <v>11</v>
      </c>
      <c r="B12" s="4" t="s">
        <v>12</v>
      </c>
      <c r="C12" s="104" t="s">
        <v>26</v>
      </c>
      <c r="D12" s="103">
        <f>+'cartera y cantidades'!C135</f>
        <v>236.03593357443208</v>
      </c>
      <c r="E12" s="110">
        <f>+apus!G267</f>
        <v>206918</v>
      </c>
      <c r="F12" s="109">
        <f t="shared" si="0"/>
        <v>48840083.303354338</v>
      </c>
      <c r="H12" s="98"/>
    </row>
    <row r="13" spans="1:10" ht="25">
      <c r="A13" s="18" t="s">
        <v>13</v>
      </c>
      <c r="B13" s="5" t="s">
        <v>14</v>
      </c>
      <c r="C13" s="104" t="s">
        <v>26</v>
      </c>
      <c r="D13" s="103">
        <f>+'cartera y cantidades'!C136</f>
        <v>261.43093357443195</v>
      </c>
      <c r="E13" s="110">
        <f>+apus!G311</f>
        <v>55625</v>
      </c>
      <c r="F13" s="109">
        <f t="shared" si="0"/>
        <v>14542095.680077776</v>
      </c>
      <c r="H13" s="98"/>
    </row>
    <row r="14" spans="1:10">
      <c r="A14" s="18"/>
      <c r="B14" s="126" t="s">
        <v>36</v>
      </c>
      <c r="C14" s="127"/>
      <c r="D14" s="127"/>
      <c r="E14" s="128"/>
      <c r="F14" s="113">
        <f>SUM(F8:F13)</f>
        <v>253797040.24173898</v>
      </c>
      <c r="H14" s="98"/>
    </row>
    <row r="15" spans="1:10">
      <c r="A15" s="1" t="s">
        <v>15</v>
      </c>
      <c r="B15" s="3" t="s">
        <v>218</v>
      </c>
      <c r="C15" s="10"/>
      <c r="D15" s="10"/>
      <c r="E15" s="12"/>
      <c r="F15" s="12"/>
    </row>
    <row r="16" spans="1:10">
      <c r="A16" s="18" t="s">
        <v>16</v>
      </c>
      <c r="B16" s="5" t="s">
        <v>219</v>
      </c>
      <c r="C16" s="8" t="s">
        <v>31</v>
      </c>
      <c r="D16" s="103">
        <f>+'cartera y cantidades'!C126</f>
        <v>652.70000000000005</v>
      </c>
      <c r="E16" s="109">
        <f>+apus!G355</f>
        <v>110485</v>
      </c>
      <c r="F16" s="109">
        <f t="shared" si="0"/>
        <v>72113559.5</v>
      </c>
    </row>
    <row r="17" spans="1:8">
      <c r="A17" s="18" t="s">
        <v>17</v>
      </c>
      <c r="B17" s="5" t="s">
        <v>220</v>
      </c>
      <c r="C17" s="8" t="s">
        <v>31</v>
      </c>
      <c r="D17" s="104">
        <f>+'cartera y cantidades'!D126</f>
        <v>450</v>
      </c>
      <c r="E17" s="109">
        <f>+apus!G402</f>
        <v>93884</v>
      </c>
      <c r="F17" s="109">
        <f t="shared" si="0"/>
        <v>42247800</v>
      </c>
    </row>
    <row r="18" spans="1:8">
      <c r="A18" s="18" t="s">
        <v>165</v>
      </c>
      <c r="B18" s="5" t="s">
        <v>221</v>
      </c>
      <c r="C18" s="8" t="s">
        <v>30</v>
      </c>
      <c r="D18" s="104">
        <f>+'cartera y cantidades'!D128</f>
        <v>75</v>
      </c>
      <c r="E18" s="109">
        <f>+apus!G448</f>
        <v>251360</v>
      </c>
      <c r="F18" s="109">
        <f t="shared" si="0"/>
        <v>18852000</v>
      </c>
    </row>
    <row r="19" spans="1:8">
      <c r="A19" s="18"/>
      <c r="B19" s="126" t="s">
        <v>37</v>
      </c>
      <c r="C19" s="127"/>
      <c r="D19" s="127"/>
      <c r="E19" s="128"/>
      <c r="F19" s="113">
        <f>SUM(F15:F18)</f>
        <v>133213359.5</v>
      </c>
    </row>
    <row r="20" spans="1:8">
      <c r="A20" s="1" t="s">
        <v>18</v>
      </c>
      <c r="B20" s="3" t="s">
        <v>40</v>
      </c>
      <c r="C20" s="10"/>
      <c r="D20" s="10"/>
      <c r="E20" s="12"/>
      <c r="F20" s="12"/>
    </row>
    <row r="21" spans="1:8" ht="25">
      <c r="A21" s="19" t="s">
        <v>19</v>
      </c>
      <c r="B21" s="4" t="s">
        <v>32</v>
      </c>
      <c r="C21" s="8" t="s">
        <v>30</v>
      </c>
      <c r="D21" s="103">
        <f>+'cartera y cantidades'!C127</f>
        <v>7</v>
      </c>
      <c r="E21" s="109">
        <f>+apus!G494</f>
        <v>4481360</v>
      </c>
      <c r="F21" s="109">
        <f t="shared" si="0"/>
        <v>31369520</v>
      </c>
    </row>
    <row r="22" spans="1:8" ht="37.5">
      <c r="A22" s="19" t="s">
        <v>20</v>
      </c>
      <c r="B22" s="4" t="s">
        <v>234</v>
      </c>
      <c r="C22" s="8" t="s">
        <v>30</v>
      </c>
      <c r="D22" s="103">
        <f>+'cartera y cantidades'!D129</f>
        <v>75</v>
      </c>
      <c r="E22" s="109">
        <f>+apus!G539</f>
        <v>827042</v>
      </c>
      <c r="F22" s="109">
        <f t="shared" si="0"/>
        <v>62028150</v>
      </c>
    </row>
    <row r="23" spans="1:8" ht="25">
      <c r="A23" s="19" t="s">
        <v>21</v>
      </c>
      <c r="B23" s="6" t="s">
        <v>233</v>
      </c>
      <c r="C23" s="8" t="s">
        <v>41</v>
      </c>
      <c r="D23" s="103">
        <v>4</v>
      </c>
      <c r="E23" s="109">
        <f>+apus!G582</f>
        <v>372708.5</v>
      </c>
      <c r="F23" s="109">
        <f t="shared" si="0"/>
        <v>1490834</v>
      </c>
    </row>
    <row r="24" spans="1:8">
      <c r="A24" s="19"/>
      <c r="B24" s="122" t="s">
        <v>39</v>
      </c>
      <c r="C24" s="123"/>
      <c r="D24" s="123"/>
      <c r="E24" s="124"/>
      <c r="F24" s="113">
        <f>SUM(F21:F23)</f>
        <v>94888504</v>
      </c>
    </row>
    <row r="25" spans="1:8">
      <c r="A25" s="106"/>
      <c r="B25" s="116" t="s">
        <v>230</v>
      </c>
      <c r="C25" s="117"/>
      <c r="D25" s="117"/>
      <c r="E25" s="118"/>
      <c r="F25" s="114">
        <f>F6+F14+F19+F24</f>
        <v>489772181.74173898</v>
      </c>
    </row>
    <row r="26" spans="1:8">
      <c r="A26" s="19"/>
      <c r="B26" s="107" t="s">
        <v>226</v>
      </c>
      <c r="C26" s="96"/>
      <c r="D26" s="96"/>
      <c r="E26" s="108">
        <v>0.24</v>
      </c>
      <c r="F26" s="13"/>
    </row>
    <row r="27" spans="1:8">
      <c r="A27" s="19"/>
      <c r="B27" s="97" t="s">
        <v>227</v>
      </c>
      <c r="C27" s="96"/>
      <c r="D27" s="96"/>
      <c r="E27" s="108">
        <v>0.01</v>
      </c>
      <c r="F27" s="13"/>
    </row>
    <row r="28" spans="1:8" ht="15.5">
      <c r="A28" s="16"/>
      <c r="B28" s="97" t="s">
        <v>228</v>
      </c>
      <c r="C28" s="14"/>
      <c r="D28" s="14"/>
      <c r="E28" s="108">
        <v>0.05</v>
      </c>
      <c r="F28" s="13"/>
    </row>
    <row r="29" spans="1:8">
      <c r="A29" s="1"/>
      <c r="B29" s="119" t="s">
        <v>224</v>
      </c>
      <c r="C29" s="120"/>
      <c r="D29" s="120"/>
      <c r="E29" s="121"/>
      <c r="F29" s="115">
        <f>ROUND(F25,0)</f>
        <v>489772182</v>
      </c>
      <c r="H29" s="105"/>
    </row>
    <row r="30" spans="1:8">
      <c r="D30" s="102"/>
      <c r="E30" s="102"/>
      <c r="F30" s="102"/>
    </row>
    <row r="31" spans="1:8">
      <c r="F31" s="99"/>
    </row>
    <row r="32" spans="1:8">
      <c r="F32" s="93"/>
    </row>
    <row r="34" spans="6:6">
      <c r="F34" s="93"/>
    </row>
  </sheetData>
  <mergeCells count="8">
    <mergeCell ref="B25:E25"/>
    <mergeCell ref="B29:E29"/>
    <mergeCell ref="B24:E24"/>
    <mergeCell ref="A1:F1"/>
    <mergeCell ref="A2:F2"/>
    <mergeCell ref="B14:E14"/>
    <mergeCell ref="B6:E6"/>
    <mergeCell ref="B19:E19"/>
  </mergeCells>
  <hyperlinks>
    <hyperlink ref="A8" location="'APU CAP 1'!B95:E95" display="1.2.1" xr:uid="{C6088FFA-1725-452A-B358-5EE829FAD48D}"/>
    <hyperlink ref="A9" location="'APU CAP 1'!B135:E135" display="1.2.2" xr:uid="{9429014A-1838-4F2E-9A52-249ED494D326}"/>
    <hyperlink ref="A10" location="'APU CAP 1'!B222:E222" display="1.2.3" xr:uid="{FE7DCA41-07C4-4E62-9709-F1FED9CA79C1}"/>
    <hyperlink ref="A11" location="'APU CAP 1'!B177:E177" display="1.2.4" xr:uid="{76185414-6CA4-4A7C-ABAF-B4D66AD2B6DF}"/>
    <hyperlink ref="A12" location="'APU CAP 1'!B269:E269" display="1.2.5" xr:uid="{6BB2EA15-F8A8-4126-A274-4B2F57F65E7A}"/>
    <hyperlink ref="A13" location="'APU CAP 1'!B315:E315" display="1.2.6" xr:uid="{2DBDDC0F-36F3-4489-95B8-7E9888A399C6}"/>
    <hyperlink ref="A16" location="'APU CAP 1'!B360:E360" display="1.3.1" xr:uid="{895CA724-71D8-41A7-8C35-7EB2FE6F675F}"/>
    <hyperlink ref="A17" location="'APU CAP 1'!B401:E401" display="1.3.2" xr:uid="{267A8402-0D7C-469D-A582-DE9BD30970DA}"/>
  </hyperlink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9BF1-7109-434B-9912-30AE9F384EE5}">
  <dimension ref="A1:K138"/>
  <sheetViews>
    <sheetView topLeftCell="A129" workbookViewId="0">
      <selection activeCell="F136" sqref="F136"/>
    </sheetView>
  </sheetViews>
  <sheetFormatPr baseColWidth="10" defaultColWidth="11.58203125" defaultRowHeight="14"/>
  <sheetData>
    <row r="1" spans="1:11" ht="18.5" thickBot="1">
      <c r="A1" s="131" t="s">
        <v>53</v>
      </c>
      <c r="B1" s="132"/>
      <c r="C1" s="132"/>
      <c r="D1" s="132"/>
      <c r="E1" s="132"/>
      <c r="F1" s="132"/>
      <c r="G1" s="132"/>
      <c r="H1" s="133"/>
    </row>
    <row r="2" spans="1:11" ht="18.5" thickBot="1">
      <c r="A2" s="131" t="s">
        <v>54</v>
      </c>
      <c r="B2" s="132"/>
      <c r="C2" s="132"/>
      <c r="D2" s="132"/>
      <c r="E2" s="132"/>
      <c r="F2" s="132"/>
      <c r="G2" s="132"/>
      <c r="H2" s="133"/>
    </row>
    <row r="3" spans="1:11" ht="14.5" thickBot="1">
      <c r="A3" s="134" t="s">
        <v>55</v>
      </c>
      <c r="B3" s="135"/>
      <c r="C3" s="135"/>
      <c r="D3" s="135"/>
      <c r="E3" s="135"/>
      <c r="F3" s="135"/>
      <c r="G3" s="135"/>
      <c r="H3" s="136"/>
    </row>
    <row r="4" spans="1:11" ht="14.5" thickBot="1">
      <c r="A4" s="134" t="s">
        <v>56</v>
      </c>
      <c r="B4" s="135"/>
      <c r="C4" s="135"/>
      <c r="D4" s="135"/>
      <c r="E4" s="135"/>
      <c r="F4" s="135"/>
      <c r="G4" s="135"/>
      <c r="H4" s="136"/>
    </row>
    <row r="5" spans="1:11" ht="16" thickBot="1">
      <c r="A5" s="137" t="s">
        <v>57</v>
      </c>
      <c r="B5" s="138"/>
      <c r="C5" s="138"/>
      <c r="D5" s="138"/>
      <c r="E5" s="138"/>
      <c r="F5" s="138"/>
      <c r="G5" s="138"/>
      <c r="H5" s="139"/>
    </row>
    <row r="6" spans="1:11" ht="14.5" thickBot="1">
      <c r="A6" s="21" t="s">
        <v>58</v>
      </c>
      <c r="B6" s="22" t="s">
        <v>59</v>
      </c>
      <c r="C6" s="23"/>
      <c r="D6" s="23"/>
      <c r="E6" s="23"/>
      <c r="F6" s="24"/>
      <c r="G6" s="25"/>
      <c r="H6" s="26" t="s">
        <v>60</v>
      </c>
      <c r="I6" s="125" t="s">
        <v>61</v>
      </c>
      <c r="J6" s="125"/>
    </row>
    <row r="7" spans="1:11" ht="28.5" thickBot="1">
      <c r="A7" s="27" t="s">
        <v>62</v>
      </c>
      <c r="B7" s="27" t="s">
        <v>63</v>
      </c>
      <c r="C7" s="28" t="s">
        <v>64</v>
      </c>
      <c r="D7" s="28" t="s">
        <v>65</v>
      </c>
      <c r="E7" s="28" t="s">
        <v>66</v>
      </c>
      <c r="F7" s="28" t="s">
        <v>67</v>
      </c>
      <c r="G7" s="28" t="s">
        <v>68</v>
      </c>
      <c r="H7" s="29" t="s">
        <v>69</v>
      </c>
      <c r="I7" s="30" t="s">
        <v>70</v>
      </c>
      <c r="J7" s="31" t="s">
        <v>71</v>
      </c>
      <c r="K7" s="56" t="s">
        <v>112</v>
      </c>
    </row>
    <row r="8" spans="1:11">
      <c r="A8" s="32">
        <v>702</v>
      </c>
      <c r="B8" s="33">
        <v>0</v>
      </c>
      <c r="C8" s="34">
        <v>175.72</v>
      </c>
      <c r="D8" s="34"/>
      <c r="E8" s="34">
        <v>173.96</v>
      </c>
      <c r="F8" s="35">
        <v>0.1</v>
      </c>
      <c r="G8" s="36">
        <f t="shared" ref="G8:G16" si="0">(C8-E8)+F8</f>
        <v>1.859999999999991</v>
      </c>
      <c r="H8" s="37"/>
      <c r="I8" s="142">
        <f>+AVERAGE(G8:G16)</f>
        <v>2.0493999999999657</v>
      </c>
      <c r="J8" s="145">
        <f>+(I8+0.8)/2*0.6*6*12</f>
        <v>61.547039999999257</v>
      </c>
      <c r="K8" s="146">
        <f>+(B16-B11)*2*AVERAGE(G10:G16)</f>
        <v>174.05979714285388</v>
      </c>
    </row>
    <row r="9" spans="1:11">
      <c r="A9" s="38"/>
      <c r="B9" s="39">
        <v>10</v>
      </c>
      <c r="C9" s="40">
        <v>175.6</v>
      </c>
      <c r="D9" s="40"/>
      <c r="E9" s="40">
        <f>E8-(B9-B8)*0.4/100</f>
        <v>173.92000000000002</v>
      </c>
      <c r="F9" s="35">
        <v>0.1</v>
      </c>
      <c r="G9" s="36">
        <f t="shared" si="0"/>
        <v>1.7799999999999785</v>
      </c>
      <c r="H9" s="37">
        <f>+(B9-B8)*(G9+G8)/2*0.8</f>
        <v>14.559999999999878</v>
      </c>
      <c r="I9" s="143"/>
      <c r="J9" s="146"/>
      <c r="K9" s="146"/>
    </row>
    <row r="10" spans="1:11">
      <c r="A10" s="38"/>
      <c r="B10" s="39">
        <v>20</v>
      </c>
      <c r="C10" s="40">
        <v>175.68</v>
      </c>
      <c r="D10" s="40"/>
      <c r="E10" s="40">
        <f t="shared" ref="E10:E16" si="1">E9-(B10-B9)*0.4/100</f>
        <v>173.88000000000002</v>
      </c>
      <c r="F10" s="35">
        <v>0.1</v>
      </c>
      <c r="G10" s="36">
        <f t="shared" si="0"/>
        <v>1.899999999999983</v>
      </c>
      <c r="H10" s="37">
        <f t="shared" ref="H10:H16" si="2">+(B10-B9)*(G10+G9)/2*0.8</f>
        <v>14.719999999999846</v>
      </c>
      <c r="I10" s="143"/>
      <c r="J10" s="146"/>
      <c r="K10" s="146"/>
    </row>
    <row r="11" spans="1:11">
      <c r="A11" s="38"/>
      <c r="B11" s="39">
        <v>30</v>
      </c>
      <c r="C11" s="40">
        <v>175.74</v>
      </c>
      <c r="D11" s="40"/>
      <c r="E11" s="40">
        <f t="shared" si="1"/>
        <v>173.84000000000003</v>
      </c>
      <c r="F11" s="35">
        <v>0.1</v>
      </c>
      <c r="G11" s="36">
        <f t="shared" si="0"/>
        <v>1.9999999999999774</v>
      </c>
      <c r="H11" s="37">
        <f t="shared" si="2"/>
        <v>15.599999999999842</v>
      </c>
      <c r="I11" s="143"/>
      <c r="J11" s="146"/>
      <c r="K11" s="146"/>
    </row>
    <row r="12" spans="1:11">
      <c r="A12" s="41"/>
      <c r="B12" s="39">
        <v>40</v>
      </c>
      <c r="C12" s="40">
        <v>175.74</v>
      </c>
      <c r="D12" s="40"/>
      <c r="E12" s="40">
        <f t="shared" si="1"/>
        <v>173.80000000000004</v>
      </c>
      <c r="F12" s="35">
        <v>0.1</v>
      </c>
      <c r="G12" s="36">
        <f t="shared" si="0"/>
        <v>2.0399999999999694</v>
      </c>
      <c r="H12" s="37">
        <f t="shared" si="2"/>
        <v>16.159999999999787</v>
      </c>
      <c r="I12" s="143"/>
      <c r="J12" s="146"/>
      <c r="K12" s="146"/>
    </row>
    <row r="13" spans="1:11">
      <c r="A13" s="41"/>
      <c r="B13" s="39">
        <v>50</v>
      </c>
      <c r="C13" s="40">
        <v>175.74</v>
      </c>
      <c r="D13" s="40"/>
      <c r="E13" s="40">
        <f t="shared" si="1"/>
        <v>173.76000000000005</v>
      </c>
      <c r="F13" s="35">
        <v>0.1</v>
      </c>
      <c r="G13" s="36">
        <f t="shared" si="0"/>
        <v>2.0799999999999614</v>
      </c>
      <c r="H13" s="37">
        <f t="shared" si="2"/>
        <v>16.479999999999723</v>
      </c>
      <c r="I13" s="143"/>
      <c r="J13" s="146"/>
      <c r="K13" s="146"/>
    </row>
    <row r="14" spans="1:11">
      <c r="A14" s="41"/>
      <c r="B14" s="39">
        <v>60</v>
      </c>
      <c r="C14" s="40">
        <v>175.84</v>
      </c>
      <c r="D14" s="40"/>
      <c r="E14" s="40">
        <f t="shared" si="1"/>
        <v>173.72000000000006</v>
      </c>
      <c r="F14" s="35">
        <v>0.1</v>
      </c>
      <c r="G14" s="36">
        <f t="shared" si="0"/>
        <v>2.2199999999999478</v>
      </c>
      <c r="H14" s="37">
        <f t="shared" si="2"/>
        <v>17.199999999999637</v>
      </c>
      <c r="I14" s="143"/>
      <c r="J14" s="146"/>
      <c r="K14" s="146"/>
    </row>
    <row r="15" spans="1:11">
      <c r="A15" s="41"/>
      <c r="B15" s="39">
        <v>70</v>
      </c>
      <c r="C15" s="40">
        <v>175.72</v>
      </c>
      <c r="D15" s="40"/>
      <c r="E15" s="40">
        <f t="shared" si="1"/>
        <v>173.68000000000006</v>
      </c>
      <c r="F15" s="35">
        <v>0.1</v>
      </c>
      <c r="G15" s="36">
        <f t="shared" si="0"/>
        <v>2.1399999999999353</v>
      </c>
      <c r="H15" s="37">
        <f t="shared" si="2"/>
        <v>17.439999999999532</v>
      </c>
      <c r="I15" s="143"/>
      <c r="J15" s="146"/>
      <c r="K15" s="146"/>
    </row>
    <row r="16" spans="1:11" ht="14.5" thickBot="1">
      <c r="A16" s="42">
        <v>1</v>
      </c>
      <c r="B16" s="39">
        <v>71.150000000000006</v>
      </c>
      <c r="C16" s="40">
        <v>176</v>
      </c>
      <c r="D16" s="40"/>
      <c r="E16" s="40">
        <f t="shared" si="1"/>
        <v>173.67540000000005</v>
      </c>
      <c r="F16" s="35">
        <v>0.1</v>
      </c>
      <c r="G16" s="36">
        <f t="shared" si="0"/>
        <v>2.424599999999947</v>
      </c>
      <c r="H16" s="37">
        <f t="shared" si="2"/>
        <v>2.0997159999999564</v>
      </c>
      <c r="I16" s="144"/>
      <c r="J16" s="146"/>
      <c r="K16" s="146"/>
    </row>
    <row r="17" spans="1:10">
      <c r="A17" s="43"/>
      <c r="B17" s="43"/>
      <c r="C17" s="43"/>
      <c r="D17" s="44"/>
      <c r="E17" s="43"/>
      <c r="F17" s="43"/>
      <c r="G17" s="45" t="s">
        <v>72</v>
      </c>
      <c r="H17" s="46">
        <f>SUM(H9:H16)</f>
        <v>114.25971599999819</v>
      </c>
      <c r="I17" s="140">
        <f>+J8</f>
        <v>61.547039999999257</v>
      </c>
      <c r="J17" s="141"/>
    </row>
    <row r="18" spans="1:10" ht="14.5" thickBot="1">
      <c r="G18" s="48" t="s">
        <v>73</v>
      </c>
      <c r="H18" s="49">
        <f>+H17-2.46</f>
        <v>111.7997159999982</v>
      </c>
      <c r="I18" s="140">
        <f>+I17-0.109*12</f>
        <v>60.239039999999257</v>
      </c>
      <c r="J18" s="140"/>
    </row>
    <row r="19" spans="1:10" ht="14.5" thickBot="1">
      <c r="A19" s="21" t="s">
        <v>74</v>
      </c>
      <c r="B19" s="22" t="s">
        <v>75</v>
      </c>
      <c r="C19" s="23"/>
      <c r="D19" s="23"/>
      <c r="E19" s="23"/>
      <c r="F19" s="24"/>
      <c r="G19" s="25"/>
      <c r="H19" s="26" t="s">
        <v>76</v>
      </c>
      <c r="I19" s="125" t="s">
        <v>61</v>
      </c>
      <c r="J19" s="125"/>
    </row>
    <row r="20" spans="1:10" ht="28.5" thickBot="1">
      <c r="A20" s="27" t="s">
        <v>62</v>
      </c>
      <c r="B20" s="27" t="s">
        <v>63</v>
      </c>
      <c r="C20" s="28" t="s">
        <v>64</v>
      </c>
      <c r="D20" s="28" t="s">
        <v>65</v>
      </c>
      <c r="E20" s="28" t="s">
        <v>66</v>
      </c>
      <c r="F20" s="28" t="s">
        <v>67</v>
      </c>
      <c r="G20" s="28" t="s">
        <v>68</v>
      </c>
      <c r="H20" s="28" t="s">
        <v>69</v>
      </c>
      <c r="I20" s="30" t="s">
        <v>70</v>
      </c>
      <c r="J20" s="31" t="s">
        <v>71</v>
      </c>
    </row>
    <row r="21" spans="1:10" ht="14.5" thickBot="1">
      <c r="A21" s="42">
        <v>2</v>
      </c>
      <c r="B21" s="33">
        <v>0</v>
      </c>
      <c r="C21" s="34">
        <v>175.75</v>
      </c>
      <c r="D21" s="34"/>
      <c r="E21" s="34">
        <v>174.24</v>
      </c>
      <c r="F21" s="35">
        <v>0.1</v>
      </c>
      <c r="G21" s="36">
        <f t="shared" ref="G21:G28" si="3">(C21-E21)+F21</f>
        <v>1.609999999999991</v>
      </c>
      <c r="H21" s="50"/>
      <c r="I21" s="146">
        <f>+AVERAGE(G21:G28)</f>
        <v>1.4022029999999879</v>
      </c>
      <c r="J21" s="146">
        <f>+(I21+0.8)/2*0.6*6*5</f>
        <v>19.81982699999989</v>
      </c>
    </row>
    <row r="22" spans="1:10">
      <c r="A22" s="38"/>
      <c r="B22" s="39">
        <v>10</v>
      </c>
      <c r="C22" s="34">
        <v>175.57</v>
      </c>
      <c r="D22" s="40"/>
      <c r="E22" s="40">
        <f>E21+(B22-B21)*0.36/100</f>
        <v>174.27600000000001</v>
      </c>
      <c r="F22" s="35">
        <v>0.1</v>
      </c>
      <c r="G22" s="36">
        <f t="shared" si="3"/>
        <v>1.3939999999999828</v>
      </c>
      <c r="H22" s="50">
        <f t="shared" ref="H22:H28" si="4">+(B22-B21)*(G22+G21)/2*0.8</f>
        <v>12.015999999999895</v>
      </c>
      <c r="I22" s="147"/>
      <c r="J22" s="147"/>
    </row>
    <row r="23" spans="1:10">
      <c r="A23" s="38"/>
      <c r="B23" s="39">
        <v>20</v>
      </c>
      <c r="C23" s="34">
        <v>175.63</v>
      </c>
      <c r="D23" s="40"/>
      <c r="E23" s="40">
        <f t="shared" ref="E23:E28" si="5">E22+(B23-B22)*0.36/100</f>
        <v>174.31200000000001</v>
      </c>
      <c r="F23" s="35">
        <v>0.1</v>
      </c>
      <c r="G23" s="36">
        <f t="shared" si="3"/>
        <v>1.4179999999999837</v>
      </c>
      <c r="H23" s="50">
        <f t="shared" si="4"/>
        <v>11.247999999999866</v>
      </c>
      <c r="I23" s="147"/>
      <c r="J23" s="147"/>
    </row>
    <row r="24" spans="1:10">
      <c r="A24" s="38"/>
      <c r="B24" s="39">
        <v>30</v>
      </c>
      <c r="C24" s="34">
        <v>175.64</v>
      </c>
      <c r="D24" s="40"/>
      <c r="E24" s="40">
        <f t="shared" si="5"/>
        <v>174.34800000000001</v>
      </c>
      <c r="F24" s="35">
        <v>0.1</v>
      </c>
      <c r="G24" s="36">
        <f t="shared" si="3"/>
        <v>1.3919999999999733</v>
      </c>
      <c r="H24" s="50">
        <f t="shared" si="4"/>
        <v>11.239999999999828</v>
      </c>
      <c r="I24" s="147"/>
      <c r="J24" s="147"/>
    </row>
    <row r="25" spans="1:10">
      <c r="A25" s="41"/>
      <c r="B25" s="39">
        <v>40</v>
      </c>
      <c r="C25" s="34">
        <v>175.58</v>
      </c>
      <c r="D25" s="40"/>
      <c r="E25" s="40">
        <f t="shared" si="5"/>
        <v>174.38400000000001</v>
      </c>
      <c r="F25" s="35">
        <v>0.1</v>
      </c>
      <c r="G25" s="36">
        <f t="shared" si="3"/>
        <v>1.295999999999998</v>
      </c>
      <c r="H25" s="50">
        <f t="shared" si="4"/>
        <v>10.751999999999885</v>
      </c>
      <c r="I25" s="147"/>
      <c r="J25" s="147"/>
    </row>
    <row r="26" spans="1:10">
      <c r="A26" s="41"/>
      <c r="B26" s="39">
        <v>50</v>
      </c>
      <c r="C26" s="34">
        <v>175.61</v>
      </c>
      <c r="D26" s="40"/>
      <c r="E26" s="40">
        <f t="shared" si="5"/>
        <v>174.42000000000002</v>
      </c>
      <c r="F26" s="35">
        <v>0.1</v>
      </c>
      <c r="G26" s="36">
        <f t="shared" si="3"/>
        <v>1.2899999999999978</v>
      </c>
      <c r="H26" s="50">
        <f t="shared" si="4"/>
        <v>10.343999999999983</v>
      </c>
      <c r="I26" s="147"/>
      <c r="J26" s="147"/>
    </row>
    <row r="27" spans="1:10">
      <c r="A27" s="41"/>
      <c r="B27" s="39">
        <v>60</v>
      </c>
      <c r="C27" s="34">
        <v>175.75</v>
      </c>
      <c r="D27" s="40"/>
      <c r="E27" s="40">
        <f t="shared" si="5"/>
        <v>174.45600000000002</v>
      </c>
      <c r="F27" s="35">
        <v>0.1</v>
      </c>
      <c r="G27" s="36">
        <f t="shared" si="3"/>
        <v>1.3939999999999828</v>
      </c>
      <c r="H27" s="50">
        <f t="shared" si="4"/>
        <v>10.735999999999922</v>
      </c>
      <c r="I27" s="147"/>
      <c r="J27" s="147"/>
    </row>
    <row r="28" spans="1:10" ht="14.5" thickBot="1">
      <c r="A28" s="42">
        <v>3</v>
      </c>
      <c r="B28" s="39">
        <v>65.66</v>
      </c>
      <c r="C28" s="40">
        <v>175.8</v>
      </c>
      <c r="D28" s="40"/>
      <c r="E28" s="40">
        <f t="shared" si="5"/>
        <v>174.47637600000002</v>
      </c>
      <c r="F28" s="35">
        <v>0.1</v>
      </c>
      <c r="G28" s="36">
        <f t="shared" si="3"/>
        <v>1.4236239999999953</v>
      </c>
      <c r="H28" s="50">
        <f t="shared" si="4"/>
        <v>6.3791007359999474</v>
      </c>
      <c r="I28" s="147"/>
      <c r="J28" s="147"/>
    </row>
    <row r="29" spans="1:10">
      <c r="A29" s="43"/>
      <c r="B29" s="43"/>
      <c r="C29" s="43"/>
      <c r="D29" s="44"/>
      <c r="E29" s="43"/>
      <c r="F29" s="43"/>
      <c r="G29" s="45" t="s">
        <v>72</v>
      </c>
      <c r="H29" s="46">
        <f>SUM(H22:H28)</f>
        <v>72.715100735999314</v>
      </c>
      <c r="I29" s="140">
        <f>+J21</f>
        <v>19.81982699999989</v>
      </c>
      <c r="J29" s="141"/>
    </row>
    <row r="30" spans="1:10" ht="14.5" thickBot="1">
      <c r="G30" s="48" t="s">
        <v>73</v>
      </c>
      <c r="H30" s="49">
        <f>+H29-2.46</f>
        <v>70.255100735999321</v>
      </c>
      <c r="I30" s="140">
        <f>+I29-0.109*5</f>
        <v>19.274826999999888</v>
      </c>
      <c r="J30" s="140"/>
    </row>
    <row r="31" spans="1:10" ht="14.5" thickBot="1">
      <c r="A31" s="21" t="s">
        <v>77</v>
      </c>
      <c r="B31" s="22" t="s">
        <v>78</v>
      </c>
      <c r="C31" s="23"/>
      <c r="D31" s="23"/>
      <c r="E31" s="23"/>
      <c r="F31" s="24"/>
      <c r="G31" s="25"/>
      <c r="H31" s="26" t="s">
        <v>79</v>
      </c>
      <c r="I31" s="125" t="s">
        <v>61</v>
      </c>
      <c r="J31" s="125"/>
    </row>
    <row r="32" spans="1:10" ht="28.5" thickBot="1">
      <c r="A32" s="27" t="s">
        <v>62</v>
      </c>
      <c r="B32" s="27" t="s">
        <v>63</v>
      </c>
      <c r="C32" s="28" t="s">
        <v>64</v>
      </c>
      <c r="D32" s="28" t="s">
        <v>65</v>
      </c>
      <c r="E32" s="28" t="s">
        <v>66</v>
      </c>
      <c r="F32" s="28" t="s">
        <v>67</v>
      </c>
      <c r="G32" s="28" t="s">
        <v>68</v>
      </c>
      <c r="H32" s="28" t="s">
        <v>69</v>
      </c>
      <c r="I32" s="30" t="s">
        <v>70</v>
      </c>
      <c r="J32" s="31" t="s">
        <v>71</v>
      </c>
    </row>
    <row r="33" spans="1:11" ht="14.5" thickBot="1">
      <c r="A33" s="42">
        <v>706</v>
      </c>
      <c r="B33" s="33">
        <v>0</v>
      </c>
      <c r="C33" s="34">
        <v>175.54</v>
      </c>
      <c r="D33" s="34"/>
      <c r="E33" s="34">
        <v>173.86</v>
      </c>
      <c r="F33" s="35">
        <v>0.1</v>
      </c>
      <c r="G33" s="36">
        <f t="shared" ref="G33:G44" si="6">(C33-E33)+F33</f>
        <v>1.7799999999999785</v>
      </c>
      <c r="H33" s="50"/>
      <c r="I33" s="146">
        <f>+AVERAGE(G33:G44)</f>
        <v>1.6346423333333095</v>
      </c>
      <c r="J33" s="146">
        <f>+(I33+0.8)/2*0.6*6*16</f>
        <v>70.117699199999322</v>
      </c>
    </row>
    <row r="34" spans="1:11">
      <c r="A34" s="38"/>
      <c r="B34" s="39">
        <v>10</v>
      </c>
      <c r="C34" s="34">
        <v>175.25</v>
      </c>
      <c r="D34" s="40"/>
      <c r="E34" s="40">
        <f>E33+(B34-B33)*0.36/100</f>
        <v>173.89600000000002</v>
      </c>
      <c r="F34" s="35">
        <v>0.1</v>
      </c>
      <c r="G34" s="36">
        <f t="shared" si="6"/>
        <v>1.4539999999999851</v>
      </c>
      <c r="H34" s="50">
        <f>+(B34-B33)*(G34+G33)/2*0.8</f>
        <v>12.935999999999854</v>
      </c>
      <c r="I34" s="147"/>
      <c r="J34" s="146"/>
    </row>
    <row r="35" spans="1:11">
      <c r="A35" s="38"/>
      <c r="B35" s="39">
        <v>20</v>
      </c>
      <c r="C35" s="34">
        <v>175.27</v>
      </c>
      <c r="D35" s="40"/>
      <c r="E35" s="40">
        <f t="shared" ref="E35:E44" si="7">E34+(B35-B34)*0.36/100</f>
        <v>173.93200000000002</v>
      </c>
      <c r="F35" s="35">
        <v>0.1</v>
      </c>
      <c r="G35" s="36">
        <f t="shared" si="6"/>
        <v>1.4379999999999939</v>
      </c>
      <c r="H35" s="50">
        <f>+(B35-B34)*(G35+G34)/2*0.8</f>
        <v>11.567999999999916</v>
      </c>
      <c r="I35" s="147"/>
      <c r="J35" s="146"/>
    </row>
    <row r="36" spans="1:11">
      <c r="A36" s="38"/>
      <c r="B36" s="39">
        <v>30</v>
      </c>
      <c r="C36" s="34">
        <v>175.54</v>
      </c>
      <c r="D36" s="40"/>
      <c r="E36" s="40">
        <f t="shared" si="7"/>
        <v>173.96800000000002</v>
      </c>
      <c r="F36" s="35">
        <v>0.1</v>
      </c>
      <c r="G36" s="36">
        <f t="shared" si="6"/>
        <v>1.6719999999999744</v>
      </c>
      <c r="H36" s="50">
        <f>+(B36-B35)*(G36+G35)/2*0.8</f>
        <v>12.439999999999873</v>
      </c>
      <c r="I36" s="147"/>
      <c r="J36" s="146"/>
    </row>
    <row r="37" spans="1:11">
      <c r="A37" s="41"/>
      <c r="B37" s="39">
        <v>40</v>
      </c>
      <c r="C37" s="34">
        <v>175.62</v>
      </c>
      <c r="D37" s="40"/>
      <c r="E37" s="40">
        <f t="shared" si="7"/>
        <v>174.00400000000002</v>
      </c>
      <c r="F37" s="35">
        <v>0.1</v>
      </c>
      <c r="G37" s="36">
        <f t="shared" si="6"/>
        <v>1.7159999999999855</v>
      </c>
      <c r="H37" s="50">
        <f>+(B37-B36)*(G37+G36)/2*0.8</f>
        <v>13.55199999999984</v>
      </c>
      <c r="I37" s="147"/>
      <c r="J37" s="146"/>
    </row>
    <row r="38" spans="1:11">
      <c r="A38" s="41"/>
      <c r="B38" s="39">
        <v>50</v>
      </c>
      <c r="C38" s="34">
        <v>175.64</v>
      </c>
      <c r="D38" s="40"/>
      <c r="E38" s="40">
        <f t="shared" si="7"/>
        <v>174.04000000000002</v>
      </c>
      <c r="F38" s="35">
        <v>0.1</v>
      </c>
      <c r="G38" s="36">
        <f t="shared" si="6"/>
        <v>1.699999999999966</v>
      </c>
      <c r="H38" s="50">
        <f t="shared" ref="H38:H44" si="8">+(B38-B37)*(G38+G37)/2*0.8</f>
        <v>13.663999999999806</v>
      </c>
      <c r="I38" s="147"/>
      <c r="J38" s="146"/>
    </row>
    <row r="39" spans="1:11">
      <c r="A39" s="41"/>
      <c r="B39" s="39">
        <v>60</v>
      </c>
      <c r="C39" s="34">
        <v>175.54</v>
      </c>
      <c r="D39" s="40"/>
      <c r="E39" s="40">
        <f t="shared" si="7"/>
        <v>174.07600000000002</v>
      </c>
      <c r="F39" s="35">
        <v>0.1</v>
      </c>
      <c r="G39" s="36">
        <f t="shared" si="6"/>
        <v>1.5639999999999703</v>
      </c>
      <c r="H39" s="50">
        <f t="shared" si="8"/>
        <v>13.055999999999745</v>
      </c>
      <c r="I39" s="147"/>
      <c r="J39" s="146"/>
    </row>
    <row r="40" spans="1:11">
      <c r="A40" s="41"/>
      <c r="B40" s="39">
        <v>70</v>
      </c>
      <c r="C40" s="34">
        <v>175.76</v>
      </c>
      <c r="D40" s="40"/>
      <c r="E40" s="40">
        <f t="shared" si="7"/>
        <v>174.11200000000002</v>
      </c>
      <c r="F40" s="35">
        <v>0.1</v>
      </c>
      <c r="G40" s="36">
        <f t="shared" si="6"/>
        <v>1.7479999999999678</v>
      </c>
      <c r="H40" s="50">
        <f t="shared" si="8"/>
        <v>13.247999999999752</v>
      </c>
      <c r="I40" s="147"/>
      <c r="J40" s="146"/>
    </row>
    <row r="41" spans="1:11">
      <c r="A41" s="41"/>
      <c r="B41" s="39">
        <v>80</v>
      </c>
      <c r="C41" s="34">
        <v>175.74</v>
      </c>
      <c r="D41" s="40"/>
      <c r="E41" s="40">
        <f t="shared" si="7"/>
        <v>174.14800000000002</v>
      </c>
      <c r="F41" s="35">
        <v>0.1</v>
      </c>
      <c r="G41" s="36">
        <f t="shared" si="6"/>
        <v>1.6919999999999846</v>
      </c>
      <c r="H41" s="50">
        <f t="shared" si="8"/>
        <v>13.75999999999981</v>
      </c>
      <c r="I41" s="147"/>
      <c r="J41" s="146"/>
    </row>
    <row r="42" spans="1:11">
      <c r="A42" s="41"/>
      <c r="B42" s="39">
        <v>90</v>
      </c>
      <c r="C42" s="34">
        <v>175.7</v>
      </c>
      <c r="D42" s="40"/>
      <c r="E42" s="40">
        <f t="shared" si="7"/>
        <v>174.18400000000003</v>
      </c>
      <c r="F42" s="35">
        <v>0.1</v>
      </c>
      <c r="G42" s="36">
        <f t="shared" si="6"/>
        <v>1.6159999999999628</v>
      </c>
      <c r="H42" s="50">
        <f t="shared" si="8"/>
        <v>13.23199999999979</v>
      </c>
      <c r="I42" s="147"/>
      <c r="J42" s="146"/>
    </row>
    <row r="43" spans="1:11">
      <c r="A43" s="8"/>
      <c r="B43" s="39">
        <v>100</v>
      </c>
      <c r="C43" s="34">
        <v>175.74</v>
      </c>
      <c r="D43" s="40"/>
      <c r="E43" s="40">
        <f t="shared" si="7"/>
        <v>174.22000000000003</v>
      </c>
      <c r="F43" s="35">
        <v>0.1</v>
      </c>
      <c r="G43" s="36">
        <f t="shared" si="6"/>
        <v>1.6199999999999819</v>
      </c>
      <c r="H43" s="50">
        <f t="shared" si="8"/>
        <v>12.943999999999779</v>
      </c>
      <c r="I43" s="147"/>
      <c r="J43" s="146"/>
    </row>
    <row r="44" spans="1:11">
      <c r="A44" s="7">
        <v>2</v>
      </c>
      <c r="B44" s="39">
        <v>103.97</v>
      </c>
      <c r="C44" s="40">
        <v>175.75</v>
      </c>
      <c r="D44" s="40"/>
      <c r="E44" s="40">
        <f t="shared" si="7"/>
        <v>174.23429200000004</v>
      </c>
      <c r="F44" s="35">
        <v>0.1</v>
      </c>
      <c r="G44" s="36">
        <f t="shared" si="6"/>
        <v>1.6157079999999611</v>
      </c>
      <c r="H44" s="50">
        <f t="shared" si="8"/>
        <v>5.1383043039999086</v>
      </c>
      <c r="I44" s="147"/>
      <c r="J44" s="146"/>
    </row>
    <row r="45" spans="1:11">
      <c r="A45" s="43"/>
      <c r="B45" s="43"/>
      <c r="C45" s="43"/>
      <c r="D45" s="44"/>
      <c r="E45" s="43"/>
      <c r="F45" s="43"/>
      <c r="G45" s="45" t="s">
        <v>72</v>
      </c>
      <c r="H45" s="46">
        <f>SUM(H34:H44)</f>
        <v>135.53830430399807</v>
      </c>
      <c r="I45" s="140">
        <f>+J33</f>
        <v>70.117699199999322</v>
      </c>
      <c r="J45" s="141"/>
    </row>
    <row r="46" spans="1:11" ht="14.5" thickBot="1">
      <c r="A46" s="43"/>
      <c r="B46" s="43"/>
      <c r="C46" s="43"/>
      <c r="D46" s="44"/>
      <c r="E46" s="43"/>
      <c r="F46" s="43"/>
      <c r="G46" s="48" t="s">
        <v>73</v>
      </c>
      <c r="H46" s="49">
        <f>+H45-2.46</f>
        <v>133.07830430399807</v>
      </c>
      <c r="I46" s="140">
        <f>+I45-0.109*16</f>
        <v>68.373699199999322</v>
      </c>
      <c r="J46" s="140"/>
    </row>
    <row r="47" spans="1:11" ht="14.5" thickBot="1">
      <c r="A47" s="21" t="s">
        <v>80</v>
      </c>
      <c r="B47" s="22" t="s">
        <v>81</v>
      </c>
      <c r="C47" s="23"/>
      <c r="D47" s="23"/>
      <c r="E47" s="23"/>
      <c r="F47" s="24"/>
      <c r="G47" s="25"/>
      <c r="H47" s="26" t="s">
        <v>82</v>
      </c>
      <c r="I47" s="125" t="s">
        <v>61</v>
      </c>
      <c r="J47" s="125"/>
    </row>
    <row r="48" spans="1:11" ht="28.5" thickBot="1">
      <c r="A48" s="27" t="s">
        <v>62</v>
      </c>
      <c r="B48" s="27" t="s">
        <v>63</v>
      </c>
      <c r="C48" s="28" t="s">
        <v>64</v>
      </c>
      <c r="D48" s="28" t="s">
        <v>65</v>
      </c>
      <c r="E48" s="28" t="s">
        <v>66</v>
      </c>
      <c r="F48" s="28" t="s">
        <v>67</v>
      </c>
      <c r="G48" s="28" t="s">
        <v>68</v>
      </c>
      <c r="H48" s="29" t="s">
        <v>69</v>
      </c>
      <c r="I48" s="30" t="s">
        <v>70</v>
      </c>
      <c r="J48" s="31" t="s">
        <v>71</v>
      </c>
      <c r="K48" s="56" t="s">
        <v>112</v>
      </c>
    </row>
    <row r="49" spans="1:11">
      <c r="A49" s="32">
        <v>5</v>
      </c>
      <c r="B49" s="33">
        <v>0</v>
      </c>
      <c r="C49" s="34">
        <v>174.9</v>
      </c>
      <c r="D49" s="34"/>
      <c r="E49" s="34">
        <v>173.98</v>
      </c>
      <c r="F49" s="35">
        <v>0.1</v>
      </c>
      <c r="G49" s="36">
        <f t="shared" ref="G49:G60" si="9">(C49-E49)+F49</f>
        <v>1.020000000000016</v>
      </c>
      <c r="H49" s="50"/>
      <c r="I49" s="146">
        <f>+AVERAGE(G49:G60)</f>
        <v>2.1812279166667508</v>
      </c>
      <c r="J49" s="146">
        <f>+(I49+0.8)/2*0.6*6*10</f>
        <v>53.662102500001517</v>
      </c>
      <c r="K49" s="147">
        <f>+(B59-B57)*2*AVERAGE(G56:G59)</f>
        <v>170.36000000000507</v>
      </c>
    </row>
    <row r="50" spans="1:11">
      <c r="A50" s="38"/>
      <c r="B50" s="39">
        <v>10</v>
      </c>
      <c r="C50" s="34">
        <v>174.97</v>
      </c>
      <c r="D50" s="40"/>
      <c r="E50" s="40">
        <f>E49+(B50-B49)*0.21/100</f>
        <v>174.00099999999998</v>
      </c>
      <c r="F50" s="35">
        <v>0.1</v>
      </c>
      <c r="G50" s="36">
        <f t="shared" si="9"/>
        <v>1.0690000000000226</v>
      </c>
      <c r="H50" s="50">
        <f>+(B50-B49)*(G50+G49)/2*0.8</f>
        <v>8.3560000000001544</v>
      </c>
      <c r="I50" s="147"/>
      <c r="J50" s="146"/>
      <c r="K50" s="147"/>
    </row>
    <row r="51" spans="1:11">
      <c r="A51" s="38"/>
      <c r="B51" s="39">
        <v>20</v>
      </c>
      <c r="C51" s="34">
        <v>175.01</v>
      </c>
      <c r="D51" s="40"/>
      <c r="E51" s="40">
        <f t="shared" ref="E51:E60" si="10">E50+(B51-B50)*0.21/100</f>
        <v>174.02199999999996</v>
      </c>
      <c r="F51" s="35">
        <v>0.1</v>
      </c>
      <c r="G51" s="36">
        <f t="shared" si="9"/>
        <v>1.0880000000000281</v>
      </c>
      <c r="H51" s="50">
        <f t="shared" ref="H51:H59" si="11">+(B51-B50)*(G51+G50)/2*0.8</f>
        <v>8.6280000000002026</v>
      </c>
      <c r="I51" s="147"/>
      <c r="J51" s="146"/>
      <c r="K51" s="147"/>
    </row>
    <row r="52" spans="1:11">
      <c r="A52" s="38"/>
      <c r="B52" s="39">
        <v>30</v>
      </c>
      <c r="C52" s="34">
        <v>175</v>
      </c>
      <c r="D52" s="40"/>
      <c r="E52" s="40">
        <f t="shared" si="10"/>
        <v>174.04299999999995</v>
      </c>
      <c r="F52" s="35">
        <v>0.1</v>
      </c>
      <c r="G52" s="36">
        <f t="shared" si="9"/>
        <v>1.0570000000000506</v>
      </c>
      <c r="H52" s="50">
        <f t="shared" si="11"/>
        <v>8.5800000000003145</v>
      </c>
      <c r="I52" s="147"/>
      <c r="J52" s="146"/>
      <c r="K52" s="147"/>
    </row>
    <row r="53" spans="1:11">
      <c r="A53" s="41"/>
      <c r="B53" s="39">
        <v>40</v>
      </c>
      <c r="C53" s="34">
        <v>175.12</v>
      </c>
      <c r="D53" s="40"/>
      <c r="E53" s="40">
        <f t="shared" si="10"/>
        <v>174.06399999999994</v>
      </c>
      <c r="F53" s="35">
        <v>0.1</v>
      </c>
      <c r="G53" s="36">
        <f t="shared" si="9"/>
        <v>1.1560000000000685</v>
      </c>
      <c r="H53" s="50">
        <f t="shared" si="11"/>
        <v>8.8520000000004764</v>
      </c>
      <c r="I53" s="147"/>
      <c r="J53" s="146"/>
      <c r="K53" s="147"/>
    </row>
    <row r="54" spans="1:11">
      <c r="A54" s="41"/>
      <c r="B54" s="39">
        <v>50</v>
      </c>
      <c r="C54" s="34">
        <v>175.16</v>
      </c>
      <c r="D54" s="40"/>
      <c r="E54" s="40">
        <f t="shared" si="10"/>
        <v>174.08499999999992</v>
      </c>
      <c r="F54" s="35">
        <v>0.1</v>
      </c>
      <c r="G54" s="36">
        <f t="shared" si="9"/>
        <v>1.175000000000074</v>
      </c>
      <c r="H54" s="50">
        <f t="shared" si="11"/>
        <v>9.3240000000005701</v>
      </c>
      <c r="I54" s="147"/>
      <c r="J54" s="146"/>
      <c r="K54" s="147"/>
    </row>
    <row r="55" spans="1:11">
      <c r="A55" s="41"/>
      <c r="B55" s="39">
        <v>60</v>
      </c>
      <c r="C55" s="34">
        <v>175.19</v>
      </c>
      <c r="D55" s="40"/>
      <c r="E55" s="40">
        <f t="shared" si="10"/>
        <v>174.10599999999991</v>
      </c>
      <c r="F55" s="35">
        <v>0.1</v>
      </c>
      <c r="G55" s="36">
        <f t="shared" si="9"/>
        <v>1.1840000000000885</v>
      </c>
      <c r="H55" s="50">
        <f t="shared" si="11"/>
        <v>9.4360000000006501</v>
      </c>
      <c r="I55" s="147"/>
      <c r="J55" s="146"/>
      <c r="K55" s="147"/>
    </row>
    <row r="56" spans="1:11">
      <c r="A56" s="41"/>
      <c r="B56" s="39">
        <v>70</v>
      </c>
      <c r="C56" s="34">
        <v>175.24</v>
      </c>
      <c r="D56" s="40"/>
      <c r="E56" s="40">
        <f t="shared" si="10"/>
        <v>174.1269999999999</v>
      </c>
      <c r="F56" s="35">
        <v>0.1</v>
      </c>
      <c r="G56" s="36">
        <f t="shared" si="9"/>
        <v>1.2130000000001133</v>
      </c>
      <c r="H56" s="50">
        <f t="shared" si="11"/>
        <v>9.5880000000008074</v>
      </c>
      <c r="I56" s="147"/>
      <c r="J56" s="146"/>
      <c r="K56" s="147"/>
    </row>
    <row r="57" spans="1:11">
      <c r="A57" s="41"/>
      <c r="B57" s="39">
        <v>80</v>
      </c>
      <c r="C57" s="34">
        <v>176.28</v>
      </c>
      <c r="D57" s="40"/>
      <c r="E57" s="40">
        <f t="shared" si="10"/>
        <v>174.14799999999988</v>
      </c>
      <c r="F57" s="35">
        <v>1.1000000000000001</v>
      </c>
      <c r="G57" s="36">
        <f t="shared" si="9"/>
        <v>3.2320000000001188</v>
      </c>
      <c r="H57" s="50">
        <f t="shared" si="11"/>
        <v>17.780000000000928</v>
      </c>
      <c r="I57" s="147"/>
      <c r="J57" s="146"/>
      <c r="K57" s="147"/>
    </row>
    <row r="58" spans="1:11">
      <c r="A58" s="41"/>
      <c r="B58" s="39">
        <v>90</v>
      </c>
      <c r="C58" s="34">
        <v>177.33</v>
      </c>
      <c r="D58" s="40"/>
      <c r="E58" s="40">
        <f t="shared" si="10"/>
        <v>174.16899999999987</v>
      </c>
      <c r="F58" s="35">
        <v>2.1</v>
      </c>
      <c r="G58" s="36">
        <f t="shared" si="9"/>
        <v>5.2610000000001431</v>
      </c>
      <c r="H58" s="50">
        <f t="shared" si="11"/>
        <v>33.972000000001053</v>
      </c>
      <c r="I58" s="147"/>
      <c r="J58" s="146"/>
      <c r="K58" s="147"/>
    </row>
    <row r="59" spans="1:11">
      <c r="A59" s="41"/>
      <c r="B59" s="39">
        <v>100</v>
      </c>
      <c r="C59" s="34">
        <v>178.42</v>
      </c>
      <c r="D59" s="40"/>
      <c r="E59" s="40">
        <f t="shared" si="10"/>
        <v>174.18999999999986</v>
      </c>
      <c r="F59" s="35">
        <v>3.1</v>
      </c>
      <c r="G59" s="36">
        <f t="shared" si="9"/>
        <v>7.3300000000001315</v>
      </c>
      <c r="H59" s="50">
        <f t="shared" si="11"/>
        <v>50.364000000001106</v>
      </c>
      <c r="I59" s="147"/>
      <c r="J59" s="146"/>
      <c r="K59" s="147"/>
    </row>
    <row r="60" spans="1:11" ht="14.5" thickBot="1">
      <c r="A60" s="42">
        <v>6</v>
      </c>
      <c r="B60" s="39">
        <v>109.65</v>
      </c>
      <c r="C60" s="40">
        <v>175.5</v>
      </c>
      <c r="D60" s="40"/>
      <c r="E60" s="40">
        <f t="shared" si="10"/>
        <v>174.21026499999985</v>
      </c>
      <c r="F60" s="35">
        <v>0.1</v>
      </c>
      <c r="G60" s="36">
        <f t="shared" si="9"/>
        <v>1.3897350000001496</v>
      </c>
      <c r="H60" s="50">
        <f>+(B60-B56)*(G60+G56)/2*0.8</f>
        <v>41.279377100004183</v>
      </c>
      <c r="I60" s="147"/>
      <c r="J60" s="146"/>
      <c r="K60" s="147"/>
    </row>
    <row r="61" spans="1:11">
      <c r="A61" s="43"/>
      <c r="B61" s="43"/>
      <c r="C61" s="43"/>
      <c r="D61" s="44"/>
      <c r="E61" s="43"/>
      <c r="F61" s="43"/>
      <c r="G61" s="45" t="s">
        <v>72</v>
      </c>
      <c r="H61" s="46">
        <f>SUM(H50:H60)</f>
        <v>206.15937710001043</v>
      </c>
      <c r="I61" s="140">
        <f>+J49</f>
        <v>53.662102500001517</v>
      </c>
      <c r="J61" s="140"/>
    </row>
    <row r="62" spans="1:11" ht="14.5" thickBot="1">
      <c r="G62" s="48" t="s">
        <v>73</v>
      </c>
      <c r="H62" s="49">
        <f>+H61-2.46</f>
        <v>203.69937710001042</v>
      </c>
      <c r="I62" s="140">
        <f>+I61-0.109*10</f>
        <v>52.572102500001513</v>
      </c>
      <c r="J62" s="140"/>
    </row>
    <row r="63" spans="1:11" ht="14.5" thickBot="1">
      <c r="A63" s="21" t="s">
        <v>83</v>
      </c>
      <c r="B63" s="22" t="s">
        <v>84</v>
      </c>
      <c r="C63" s="23"/>
      <c r="D63" s="23"/>
      <c r="E63" s="23"/>
      <c r="F63" s="24"/>
      <c r="G63" s="25"/>
      <c r="H63" s="26" t="s">
        <v>85</v>
      </c>
      <c r="I63" s="125" t="s">
        <v>61</v>
      </c>
      <c r="J63" s="125"/>
    </row>
    <row r="64" spans="1:11" ht="28.5" thickBot="1">
      <c r="A64" s="27" t="s">
        <v>62</v>
      </c>
      <c r="B64" s="27" t="s">
        <v>63</v>
      </c>
      <c r="C64" s="28" t="s">
        <v>64</v>
      </c>
      <c r="D64" s="28" t="s">
        <v>65</v>
      </c>
      <c r="E64" s="28" t="s">
        <v>66</v>
      </c>
      <c r="F64" s="28" t="s">
        <v>67</v>
      </c>
      <c r="G64" s="28" t="s">
        <v>68</v>
      </c>
      <c r="H64" s="29" t="s">
        <v>69</v>
      </c>
      <c r="I64" s="30" t="s">
        <v>70</v>
      </c>
      <c r="J64" s="31" t="s">
        <v>71</v>
      </c>
      <c r="K64" s="56" t="s">
        <v>112</v>
      </c>
    </row>
    <row r="65" spans="1:11">
      <c r="A65" s="32">
        <v>4</v>
      </c>
      <c r="B65" s="33">
        <v>0</v>
      </c>
      <c r="C65" s="34">
        <v>174.75</v>
      </c>
      <c r="D65" s="34"/>
      <c r="E65" s="34">
        <v>173.84</v>
      </c>
      <c r="F65" s="35">
        <v>0.1</v>
      </c>
      <c r="G65" s="36">
        <f t="shared" ref="G65:G72" si="12">(C65-E65)+F65</f>
        <v>1.0099999999999967</v>
      </c>
      <c r="H65" s="50"/>
      <c r="I65" s="146">
        <f>+AVERAGE(G65:G72)</f>
        <v>1.3751471250000427</v>
      </c>
      <c r="J65" s="146">
        <f>+(I65+0.8)/2*0.6*6*7</f>
        <v>27.406853775000538</v>
      </c>
      <c r="K65" s="147">
        <f>+(B71-B69)*2*AVERAGE(G69:G71)</f>
        <v>81.000000000002359</v>
      </c>
    </row>
    <row r="66" spans="1:11">
      <c r="A66" s="38"/>
      <c r="B66" s="39">
        <v>10</v>
      </c>
      <c r="C66" s="34">
        <v>174.74</v>
      </c>
      <c r="D66" s="40"/>
      <c r="E66" s="40">
        <f>E65+(B66-B65)*0.21/100</f>
        <v>173.86099999999999</v>
      </c>
      <c r="F66" s="35">
        <v>0.1</v>
      </c>
      <c r="G66" s="36">
        <f t="shared" si="12"/>
        <v>0.97900000000001908</v>
      </c>
      <c r="H66" s="50">
        <f>+(B66-B65)*(G66+G65)/2*0.8</f>
        <v>7.9560000000000635</v>
      </c>
      <c r="I66" s="147"/>
      <c r="J66" s="146"/>
      <c r="K66" s="147"/>
    </row>
    <row r="67" spans="1:11">
      <c r="A67" s="38"/>
      <c r="B67" s="39">
        <v>20</v>
      </c>
      <c r="C67" s="34">
        <v>174.74</v>
      </c>
      <c r="D67" s="40"/>
      <c r="E67" s="40">
        <f t="shared" ref="E67:E72" si="13">E66+(B67-B66)*0.21/100</f>
        <v>173.88199999999998</v>
      </c>
      <c r="F67" s="35">
        <v>0.1</v>
      </c>
      <c r="G67" s="36">
        <f t="shared" si="12"/>
        <v>0.95800000000003249</v>
      </c>
      <c r="H67" s="50">
        <f t="shared" ref="H67:H71" si="14">+(B67-B66)*(G67+G66)/2*0.8</f>
        <v>7.7480000000002072</v>
      </c>
      <c r="I67" s="147"/>
      <c r="J67" s="146"/>
      <c r="K67" s="147"/>
    </row>
    <row r="68" spans="1:11">
      <c r="A68" s="38"/>
      <c r="B68" s="39">
        <v>30</v>
      </c>
      <c r="C68" s="34">
        <v>174.76</v>
      </c>
      <c r="D68" s="40"/>
      <c r="E68" s="40">
        <f t="shared" si="13"/>
        <v>173.90299999999996</v>
      </c>
      <c r="F68" s="35">
        <v>0.1</v>
      </c>
      <c r="G68" s="36">
        <f t="shared" si="12"/>
        <v>0.95700000000002772</v>
      </c>
      <c r="H68" s="50">
        <f t="shared" si="14"/>
        <v>7.6600000000002417</v>
      </c>
      <c r="I68" s="147"/>
      <c r="J68" s="146"/>
      <c r="K68" s="147"/>
    </row>
    <row r="69" spans="1:11">
      <c r="A69" s="41"/>
      <c r="B69" s="39">
        <v>40</v>
      </c>
      <c r="C69" s="34">
        <v>174.79</v>
      </c>
      <c r="D69" s="40"/>
      <c r="E69" s="40">
        <f t="shared" si="13"/>
        <v>173.92399999999995</v>
      </c>
      <c r="F69" s="35">
        <v>0.1</v>
      </c>
      <c r="G69" s="36">
        <f t="shared" si="12"/>
        <v>0.96600000000004227</v>
      </c>
      <c r="H69" s="50">
        <f t="shared" si="14"/>
        <v>7.6920000000002808</v>
      </c>
      <c r="I69" s="147"/>
      <c r="J69" s="146"/>
      <c r="K69" s="147"/>
    </row>
    <row r="70" spans="1:11">
      <c r="A70" s="41"/>
      <c r="B70" s="39">
        <v>50</v>
      </c>
      <c r="C70" s="34">
        <v>174.9</v>
      </c>
      <c r="D70" s="40"/>
      <c r="E70" s="40">
        <f t="shared" si="13"/>
        <v>173.94499999999994</v>
      </c>
      <c r="F70" s="35">
        <v>1.1000000000000001</v>
      </c>
      <c r="G70" s="36">
        <f t="shared" si="12"/>
        <v>2.0550000000000694</v>
      </c>
      <c r="H70" s="50">
        <f t="shared" si="14"/>
        <v>12.084000000000447</v>
      </c>
      <c r="I70" s="147"/>
      <c r="J70" s="146"/>
      <c r="K70" s="147"/>
    </row>
    <row r="71" spans="1:11">
      <c r="A71" s="41"/>
      <c r="B71" s="39">
        <v>60</v>
      </c>
      <c r="C71" s="34">
        <v>174.92</v>
      </c>
      <c r="D71" s="40"/>
      <c r="E71" s="40">
        <f t="shared" si="13"/>
        <v>173.96599999999992</v>
      </c>
      <c r="F71" s="35">
        <v>2.1</v>
      </c>
      <c r="G71" s="36">
        <f t="shared" si="12"/>
        <v>3.0540000000000647</v>
      </c>
      <c r="H71" s="50">
        <f t="shared" si="14"/>
        <v>20.436000000000536</v>
      </c>
      <c r="I71" s="147"/>
      <c r="J71" s="146"/>
      <c r="K71" s="147"/>
    </row>
    <row r="72" spans="1:11" ht="14.5" thickBot="1">
      <c r="A72" s="42">
        <v>5</v>
      </c>
      <c r="B72" s="39">
        <v>65.63</v>
      </c>
      <c r="C72" s="40">
        <v>174.9</v>
      </c>
      <c r="D72" s="40"/>
      <c r="E72" s="40">
        <f t="shared" si="13"/>
        <v>173.97782299999992</v>
      </c>
      <c r="F72" s="35">
        <v>0.1</v>
      </c>
      <c r="G72" s="36">
        <f t="shared" si="12"/>
        <v>1.0221770000000903</v>
      </c>
      <c r="H72" s="50">
        <f>+(B72-B69)*(G72+G69)/2*0.8</f>
        <v>20.382790604001357</v>
      </c>
      <c r="I72" s="147"/>
      <c r="J72" s="146"/>
      <c r="K72" s="147"/>
    </row>
    <row r="73" spans="1:11">
      <c r="A73" s="43"/>
      <c r="B73" s="43"/>
      <c r="C73" s="43"/>
      <c r="D73" s="44"/>
      <c r="E73" s="43"/>
      <c r="F73" s="43"/>
      <c r="G73" s="45" t="s">
        <v>72</v>
      </c>
      <c r="H73" s="46">
        <f>SUM(H66:H72)</f>
        <v>83.958790604003127</v>
      </c>
      <c r="I73" s="140">
        <f>+J65</f>
        <v>27.406853775000538</v>
      </c>
      <c r="J73" s="141"/>
    </row>
    <row r="74" spans="1:11" ht="14.5" thickBot="1">
      <c r="A74" s="43"/>
      <c r="B74" s="43"/>
      <c r="C74" s="43"/>
      <c r="D74" s="44"/>
      <c r="E74" s="43"/>
      <c r="F74" s="43"/>
      <c r="G74" s="48" t="s">
        <v>73</v>
      </c>
      <c r="H74" s="49">
        <f>+H73-2.46</f>
        <v>81.498790604003133</v>
      </c>
      <c r="I74" s="140">
        <f>+I73-0.109*7</f>
        <v>26.643853775000537</v>
      </c>
      <c r="J74" s="140"/>
    </row>
    <row r="75" spans="1:11" ht="14.5" thickBot="1">
      <c r="A75" s="21" t="s">
        <v>86</v>
      </c>
      <c r="B75" s="22" t="s">
        <v>87</v>
      </c>
      <c r="C75" s="23"/>
      <c r="D75" s="23"/>
      <c r="E75" s="23"/>
      <c r="F75" s="24"/>
      <c r="G75" s="25"/>
      <c r="H75" s="26" t="s">
        <v>88</v>
      </c>
      <c r="I75" s="125" t="s">
        <v>61</v>
      </c>
      <c r="J75" s="125"/>
    </row>
    <row r="76" spans="1:11" ht="28.5" thickBot="1">
      <c r="A76" s="27" t="s">
        <v>62</v>
      </c>
      <c r="B76" s="27" t="s">
        <v>63</v>
      </c>
      <c r="C76" s="28" t="s">
        <v>64</v>
      </c>
      <c r="D76" s="28" t="s">
        <v>65</v>
      </c>
      <c r="E76" s="28" t="s">
        <v>66</v>
      </c>
      <c r="F76" s="28" t="s">
        <v>67</v>
      </c>
      <c r="G76" s="28" t="s">
        <v>68</v>
      </c>
      <c r="H76" s="29" t="s">
        <v>69</v>
      </c>
      <c r="I76" s="30" t="s">
        <v>70</v>
      </c>
      <c r="J76" s="31" t="s">
        <v>71</v>
      </c>
    </row>
    <row r="77" spans="1:11">
      <c r="A77" s="32">
        <v>693</v>
      </c>
      <c r="B77" s="33">
        <v>0</v>
      </c>
      <c r="C77" s="34">
        <v>174.9</v>
      </c>
      <c r="D77" s="34"/>
      <c r="E77" s="34">
        <v>173.62</v>
      </c>
      <c r="F77" s="35">
        <v>0.1</v>
      </c>
      <c r="G77" s="36">
        <f t="shared" ref="G77:G88" si="15">(C77-E77)+F77</f>
        <v>1.3800000000000012</v>
      </c>
      <c r="H77" s="50"/>
      <c r="I77" s="146">
        <f>+AVERAGE(G77:G88)</f>
        <v>1.2529905000000723</v>
      </c>
      <c r="J77" s="146">
        <f>+(I77+0.8)/2*0.6*6*14</f>
        <v>51.735360600001819</v>
      </c>
    </row>
    <row r="78" spans="1:11">
      <c r="A78" s="38"/>
      <c r="B78" s="39">
        <v>10</v>
      </c>
      <c r="C78" s="34">
        <v>174.9</v>
      </c>
      <c r="D78" s="40"/>
      <c r="E78" s="40">
        <f>E77+(B78-B77)*0.21/100</f>
        <v>173.64099999999999</v>
      </c>
      <c r="F78" s="35">
        <v>0.1</v>
      </c>
      <c r="G78" s="36">
        <f t="shared" si="15"/>
        <v>1.3590000000000146</v>
      </c>
      <c r="H78" s="50">
        <f>+(B78-B77)*(G78+G77)/2*0.8</f>
        <v>10.956000000000063</v>
      </c>
      <c r="I78" s="147"/>
      <c r="J78" s="146"/>
    </row>
    <row r="79" spans="1:11">
      <c r="A79" s="38"/>
      <c r="B79" s="39">
        <v>20</v>
      </c>
      <c r="C79" s="34">
        <v>174.9</v>
      </c>
      <c r="D79" s="40"/>
      <c r="E79" s="40">
        <f t="shared" ref="E79:E88" si="16">E78+(B79-B78)*0.21/100</f>
        <v>173.66199999999998</v>
      </c>
      <c r="F79" s="35">
        <v>0.1</v>
      </c>
      <c r="G79" s="36">
        <f t="shared" si="15"/>
        <v>1.3380000000000281</v>
      </c>
      <c r="H79" s="50">
        <f t="shared" ref="H79:H87" si="17">+(B79-B78)*(G79+G78)/2*0.8</f>
        <v>10.788000000000171</v>
      </c>
      <c r="I79" s="147"/>
      <c r="J79" s="146"/>
    </row>
    <row r="80" spans="1:11">
      <c r="A80" s="38"/>
      <c r="B80" s="39">
        <v>30</v>
      </c>
      <c r="C80" s="34">
        <v>174.9</v>
      </c>
      <c r="D80" s="40"/>
      <c r="E80" s="40">
        <f t="shared" si="16"/>
        <v>173.68299999999996</v>
      </c>
      <c r="F80" s="35">
        <v>0.1</v>
      </c>
      <c r="G80" s="36">
        <f t="shared" si="15"/>
        <v>1.3170000000000415</v>
      </c>
      <c r="H80" s="50">
        <f t="shared" si="17"/>
        <v>10.620000000000278</v>
      </c>
      <c r="I80" s="147"/>
      <c r="J80" s="146"/>
    </row>
    <row r="81" spans="1:10">
      <c r="A81" s="41"/>
      <c r="B81" s="39">
        <v>40</v>
      </c>
      <c r="C81" s="34">
        <v>174.9</v>
      </c>
      <c r="D81" s="40"/>
      <c r="E81" s="40">
        <f t="shared" si="16"/>
        <v>173.70399999999995</v>
      </c>
      <c r="F81" s="35">
        <v>0.1</v>
      </c>
      <c r="G81" s="36">
        <f t="shared" si="15"/>
        <v>1.2960000000000549</v>
      </c>
      <c r="H81" s="50">
        <f t="shared" si="17"/>
        <v>10.452000000000385</v>
      </c>
      <c r="I81" s="147"/>
      <c r="J81" s="146"/>
    </row>
    <row r="82" spans="1:10">
      <c r="A82" s="41"/>
      <c r="B82" s="39">
        <v>50</v>
      </c>
      <c r="C82" s="34">
        <v>174.9</v>
      </c>
      <c r="D82" s="40"/>
      <c r="E82" s="40">
        <f t="shared" si="16"/>
        <v>173.72499999999994</v>
      </c>
      <c r="F82" s="35">
        <v>0.1</v>
      </c>
      <c r="G82" s="36">
        <f t="shared" si="15"/>
        <v>1.2750000000000683</v>
      </c>
      <c r="H82" s="50">
        <f t="shared" si="17"/>
        <v>10.284000000000493</v>
      </c>
      <c r="I82" s="147"/>
      <c r="J82" s="146"/>
    </row>
    <row r="83" spans="1:10">
      <c r="A83" s="41"/>
      <c r="B83" s="39">
        <v>60</v>
      </c>
      <c r="C83" s="34">
        <v>174.9</v>
      </c>
      <c r="D83" s="40"/>
      <c r="E83" s="40">
        <f t="shared" si="16"/>
        <v>173.74599999999992</v>
      </c>
      <c r="F83" s="35">
        <v>0.1</v>
      </c>
      <c r="G83" s="36">
        <f t="shared" si="15"/>
        <v>1.2540000000000817</v>
      </c>
      <c r="H83" s="50">
        <f t="shared" si="17"/>
        <v>10.1160000000006</v>
      </c>
      <c r="I83" s="147"/>
      <c r="J83" s="146"/>
    </row>
    <row r="84" spans="1:10">
      <c r="A84" s="41"/>
      <c r="B84" s="39">
        <v>70</v>
      </c>
      <c r="C84" s="34">
        <v>174.9</v>
      </c>
      <c r="D84" s="40"/>
      <c r="E84" s="40">
        <f t="shared" si="16"/>
        <v>173.76699999999991</v>
      </c>
      <c r="F84" s="35">
        <v>0.1</v>
      </c>
      <c r="G84" s="36">
        <f t="shared" si="15"/>
        <v>1.2330000000000951</v>
      </c>
      <c r="H84" s="50">
        <f t="shared" si="17"/>
        <v>9.9480000000007074</v>
      </c>
      <c r="I84" s="147"/>
      <c r="J84" s="146"/>
    </row>
    <row r="85" spans="1:10">
      <c r="A85" s="41"/>
      <c r="B85" s="39">
        <v>80</v>
      </c>
      <c r="C85" s="34">
        <v>174.9</v>
      </c>
      <c r="D85" s="40"/>
      <c r="E85" s="40">
        <f t="shared" si="16"/>
        <v>173.7879999999999</v>
      </c>
      <c r="F85" s="35">
        <v>0.1</v>
      </c>
      <c r="G85" s="36">
        <f t="shared" si="15"/>
        <v>1.2120000000001085</v>
      </c>
      <c r="H85" s="50">
        <f t="shared" si="17"/>
        <v>9.7800000000008147</v>
      </c>
      <c r="I85" s="147"/>
      <c r="J85" s="146"/>
    </row>
    <row r="86" spans="1:10">
      <c r="A86" s="41"/>
      <c r="B86" s="39">
        <v>90</v>
      </c>
      <c r="C86" s="34">
        <v>174.9</v>
      </c>
      <c r="D86" s="40"/>
      <c r="E86" s="40">
        <f t="shared" si="16"/>
        <v>173.80899999999988</v>
      </c>
      <c r="F86" s="35">
        <v>0.1</v>
      </c>
      <c r="G86" s="36">
        <f t="shared" si="15"/>
        <v>1.191000000000122</v>
      </c>
      <c r="H86" s="50">
        <f t="shared" si="17"/>
        <v>9.612000000000922</v>
      </c>
      <c r="I86" s="147"/>
      <c r="J86" s="146"/>
    </row>
    <row r="87" spans="1:10">
      <c r="A87" s="41"/>
      <c r="B87" s="39">
        <v>100</v>
      </c>
      <c r="C87" s="34">
        <v>174.9</v>
      </c>
      <c r="D87" s="40"/>
      <c r="E87" s="40">
        <f t="shared" si="16"/>
        <v>173.82999999999987</v>
      </c>
      <c r="F87" s="35">
        <v>0.1</v>
      </c>
      <c r="G87" s="36">
        <f t="shared" si="15"/>
        <v>1.1700000000001354</v>
      </c>
      <c r="H87" s="50">
        <f t="shared" si="17"/>
        <v>9.4440000000010293</v>
      </c>
      <c r="I87" s="147"/>
      <c r="J87" s="146"/>
    </row>
    <row r="88" spans="1:10" ht="14.5" thickBot="1">
      <c r="A88" s="42">
        <v>4</v>
      </c>
      <c r="B88" s="39">
        <v>104.34</v>
      </c>
      <c r="C88" s="40">
        <v>174.75</v>
      </c>
      <c r="D88" s="40"/>
      <c r="E88" s="40">
        <f t="shared" si="16"/>
        <v>173.83911399999988</v>
      </c>
      <c r="F88" s="35">
        <v>0.1</v>
      </c>
      <c r="G88" s="36">
        <f t="shared" si="15"/>
        <v>1.0108860000001187</v>
      </c>
      <c r="H88" s="50">
        <f>+(B88-B84)*(G88+G84)/2*0.8</f>
        <v>30.822018096002939</v>
      </c>
      <c r="I88" s="147"/>
      <c r="J88" s="146"/>
    </row>
    <row r="89" spans="1:10">
      <c r="A89" s="43"/>
      <c r="B89" s="43"/>
      <c r="C89" s="43"/>
      <c r="D89" s="44"/>
      <c r="E89" s="43"/>
      <c r="F89" s="43"/>
      <c r="G89" s="45" t="s">
        <v>72</v>
      </c>
      <c r="H89" s="46">
        <f>SUM(H78:H88)</f>
        <v>132.82201809600838</v>
      </c>
      <c r="I89" s="140">
        <f>+J77</f>
        <v>51.735360600001819</v>
      </c>
      <c r="J89" s="141"/>
    </row>
    <row r="90" spans="1:10" ht="14.5" thickBot="1">
      <c r="A90" s="43"/>
      <c r="B90" s="43"/>
      <c r="C90" s="43"/>
      <c r="D90" s="44"/>
      <c r="E90" s="43"/>
      <c r="F90" s="43"/>
      <c r="G90" s="48" t="s">
        <v>73</v>
      </c>
      <c r="H90" s="49">
        <f>+H89-2.46</f>
        <v>130.36201809600837</v>
      </c>
      <c r="I90" s="150">
        <f>+I89-0.109*14</f>
        <v>50.209360600001816</v>
      </c>
      <c r="J90" s="150"/>
    </row>
    <row r="91" spans="1:10" ht="14.5" thickBot="1">
      <c r="A91" s="21" t="s">
        <v>89</v>
      </c>
      <c r="B91" s="22" t="s">
        <v>90</v>
      </c>
      <c r="C91" s="23"/>
      <c r="D91" s="23"/>
      <c r="E91" s="23"/>
      <c r="F91" s="24"/>
      <c r="G91" s="25"/>
      <c r="H91" s="26" t="s">
        <v>91</v>
      </c>
      <c r="I91" s="125" t="s">
        <v>61</v>
      </c>
      <c r="J91" s="125"/>
    </row>
    <row r="92" spans="1:10" ht="28.5" thickBot="1">
      <c r="A92" s="27" t="s">
        <v>62</v>
      </c>
      <c r="B92" s="27" t="s">
        <v>63</v>
      </c>
      <c r="C92" s="28" t="s">
        <v>64</v>
      </c>
      <c r="D92" s="28" t="s">
        <v>65</v>
      </c>
      <c r="E92" s="28" t="s">
        <v>66</v>
      </c>
      <c r="F92" s="28" t="s">
        <v>67</v>
      </c>
      <c r="G92" s="28" t="s">
        <v>68</v>
      </c>
      <c r="H92" s="29" t="s">
        <v>69</v>
      </c>
      <c r="I92" s="30" t="s">
        <v>70</v>
      </c>
      <c r="J92" s="31" t="s">
        <v>71</v>
      </c>
    </row>
    <row r="93" spans="1:10">
      <c r="A93" s="32">
        <v>7</v>
      </c>
      <c r="B93" s="33">
        <v>0</v>
      </c>
      <c r="C93" s="34">
        <v>174.94</v>
      </c>
      <c r="D93" s="34"/>
      <c r="E93" s="34">
        <v>173.34</v>
      </c>
      <c r="F93" s="35">
        <v>0.1</v>
      </c>
      <c r="G93" s="36">
        <f t="shared" ref="G93:G97" si="18">(C93-E93)+F93</f>
        <v>1.6999999999999944</v>
      </c>
      <c r="H93" s="50"/>
      <c r="I93" s="146">
        <f>+AVERAGE(G93:G97)</f>
        <v>1.6870781999999906</v>
      </c>
      <c r="J93" s="146">
        <f>+(I93+0.8)/2*0.6*6*3</f>
        <v>13.430222279999949</v>
      </c>
    </row>
    <row r="94" spans="1:10">
      <c r="A94" s="38"/>
      <c r="B94" s="39">
        <v>10</v>
      </c>
      <c r="C94" s="34">
        <v>174.72</v>
      </c>
      <c r="D94" s="40"/>
      <c r="E94" s="40">
        <f>E93-(B94-B93)*0.53/100</f>
        <v>173.28700000000001</v>
      </c>
      <c r="F94" s="35">
        <v>0.1</v>
      </c>
      <c r="G94" s="36">
        <f t="shared" si="18"/>
        <v>1.5329999999999928</v>
      </c>
      <c r="H94" s="50">
        <f>+(B94-B93)*(G94+G93)/2*0.8</f>
        <v>12.931999999999949</v>
      </c>
      <c r="I94" s="147"/>
      <c r="J94" s="146"/>
    </row>
    <row r="95" spans="1:10">
      <c r="A95" s="38"/>
      <c r="B95" s="39">
        <v>20</v>
      </c>
      <c r="C95" s="34">
        <v>174.85</v>
      </c>
      <c r="D95" s="40"/>
      <c r="E95" s="40">
        <f t="shared" ref="E95:E97" si="19">E94-(B95-B94)*0.53/100</f>
        <v>173.23400000000001</v>
      </c>
      <c r="F95" s="35">
        <v>0.1</v>
      </c>
      <c r="G95" s="36">
        <f t="shared" si="18"/>
        <v>1.7159999999999855</v>
      </c>
      <c r="H95" s="50">
        <f t="shared" ref="H95:H97" si="20">+(B95-B94)*(G95+G94)/2*0.8</f>
        <v>12.995999999999913</v>
      </c>
      <c r="I95" s="147"/>
      <c r="J95" s="146"/>
    </row>
    <row r="96" spans="1:10">
      <c r="A96" s="38"/>
      <c r="B96" s="39">
        <v>30</v>
      </c>
      <c r="C96" s="34">
        <v>174.92</v>
      </c>
      <c r="D96" s="40"/>
      <c r="E96" s="40">
        <f t="shared" si="19"/>
        <v>173.18100000000001</v>
      </c>
      <c r="F96" s="35">
        <v>0.1</v>
      </c>
      <c r="G96" s="36">
        <f t="shared" si="18"/>
        <v>1.838999999999976</v>
      </c>
      <c r="H96" s="50">
        <f t="shared" si="20"/>
        <v>14.219999999999846</v>
      </c>
      <c r="I96" s="147"/>
      <c r="J96" s="146"/>
    </row>
    <row r="97" spans="1:10" ht="14.5" thickBot="1">
      <c r="A97" s="42">
        <v>692</v>
      </c>
      <c r="B97" s="39">
        <v>33.47</v>
      </c>
      <c r="C97" s="40">
        <v>174.71</v>
      </c>
      <c r="D97" s="40"/>
      <c r="E97" s="40">
        <f t="shared" si="19"/>
        <v>173.162609</v>
      </c>
      <c r="F97" s="35">
        <v>0.1</v>
      </c>
      <c r="G97" s="36">
        <f t="shared" si="18"/>
        <v>1.6473910000000047</v>
      </c>
      <c r="H97" s="50">
        <f t="shared" si="20"/>
        <v>4.8391107079999713</v>
      </c>
      <c r="I97" s="147"/>
      <c r="J97" s="146"/>
    </row>
    <row r="98" spans="1:10">
      <c r="A98" s="43"/>
      <c r="B98" s="43"/>
      <c r="C98" s="43"/>
      <c r="D98" s="44"/>
      <c r="E98" s="43"/>
      <c r="F98" s="43"/>
      <c r="G98" s="45" t="s">
        <v>72</v>
      </c>
      <c r="H98" s="46">
        <f>SUM(H94:H97)</f>
        <v>44.987110707999683</v>
      </c>
      <c r="I98" s="140">
        <f>+J93</f>
        <v>13.430222279999949</v>
      </c>
      <c r="J98" s="141"/>
    </row>
    <row r="99" spans="1:10" ht="14.5" thickBot="1">
      <c r="A99" s="43"/>
      <c r="B99" s="43"/>
      <c r="C99" s="43"/>
      <c r="D99" s="44"/>
      <c r="E99" s="43"/>
      <c r="F99" s="43"/>
      <c r="G99" s="48" t="s">
        <v>73</v>
      </c>
      <c r="H99" s="49">
        <f>+H98-2.46</f>
        <v>42.527110707999682</v>
      </c>
      <c r="I99" s="140">
        <f>+I98-0.109*3</f>
        <v>13.103222279999949</v>
      </c>
      <c r="J99" s="140"/>
    </row>
    <row r="100" spans="1:10" ht="14.5" thickBot="1">
      <c r="A100" s="21" t="s">
        <v>92</v>
      </c>
      <c r="B100" s="22" t="s">
        <v>93</v>
      </c>
      <c r="C100" s="23"/>
      <c r="D100" s="23"/>
      <c r="E100" s="23"/>
      <c r="F100" s="24"/>
      <c r="G100" s="25"/>
      <c r="H100" s="26" t="s">
        <v>76</v>
      </c>
      <c r="I100" s="125" t="s">
        <v>61</v>
      </c>
      <c r="J100" s="125"/>
    </row>
    <row r="101" spans="1:10" ht="28.5" thickBot="1">
      <c r="A101" s="27" t="s">
        <v>62</v>
      </c>
      <c r="B101" s="27" t="s">
        <v>63</v>
      </c>
      <c r="C101" s="28" t="s">
        <v>64</v>
      </c>
      <c r="D101" s="28" t="s">
        <v>65</v>
      </c>
      <c r="E101" s="28" t="s">
        <v>66</v>
      </c>
      <c r="F101" s="28" t="s">
        <v>67</v>
      </c>
      <c r="G101" s="28" t="s">
        <v>68</v>
      </c>
      <c r="H101" s="29" t="s">
        <v>69</v>
      </c>
      <c r="I101" s="30" t="s">
        <v>70</v>
      </c>
      <c r="J101" s="31" t="s">
        <v>71</v>
      </c>
    </row>
    <row r="102" spans="1:10">
      <c r="A102" s="32">
        <v>2</v>
      </c>
      <c r="B102" s="33">
        <v>0</v>
      </c>
      <c r="C102" s="34">
        <v>175.75</v>
      </c>
      <c r="D102" s="34"/>
      <c r="E102" s="34">
        <v>174.24</v>
      </c>
      <c r="F102" s="35">
        <v>0.1</v>
      </c>
      <c r="G102" s="36">
        <f t="shared" ref="G102:G108" si="21">(C102-E102)+F102</f>
        <v>1.609999999999991</v>
      </c>
      <c r="H102" s="50"/>
      <c r="I102" s="146">
        <f>+AVERAGE(G102:G108)</f>
        <v>1.1410034285713964</v>
      </c>
      <c r="J102" s="146">
        <f>+(I102+0.8)/2*0.6*6*5</f>
        <v>17.469030857142567</v>
      </c>
    </row>
    <row r="103" spans="1:10">
      <c r="A103" s="38"/>
      <c r="B103" s="39">
        <v>10</v>
      </c>
      <c r="C103" s="34">
        <v>175.39</v>
      </c>
      <c r="D103" s="40"/>
      <c r="E103" s="40">
        <f>E102-(B103-B102)*0.76/100</f>
        <v>174.16400000000002</v>
      </c>
      <c r="F103" s="35">
        <v>0.1</v>
      </c>
      <c r="G103" s="36">
        <f t="shared" si="21"/>
        <v>1.3259999999999708</v>
      </c>
      <c r="H103" s="50">
        <f>+(B103-B102)*(G103+G102)/2*0.8</f>
        <v>11.743999999999847</v>
      </c>
      <c r="I103" s="147"/>
      <c r="J103" s="146"/>
    </row>
    <row r="104" spans="1:10">
      <c r="A104" s="38"/>
      <c r="B104" s="39">
        <v>20</v>
      </c>
      <c r="C104" s="34">
        <v>175.12</v>
      </c>
      <c r="D104" s="40"/>
      <c r="E104" s="40">
        <f t="shared" ref="E104:E108" si="22">E103-(B104-B103)*0.76/100</f>
        <v>174.08800000000002</v>
      </c>
      <c r="F104" s="35">
        <v>0.1</v>
      </c>
      <c r="G104" s="36">
        <f t="shared" si="21"/>
        <v>1.1319999999999824</v>
      </c>
      <c r="H104" s="50">
        <f t="shared" ref="H104:H107" si="23">+(B104-B103)*(G104+G103)/2*0.8</f>
        <v>9.8319999999998124</v>
      </c>
      <c r="I104" s="147"/>
      <c r="J104" s="146"/>
    </row>
    <row r="105" spans="1:10">
      <c r="A105" s="38"/>
      <c r="B105" s="39">
        <v>30</v>
      </c>
      <c r="C105" s="34">
        <v>174.88</v>
      </c>
      <c r="D105" s="40"/>
      <c r="E105" s="40">
        <f t="shared" si="22"/>
        <v>174.01200000000003</v>
      </c>
      <c r="F105" s="35">
        <v>0.1</v>
      </c>
      <c r="G105" s="36">
        <f t="shared" si="21"/>
        <v>0.96799999999996655</v>
      </c>
      <c r="H105" s="50">
        <f t="shared" si="23"/>
        <v>8.3999999999997961</v>
      </c>
      <c r="I105" s="147"/>
      <c r="J105" s="146"/>
    </row>
    <row r="106" spans="1:10">
      <c r="A106" s="41"/>
      <c r="B106" s="39">
        <v>40</v>
      </c>
      <c r="C106" s="34">
        <v>174.78</v>
      </c>
      <c r="D106" s="40"/>
      <c r="E106" s="40">
        <f t="shared" si="22"/>
        <v>173.93600000000004</v>
      </c>
      <c r="F106" s="35">
        <v>0.1</v>
      </c>
      <c r="G106" s="36">
        <f t="shared" si="21"/>
        <v>0.94399999999996564</v>
      </c>
      <c r="H106" s="50">
        <f t="shared" si="23"/>
        <v>7.6479999999997297</v>
      </c>
      <c r="I106" s="147"/>
      <c r="J106" s="146"/>
    </row>
    <row r="107" spans="1:10">
      <c r="A107" s="41"/>
      <c r="B107" s="39">
        <v>50</v>
      </c>
      <c r="C107" s="34">
        <v>174.76</v>
      </c>
      <c r="D107" s="40"/>
      <c r="E107" s="40">
        <f t="shared" si="22"/>
        <v>173.86000000000004</v>
      </c>
      <c r="F107" s="35">
        <v>0.1</v>
      </c>
      <c r="G107" s="36">
        <f t="shared" si="21"/>
        <v>0.99999999999994882</v>
      </c>
      <c r="H107" s="50">
        <f t="shared" si="23"/>
        <v>7.7759999999996587</v>
      </c>
      <c r="I107" s="147"/>
      <c r="J107" s="146"/>
    </row>
    <row r="108" spans="1:10" ht="14.5" thickBot="1">
      <c r="A108" s="42">
        <v>4</v>
      </c>
      <c r="B108" s="39">
        <v>52.24</v>
      </c>
      <c r="C108" s="40">
        <v>174.75</v>
      </c>
      <c r="D108" s="40"/>
      <c r="E108" s="40">
        <f t="shared" si="22"/>
        <v>173.84297600000005</v>
      </c>
      <c r="F108" s="35">
        <v>0.1</v>
      </c>
      <c r="G108" s="36">
        <f t="shared" si="21"/>
        <v>1.0070239999999502</v>
      </c>
      <c r="H108" s="50">
        <f>+(B108-B105)*(G108+G105)/2*0.8</f>
        <v>17.569813503999264</v>
      </c>
      <c r="I108" s="147"/>
      <c r="J108" s="146"/>
    </row>
    <row r="109" spans="1:10">
      <c r="A109" s="43"/>
      <c r="B109" s="43"/>
      <c r="C109" s="43"/>
      <c r="D109" s="44"/>
      <c r="E109" s="43"/>
      <c r="F109" s="43"/>
      <c r="G109" s="45" t="s">
        <v>72</v>
      </c>
      <c r="H109" s="46">
        <f>SUM(H103:H108)</f>
        <v>62.969813503998104</v>
      </c>
      <c r="I109" s="140">
        <f>+J102</f>
        <v>17.469030857142567</v>
      </c>
      <c r="J109" s="141"/>
    </row>
    <row r="110" spans="1:10" ht="14.5" thickBot="1">
      <c r="A110" s="43"/>
      <c r="B110" s="43"/>
      <c r="C110" s="43"/>
      <c r="D110" s="44"/>
      <c r="E110" s="43"/>
      <c r="F110" s="43"/>
      <c r="G110" s="48" t="s">
        <v>73</v>
      </c>
      <c r="H110" s="51">
        <f>+H109-2.46</f>
        <v>60.509813503998103</v>
      </c>
      <c r="I110" s="140">
        <f>+I109-0.109*5</f>
        <v>16.924030857142565</v>
      </c>
      <c r="J110" s="140"/>
    </row>
    <row r="111" spans="1:10" ht="14.5" thickBot="1">
      <c r="A111" s="21" t="s">
        <v>94</v>
      </c>
      <c r="B111" s="22" t="s">
        <v>95</v>
      </c>
      <c r="C111" s="23"/>
      <c r="D111" s="23"/>
      <c r="E111" s="23"/>
      <c r="F111" s="24"/>
      <c r="G111" s="25"/>
      <c r="H111" s="26" t="s">
        <v>91</v>
      </c>
      <c r="I111" s="148" t="s">
        <v>61</v>
      </c>
      <c r="J111" s="149"/>
    </row>
    <row r="112" spans="1:10" ht="28.5" thickBot="1">
      <c r="A112" s="27" t="s">
        <v>62</v>
      </c>
      <c r="B112" s="27" t="s">
        <v>63</v>
      </c>
      <c r="C112" s="28" t="s">
        <v>64</v>
      </c>
      <c r="D112" s="28" t="s">
        <v>65</v>
      </c>
      <c r="E112" s="28" t="s">
        <v>66</v>
      </c>
      <c r="F112" s="28" t="s">
        <v>67</v>
      </c>
      <c r="G112" s="28" t="s">
        <v>68</v>
      </c>
      <c r="H112" s="28" t="s">
        <v>69</v>
      </c>
      <c r="I112" s="30" t="s">
        <v>70</v>
      </c>
      <c r="J112" s="31" t="s">
        <v>71</v>
      </c>
    </row>
    <row r="113" spans="1:10">
      <c r="A113" s="32">
        <v>3</v>
      </c>
      <c r="B113" s="33">
        <v>0</v>
      </c>
      <c r="C113" s="34">
        <v>175.79</v>
      </c>
      <c r="D113" s="34"/>
      <c r="E113" s="34">
        <v>174.48</v>
      </c>
      <c r="F113" s="35">
        <v>0.1</v>
      </c>
      <c r="G113" s="36">
        <f t="shared" ref="G113:G118" si="24">(C113-E113)+F113</f>
        <v>1.4100000000000024</v>
      </c>
      <c r="H113" s="50"/>
      <c r="I113" s="146">
        <f>+AVERAGE(G113:G118)</f>
        <v>0.91636533333333714</v>
      </c>
      <c r="J113" s="146">
        <f>+(I113+0.8)/2*0.6*6*3</f>
        <v>9.2683728000000194</v>
      </c>
    </row>
    <row r="114" spans="1:10">
      <c r="A114" s="38"/>
      <c r="B114" s="39">
        <v>10</v>
      </c>
      <c r="C114" s="34">
        <v>175.47</v>
      </c>
      <c r="D114" s="40"/>
      <c r="E114" s="40">
        <f>E113-(B114-B113)*1.07/100</f>
        <v>174.37299999999999</v>
      </c>
      <c r="F114" s="35">
        <v>0.1</v>
      </c>
      <c r="G114" s="36">
        <f t="shared" si="24"/>
        <v>1.1970000000000085</v>
      </c>
      <c r="H114" s="50">
        <f>+(B114-B113)*(G114+G113)/2*0.8</f>
        <v>10.428000000000043</v>
      </c>
      <c r="I114" s="147"/>
      <c r="J114" s="146"/>
    </row>
    <row r="115" spans="1:10">
      <c r="A115" s="38"/>
      <c r="B115" s="39">
        <v>20</v>
      </c>
      <c r="C115" s="34">
        <v>175.09</v>
      </c>
      <c r="D115" s="40"/>
      <c r="E115" s="40">
        <f t="shared" ref="E115:E118" si="25">E114-(B115-B114)*1.07/100</f>
        <v>174.26599999999999</v>
      </c>
      <c r="F115" s="35">
        <v>0.1</v>
      </c>
      <c r="G115" s="36">
        <f t="shared" si="24"/>
        <v>0.92400000000001226</v>
      </c>
      <c r="H115" s="50">
        <f t="shared" ref="H115:H117" si="26">+(B115-B114)*(G115+G114)/2*0.8</f>
        <v>8.4840000000000835</v>
      </c>
      <c r="I115" s="147"/>
      <c r="J115" s="146"/>
    </row>
    <row r="116" spans="1:10">
      <c r="A116" s="38"/>
      <c r="B116" s="39">
        <v>30</v>
      </c>
      <c r="C116" s="34">
        <v>174.01</v>
      </c>
      <c r="D116" s="40"/>
      <c r="E116" s="40">
        <f t="shared" si="25"/>
        <v>174.15899999999999</v>
      </c>
      <c r="F116" s="35">
        <v>0.1</v>
      </c>
      <c r="G116" s="36">
        <f t="shared" si="24"/>
        <v>-4.9000000000000904E-2</v>
      </c>
      <c r="H116" s="50">
        <f t="shared" si="26"/>
        <v>3.5000000000000457</v>
      </c>
      <c r="I116" s="147"/>
      <c r="J116" s="146"/>
    </row>
    <row r="117" spans="1:10">
      <c r="A117" s="41"/>
      <c r="B117" s="39">
        <v>40</v>
      </c>
      <c r="C117" s="34">
        <v>174.95</v>
      </c>
      <c r="D117" s="40"/>
      <c r="E117" s="40">
        <f t="shared" si="25"/>
        <v>174.05199999999999</v>
      </c>
      <c r="F117" s="35">
        <v>0.1</v>
      </c>
      <c r="G117" s="36">
        <f t="shared" si="24"/>
        <v>0.99799999999999611</v>
      </c>
      <c r="H117" s="50">
        <f t="shared" si="26"/>
        <v>3.7959999999999812</v>
      </c>
      <c r="I117" s="147"/>
      <c r="J117" s="146"/>
    </row>
    <row r="118" spans="1:10" ht="14.5" thickBot="1">
      <c r="A118" s="42">
        <v>5</v>
      </c>
      <c r="B118" s="39">
        <v>46.56</v>
      </c>
      <c r="C118" s="40">
        <v>174.9</v>
      </c>
      <c r="D118" s="40"/>
      <c r="E118" s="40">
        <f t="shared" si="25"/>
        <v>173.981808</v>
      </c>
      <c r="F118" s="35">
        <v>0.1</v>
      </c>
      <c r="G118" s="36">
        <f t="shared" si="24"/>
        <v>1.0181920000000049</v>
      </c>
      <c r="H118" s="50">
        <f>+(B118-B116)*(G118+G116)/2*0.8</f>
        <v>6.4199278080000273</v>
      </c>
      <c r="I118" s="147"/>
      <c r="J118" s="146"/>
    </row>
    <row r="119" spans="1:10">
      <c r="A119" s="43"/>
      <c r="B119" s="43"/>
      <c r="C119" s="43"/>
      <c r="D119" s="44"/>
      <c r="E119" s="43"/>
      <c r="F119" s="43"/>
      <c r="G119" s="45" t="s">
        <v>72</v>
      </c>
      <c r="H119" s="46">
        <f>SUM(H114:H118)</f>
        <v>32.62792780800018</v>
      </c>
      <c r="I119" s="140">
        <f>+J113</f>
        <v>9.2683728000000194</v>
      </c>
      <c r="J119" s="141"/>
    </row>
    <row r="120" spans="1:10">
      <c r="B120">
        <f>+B118+B108+B97+B88+B72+B60+B44+B28+B16</f>
        <v>652.66999999999996</v>
      </c>
      <c r="G120" s="48" t="s">
        <v>73</v>
      </c>
      <c r="H120" s="49">
        <f>+H119-2.46</f>
        <v>30.167927808000179</v>
      </c>
      <c r="I120" s="140">
        <f>+I119-0.109*3</f>
        <v>8.9413728000000194</v>
      </c>
      <c r="J120" s="140"/>
    </row>
    <row r="122" spans="1:10">
      <c r="B122" s="20" t="s">
        <v>96</v>
      </c>
      <c r="C122" s="20"/>
    </row>
    <row r="123" spans="1:10">
      <c r="B123" s="20"/>
      <c r="C123" s="9" t="s">
        <v>97</v>
      </c>
      <c r="D123" s="9" t="s">
        <v>98</v>
      </c>
      <c r="E123" s="52" t="s">
        <v>99</v>
      </c>
    </row>
    <row r="124" spans="1:10">
      <c r="A124" s="7" t="s">
        <v>100</v>
      </c>
      <c r="B124" s="7"/>
      <c r="C124" s="53">
        <f>+H119+H109+H99+H90+H73+H61+H45+H29+H17</f>
        <v>881.11815886001546</v>
      </c>
      <c r="D124" s="47">
        <f>+I119+I109+I98+I89+I73+I61+I45+I29+I17</f>
        <v>324.45650901214486</v>
      </c>
      <c r="E124" s="8" t="s">
        <v>26</v>
      </c>
    </row>
    <row r="125" spans="1:10">
      <c r="A125" s="54" t="s">
        <v>101</v>
      </c>
      <c r="B125" s="7"/>
      <c r="C125" s="53">
        <f>+H120+H110+H99+H90+H74+H62+H46+H30+H18</f>
        <v>863.89815886001554</v>
      </c>
      <c r="D125" s="47">
        <f>+I120+I110+I99+I90+I74+I62+I46+I30+I18</f>
        <v>316.28150901214485</v>
      </c>
      <c r="E125" s="8" t="s">
        <v>102</v>
      </c>
    </row>
    <row r="126" spans="1:10">
      <c r="A126" s="7" t="s">
        <v>103</v>
      </c>
      <c r="B126" s="7"/>
      <c r="C126" s="47">
        <v>652.70000000000005</v>
      </c>
      <c r="D126" s="8">
        <f>+D128*6</f>
        <v>450</v>
      </c>
      <c r="E126" s="8" t="s">
        <v>25</v>
      </c>
    </row>
    <row r="127" spans="1:10">
      <c r="A127" s="7" t="s">
        <v>104</v>
      </c>
      <c r="B127" s="7"/>
      <c r="C127" s="8">
        <v>7</v>
      </c>
      <c r="D127" s="8"/>
      <c r="E127" s="8" t="s">
        <v>41</v>
      </c>
    </row>
    <row r="128" spans="1:10">
      <c r="A128" s="7" t="s">
        <v>105</v>
      </c>
      <c r="B128" s="7"/>
      <c r="C128" s="8"/>
      <c r="D128" s="8">
        <v>75</v>
      </c>
      <c r="E128" s="8" t="s">
        <v>41</v>
      </c>
    </row>
    <row r="129" spans="1:5">
      <c r="A129" s="154" t="s">
        <v>106</v>
      </c>
      <c r="B129" s="151"/>
      <c r="C129" s="8"/>
      <c r="D129" s="8">
        <v>75</v>
      </c>
      <c r="E129" s="52" t="s">
        <v>41</v>
      </c>
    </row>
    <row r="131" spans="1:5">
      <c r="A131" s="155"/>
      <c r="B131" s="155"/>
    </row>
    <row r="132" spans="1:5">
      <c r="A132" s="154" t="s">
        <v>107</v>
      </c>
      <c r="B132" s="151"/>
      <c r="C132" s="55">
        <f>+C126+D126</f>
        <v>1102.7</v>
      </c>
    </row>
    <row r="133" spans="1:5">
      <c r="A133" s="154" t="s">
        <v>108</v>
      </c>
      <c r="B133" s="154"/>
      <c r="C133" s="55">
        <f>+C124+D124</f>
        <v>1205.5746678721603</v>
      </c>
    </row>
    <row r="134" spans="1:5">
      <c r="A134" s="154" t="s">
        <v>109</v>
      </c>
      <c r="B134" s="151"/>
      <c r="C134" s="55">
        <f>+(C125+D125)*0.8</f>
        <v>944.14373429772832</v>
      </c>
    </row>
    <row r="135" spans="1:5">
      <c r="A135" s="54" t="s">
        <v>110</v>
      </c>
      <c r="B135" s="7"/>
      <c r="C135" s="55">
        <f>+(C125+D125)*0.2</f>
        <v>236.03593357443208</v>
      </c>
    </row>
    <row r="136" spans="1:5">
      <c r="A136" s="54" t="s">
        <v>111</v>
      </c>
      <c r="B136" s="7"/>
      <c r="C136" s="55">
        <f>+C133-C134</f>
        <v>261.43093357443195</v>
      </c>
    </row>
    <row r="137" spans="1:5">
      <c r="A137" s="152" t="s">
        <v>113</v>
      </c>
      <c r="B137" s="153"/>
      <c r="C137" s="55">
        <f>+C126*0.1*0.8+D126*0.6*0.1</f>
        <v>79.216000000000008</v>
      </c>
    </row>
    <row r="138" spans="1:5">
      <c r="A138" s="151" t="s">
        <v>112</v>
      </c>
      <c r="B138" s="151"/>
      <c r="C138" s="55">
        <f>+K65+K49+K8</f>
        <v>425.41979714286128</v>
      </c>
    </row>
  </sheetData>
  <mergeCells count="60">
    <mergeCell ref="A138:B138"/>
    <mergeCell ref="A137:B137"/>
    <mergeCell ref="A129:B129"/>
    <mergeCell ref="A131:B131"/>
    <mergeCell ref="A132:B132"/>
    <mergeCell ref="A133:B133"/>
    <mergeCell ref="A134:B134"/>
    <mergeCell ref="K8:K16"/>
    <mergeCell ref="K49:K60"/>
    <mergeCell ref="K65:K72"/>
    <mergeCell ref="I110:J110"/>
    <mergeCell ref="I111:J111"/>
    <mergeCell ref="I77:I88"/>
    <mergeCell ref="J77:J88"/>
    <mergeCell ref="I89:J89"/>
    <mergeCell ref="I90:J90"/>
    <mergeCell ref="I91:J91"/>
    <mergeCell ref="I93:I97"/>
    <mergeCell ref="J93:J97"/>
    <mergeCell ref="I63:J63"/>
    <mergeCell ref="I65:I72"/>
    <mergeCell ref="J65:J72"/>
    <mergeCell ref="I73:J73"/>
    <mergeCell ref="I113:I118"/>
    <mergeCell ref="J113:J118"/>
    <mergeCell ref="I119:J119"/>
    <mergeCell ref="I120:J120"/>
    <mergeCell ref="I98:J98"/>
    <mergeCell ref="I99:J99"/>
    <mergeCell ref="I100:J100"/>
    <mergeCell ref="I102:I108"/>
    <mergeCell ref="J102:J108"/>
    <mergeCell ref="I109:J109"/>
    <mergeCell ref="I74:J74"/>
    <mergeCell ref="I75:J75"/>
    <mergeCell ref="I46:J46"/>
    <mergeCell ref="I47:J47"/>
    <mergeCell ref="I49:I60"/>
    <mergeCell ref="J49:J60"/>
    <mergeCell ref="I61:J61"/>
    <mergeCell ref="I62:J62"/>
    <mergeCell ref="I45:J45"/>
    <mergeCell ref="I8:I16"/>
    <mergeCell ref="J8:J16"/>
    <mergeCell ref="I17:J17"/>
    <mergeCell ref="I18:J18"/>
    <mergeCell ref="I19:J19"/>
    <mergeCell ref="I21:I28"/>
    <mergeCell ref="J21:J28"/>
    <mergeCell ref="I29:J29"/>
    <mergeCell ref="I30:J30"/>
    <mergeCell ref="I31:J31"/>
    <mergeCell ref="I33:I44"/>
    <mergeCell ref="J33:J44"/>
    <mergeCell ref="I6:J6"/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6C95-6FE8-45FE-BBA1-C03B32A679D6}">
  <dimension ref="B1:K582"/>
  <sheetViews>
    <sheetView topLeftCell="A500" workbookViewId="0">
      <selection activeCell="G583" sqref="G583"/>
    </sheetView>
  </sheetViews>
  <sheetFormatPr baseColWidth="10" defaultColWidth="9.1640625" defaultRowHeight="14"/>
  <cols>
    <col min="2" max="2" width="35.75" customWidth="1"/>
    <col min="4" max="4" width="9.1640625" customWidth="1"/>
    <col min="6" max="7" width="15.75" customWidth="1"/>
    <col min="9" max="9" width="12" bestFit="1" customWidth="1"/>
  </cols>
  <sheetData>
    <row r="1" spans="2:7" ht="14.5" thickBot="1"/>
    <row r="2" spans="2:7" ht="14.5" thickBot="1">
      <c r="B2" s="179" t="s">
        <v>114</v>
      </c>
      <c r="C2" s="180"/>
      <c r="D2" s="180"/>
      <c r="E2" s="180"/>
      <c r="F2" s="180"/>
      <c r="G2" s="181"/>
    </row>
    <row r="3" spans="2:7" ht="14.5" thickBot="1">
      <c r="B3" s="179"/>
      <c r="C3" s="180"/>
      <c r="D3" s="180"/>
      <c r="E3" s="180"/>
      <c r="F3" s="180"/>
      <c r="G3" s="181"/>
    </row>
    <row r="4" spans="2:7" ht="14.5" thickBot="1">
      <c r="B4" s="170"/>
      <c r="C4" s="171"/>
      <c r="D4" s="171"/>
      <c r="E4" s="171"/>
      <c r="F4" s="171"/>
      <c r="G4" s="172"/>
    </row>
    <row r="5" spans="2:7">
      <c r="B5" s="69" t="s">
        <v>115</v>
      </c>
      <c r="C5" s="182" t="s">
        <v>0</v>
      </c>
      <c r="D5" s="182"/>
      <c r="E5" s="182"/>
      <c r="F5" s="182"/>
      <c r="G5" s="183"/>
    </row>
    <row r="6" spans="2:7">
      <c r="B6" s="70" t="s">
        <v>125</v>
      </c>
      <c r="C6" s="186" t="s">
        <v>2</v>
      </c>
      <c r="D6" s="186"/>
      <c r="E6" s="186"/>
      <c r="F6" s="186"/>
      <c r="G6" s="187"/>
    </row>
    <row r="7" spans="2:7" ht="14.5" thickBot="1">
      <c r="B7" s="71" t="s">
        <v>116</v>
      </c>
      <c r="C7" s="175" t="s">
        <v>31</v>
      </c>
      <c r="D7" s="175"/>
      <c r="E7" s="175"/>
      <c r="F7" s="175"/>
      <c r="G7" s="176"/>
    </row>
    <row r="8" spans="2:7" ht="14.5" thickBot="1">
      <c r="B8" s="156"/>
      <c r="C8" s="177"/>
      <c r="D8" s="177"/>
      <c r="E8" s="177"/>
      <c r="F8" s="177"/>
      <c r="G8" s="178"/>
    </row>
    <row r="9" spans="2:7" ht="14.5" thickBot="1">
      <c r="B9" s="164" t="s">
        <v>121</v>
      </c>
      <c r="C9" s="165"/>
      <c r="D9" s="165"/>
      <c r="E9" s="165"/>
      <c r="F9" s="165"/>
      <c r="G9" s="166"/>
    </row>
    <row r="10" spans="2:7" ht="14.5" thickBot="1">
      <c r="B10" s="61" t="s">
        <v>127</v>
      </c>
      <c r="C10" s="62" t="s">
        <v>117</v>
      </c>
      <c r="D10" s="62" t="s">
        <v>118</v>
      </c>
      <c r="E10" s="62" t="s">
        <v>128</v>
      </c>
      <c r="F10" s="62" t="s">
        <v>119</v>
      </c>
      <c r="G10" s="63" t="s">
        <v>120</v>
      </c>
    </row>
    <row r="11" spans="2:7">
      <c r="B11" s="66" t="s">
        <v>131</v>
      </c>
      <c r="C11" s="8" t="s">
        <v>132</v>
      </c>
      <c r="D11" s="53">
        <v>0.08</v>
      </c>
      <c r="E11" s="53">
        <v>1</v>
      </c>
      <c r="F11" s="64">
        <v>2500</v>
      </c>
      <c r="G11" s="65">
        <f>D11*E11*F11</f>
        <v>200</v>
      </c>
    </row>
    <row r="12" spans="2:7">
      <c r="B12" s="66" t="s">
        <v>133</v>
      </c>
      <c r="C12" s="8" t="s">
        <v>134</v>
      </c>
      <c r="D12" s="53">
        <v>0.13</v>
      </c>
      <c r="E12" s="53">
        <v>1</v>
      </c>
      <c r="F12" s="64">
        <v>4800</v>
      </c>
      <c r="G12" s="65">
        <f t="shared" ref="G12:G19" si="0">D12*E12*F12</f>
        <v>624</v>
      </c>
    </row>
    <row r="13" spans="2:7">
      <c r="B13" s="66" t="s">
        <v>135</v>
      </c>
      <c r="C13" s="8" t="s">
        <v>136</v>
      </c>
      <c r="D13" s="53">
        <v>0.224</v>
      </c>
      <c r="E13" s="53">
        <v>1</v>
      </c>
      <c r="F13" s="64">
        <v>400</v>
      </c>
      <c r="G13" s="65">
        <f t="shared" si="0"/>
        <v>89.600000000000009</v>
      </c>
    </row>
    <row r="14" spans="2:7">
      <c r="B14" s="66" t="s">
        <v>137</v>
      </c>
      <c r="C14" s="8" t="s">
        <v>138</v>
      </c>
      <c r="D14" s="53">
        <v>0.26500000000000001</v>
      </c>
      <c r="E14" s="53">
        <v>1</v>
      </c>
      <c r="F14" s="64">
        <v>2000</v>
      </c>
      <c r="G14" s="65">
        <f t="shared" si="0"/>
        <v>530</v>
      </c>
    </row>
    <row r="15" spans="2:7">
      <c r="B15" s="66"/>
      <c r="C15" s="8"/>
      <c r="D15" s="53"/>
      <c r="E15" s="53"/>
      <c r="F15" s="64"/>
      <c r="G15" s="65"/>
    </row>
    <row r="16" spans="2:7">
      <c r="B16" s="66"/>
      <c r="C16" s="8"/>
      <c r="D16" s="53"/>
      <c r="E16" s="53"/>
      <c r="F16" s="64"/>
      <c r="G16" s="65"/>
    </row>
    <row r="17" spans="2:7">
      <c r="B17" s="66"/>
      <c r="C17" s="8"/>
      <c r="D17" s="53"/>
      <c r="E17" s="53"/>
      <c r="F17" s="64"/>
      <c r="G17" s="65"/>
    </row>
    <row r="18" spans="2:7">
      <c r="B18" s="66"/>
      <c r="C18" s="8"/>
      <c r="D18" s="53"/>
      <c r="E18" s="53"/>
      <c r="F18" s="64"/>
      <c r="G18" s="65"/>
    </row>
    <row r="19" spans="2:7">
      <c r="B19" s="66"/>
      <c r="C19" s="7"/>
      <c r="D19" s="7"/>
      <c r="E19" s="7"/>
      <c r="F19" s="64"/>
      <c r="G19" s="65">
        <f t="shared" si="0"/>
        <v>0</v>
      </c>
    </row>
    <row r="20" spans="2:7" ht="14.5" thickBot="1">
      <c r="B20" s="161" t="s">
        <v>126</v>
      </c>
      <c r="C20" s="162"/>
      <c r="D20" s="162"/>
      <c r="E20" s="162"/>
      <c r="F20" s="163"/>
      <c r="G20" s="72">
        <f>SUM(G11:G19)</f>
        <v>1443.6</v>
      </c>
    </row>
    <row r="21" spans="2:7" ht="14.5" thickBot="1">
      <c r="B21" s="164" t="s">
        <v>122</v>
      </c>
      <c r="C21" s="165"/>
      <c r="D21" s="165"/>
      <c r="E21" s="165"/>
      <c r="F21" s="165"/>
      <c r="G21" s="166"/>
    </row>
    <row r="22" spans="2:7" ht="14.5" thickBot="1">
      <c r="B22" s="61" t="s">
        <v>127</v>
      </c>
      <c r="C22" s="62" t="s">
        <v>117</v>
      </c>
      <c r="D22" s="62" t="s">
        <v>118</v>
      </c>
      <c r="E22" s="62" t="s">
        <v>128</v>
      </c>
      <c r="F22" s="62" t="s">
        <v>130</v>
      </c>
      <c r="G22" s="63" t="s">
        <v>120</v>
      </c>
    </row>
    <row r="23" spans="2:7">
      <c r="B23" s="66" t="s">
        <v>139</v>
      </c>
      <c r="C23" s="8" t="s">
        <v>140</v>
      </c>
      <c r="D23" s="53">
        <v>1</v>
      </c>
      <c r="E23" s="53">
        <v>0.14000000000000001</v>
      </c>
      <c r="F23" s="64">
        <v>32800</v>
      </c>
      <c r="G23" s="65">
        <f t="shared" ref="G23:G26" si="1">D23*E23*F23</f>
        <v>4592</v>
      </c>
    </row>
    <row r="24" spans="2:7">
      <c r="B24" s="66"/>
      <c r="C24" s="8"/>
      <c r="D24" s="53"/>
      <c r="E24" s="53"/>
      <c r="F24" s="64"/>
      <c r="G24" s="65"/>
    </row>
    <row r="25" spans="2:7">
      <c r="B25" s="66"/>
      <c r="C25" s="8"/>
      <c r="D25" s="53"/>
      <c r="E25" s="53"/>
      <c r="F25" s="64"/>
      <c r="G25" s="65"/>
    </row>
    <row r="26" spans="2:7">
      <c r="B26" s="66"/>
      <c r="C26" s="8"/>
      <c r="D26" s="73"/>
      <c r="E26" s="73"/>
      <c r="F26" s="64"/>
      <c r="G26" s="65">
        <f t="shared" si="1"/>
        <v>0</v>
      </c>
    </row>
    <row r="27" spans="2:7" ht="14.5" thickBot="1">
      <c r="B27" s="161" t="s">
        <v>126</v>
      </c>
      <c r="C27" s="162"/>
      <c r="D27" s="162"/>
      <c r="E27" s="162"/>
      <c r="F27" s="163"/>
      <c r="G27" s="72">
        <f>SUM(G23:G26)</f>
        <v>4592</v>
      </c>
    </row>
    <row r="28" spans="2:7" ht="14.5" thickBot="1">
      <c r="B28" s="164" t="s">
        <v>124</v>
      </c>
      <c r="C28" s="165"/>
      <c r="D28" s="165"/>
      <c r="E28" s="165"/>
      <c r="F28" s="165"/>
      <c r="G28" s="166"/>
    </row>
    <row r="29" spans="2:7" ht="14.5" thickBot="1">
      <c r="B29" s="61" t="s">
        <v>127</v>
      </c>
      <c r="C29" s="62" t="s">
        <v>117</v>
      </c>
      <c r="D29" s="62" t="s">
        <v>118</v>
      </c>
      <c r="E29" s="62" t="s">
        <v>128</v>
      </c>
      <c r="F29" s="62" t="s">
        <v>129</v>
      </c>
      <c r="G29" s="63" t="s">
        <v>120</v>
      </c>
    </row>
    <row r="30" spans="2:7">
      <c r="B30" s="66" t="s">
        <v>141</v>
      </c>
      <c r="C30" s="8" t="s">
        <v>142</v>
      </c>
      <c r="D30" s="53">
        <v>1</v>
      </c>
      <c r="E30" s="53">
        <v>0.05</v>
      </c>
      <c r="F30" s="64">
        <f>G27</f>
        <v>4592</v>
      </c>
      <c r="G30" s="65">
        <f t="shared" ref="G30:G34" si="2">D30*E30*F30</f>
        <v>229.60000000000002</v>
      </c>
    </row>
    <row r="31" spans="2:7">
      <c r="B31" s="66" t="s">
        <v>143</v>
      </c>
      <c r="C31" s="8" t="s">
        <v>140</v>
      </c>
      <c r="D31" s="53">
        <v>1</v>
      </c>
      <c r="E31" s="53">
        <v>0.14000000000000001</v>
      </c>
      <c r="F31" s="64">
        <v>6250</v>
      </c>
      <c r="G31" s="65">
        <f t="shared" si="2"/>
        <v>875.00000000000011</v>
      </c>
    </row>
    <row r="32" spans="2:7">
      <c r="B32" s="66"/>
      <c r="C32" s="8"/>
      <c r="D32" s="53"/>
      <c r="E32" s="53"/>
      <c r="F32" s="64"/>
      <c r="G32" s="65"/>
    </row>
    <row r="33" spans="2:7">
      <c r="B33" s="66"/>
      <c r="C33" s="8"/>
      <c r="D33" s="53"/>
      <c r="E33" s="53"/>
      <c r="F33" s="64"/>
      <c r="G33" s="65"/>
    </row>
    <row r="34" spans="2:7">
      <c r="B34" s="66"/>
      <c r="C34" s="8"/>
      <c r="D34" s="53"/>
      <c r="E34" s="53"/>
      <c r="F34" s="64"/>
      <c r="G34" s="65">
        <f t="shared" si="2"/>
        <v>0</v>
      </c>
    </row>
    <row r="35" spans="2:7" ht="14.5" thickBot="1">
      <c r="B35" s="161" t="s">
        <v>126</v>
      </c>
      <c r="C35" s="162"/>
      <c r="D35" s="162"/>
      <c r="E35" s="162"/>
      <c r="F35" s="163"/>
      <c r="G35" s="72">
        <f>SUM(G30:G34)</f>
        <v>1104.6000000000001</v>
      </c>
    </row>
    <row r="36" spans="2:7" ht="14.5" thickBot="1">
      <c r="B36" s="164" t="s">
        <v>123</v>
      </c>
      <c r="C36" s="165"/>
      <c r="D36" s="165"/>
      <c r="E36" s="165"/>
      <c r="F36" s="165"/>
      <c r="G36" s="166"/>
    </row>
    <row r="37" spans="2:7" ht="14.5" thickBot="1">
      <c r="B37" s="61" t="s">
        <v>127</v>
      </c>
      <c r="C37" s="62" t="s">
        <v>117</v>
      </c>
      <c r="D37" s="62" t="s">
        <v>118</v>
      </c>
      <c r="E37" s="62" t="s">
        <v>128</v>
      </c>
      <c r="F37" s="62" t="s">
        <v>129</v>
      </c>
      <c r="G37" s="63" t="s">
        <v>120</v>
      </c>
    </row>
    <row r="38" spans="2:7">
      <c r="B38" s="66"/>
      <c r="C38" s="8"/>
      <c r="D38" s="8"/>
      <c r="E38" s="8"/>
      <c r="F38" s="64"/>
      <c r="G38" s="65">
        <f>D38*E38*F38</f>
        <v>0</v>
      </c>
    </row>
    <row r="39" spans="2:7" ht="14.5" thickBot="1">
      <c r="B39" s="167" t="s">
        <v>126</v>
      </c>
      <c r="C39" s="168"/>
      <c r="D39" s="168"/>
      <c r="E39" s="168"/>
      <c r="F39" s="169"/>
      <c r="G39" s="67">
        <f>SUM(G38)</f>
        <v>0</v>
      </c>
    </row>
    <row r="40" spans="2:7" ht="14.5" thickBot="1">
      <c r="B40" s="170"/>
      <c r="C40" s="171"/>
      <c r="D40" s="171"/>
      <c r="E40" s="171"/>
      <c r="F40" s="171"/>
      <c r="G40" s="172"/>
    </row>
    <row r="41" spans="2:7" ht="14.5" thickBot="1">
      <c r="B41" s="156"/>
      <c r="C41" s="157"/>
      <c r="D41" s="158" t="s">
        <v>225</v>
      </c>
      <c r="E41" s="159"/>
      <c r="F41" s="160"/>
      <c r="G41" s="68">
        <f>ROUND(G20+G27+G35+G39,0)</f>
        <v>7140</v>
      </c>
    </row>
    <row r="52" spans="2:11" ht="14.5" thickBot="1"/>
    <row r="53" spans="2:11" ht="14.5" thickBot="1">
      <c r="B53" s="179" t="s">
        <v>114</v>
      </c>
      <c r="C53" s="180"/>
      <c r="D53" s="180"/>
      <c r="E53" s="180"/>
      <c r="F53" s="180"/>
      <c r="G53" s="181"/>
    </row>
    <row r="54" spans="2:11" ht="14.5" thickBot="1">
      <c r="B54" s="179"/>
      <c r="C54" s="180"/>
      <c r="D54" s="180"/>
      <c r="E54" s="180"/>
      <c r="F54" s="180"/>
      <c r="G54" s="181"/>
    </row>
    <row r="55" spans="2:11" ht="14.5" thickBot="1">
      <c r="B55" s="170"/>
      <c r="C55" s="171"/>
      <c r="D55" s="171"/>
      <c r="E55" s="171"/>
      <c r="F55" s="171"/>
      <c r="G55" s="172"/>
    </row>
    <row r="56" spans="2:11">
      <c r="B56" s="69" t="s">
        <v>115</v>
      </c>
      <c r="C56" s="182" t="s">
        <v>4</v>
      </c>
      <c r="D56" s="182"/>
      <c r="E56" s="182"/>
      <c r="F56" s="182"/>
      <c r="G56" s="183"/>
    </row>
    <row r="57" spans="2:11" ht="28.9" customHeight="1">
      <c r="B57" s="74" t="s">
        <v>125</v>
      </c>
      <c r="C57" s="184" t="s">
        <v>5</v>
      </c>
      <c r="D57" s="184"/>
      <c r="E57" s="184"/>
      <c r="F57" s="184"/>
      <c r="G57" s="185"/>
    </row>
    <row r="58" spans="2:11" ht="14.5" thickBot="1">
      <c r="B58" s="71" t="s">
        <v>116</v>
      </c>
      <c r="C58" s="175" t="s">
        <v>144</v>
      </c>
      <c r="D58" s="175"/>
      <c r="E58" s="175"/>
      <c r="F58" s="175"/>
      <c r="G58" s="176"/>
    </row>
    <row r="59" spans="2:11" ht="14.5" thickBot="1">
      <c r="B59" s="156"/>
      <c r="C59" s="177"/>
      <c r="D59" s="177"/>
      <c r="E59" s="177"/>
      <c r="F59" s="177"/>
      <c r="G59" s="178"/>
    </row>
    <row r="60" spans="2:11" ht="14.5" thickBot="1">
      <c r="B60" s="164" t="s">
        <v>121</v>
      </c>
      <c r="C60" s="165"/>
      <c r="D60" s="165"/>
      <c r="E60" s="165"/>
      <c r="F60" s="165"/>
      <c r="G60" s="166"/>
    </row>
    <row r="61" spans="2:11" ht="14.5" thickBot="1">
      <c r="B61" s="61" t="s">
        <v>127</v>
      </c>
      <c r="C61" s="62" t="s">
        <v>117</v>
      </c>
      <c r="D61" s="62" t="s">
        <v>118</v>
      </c>
      <c r="E61" s="62" t="s">
        <v>128</v>
      </c>
      <c r="F61" s="62" t="s">
        <v>119</v>
      </c>
      <c r="G61" s="63" t="s">
        <v>120</v>
      </c>
    </row>
    <row r="62" spans="2:11">
      <c r="B62" s="66"/>
      <c r="C62" s="8"/>
      <c r="D62" s="53"/>
      <c r="E62" s="53"/>
      <c r="F62" s="64"/>
      <c r="G62" s="65">
        <f>D62*E62*F62</f>
        <v>0</v>
      </c>
    </row>
    <row r="63" spans="2:11">
      <c r="B63" s="66"/>
      <c r="C63" s="8"/>
      <c r="D63" s="53"/>
      <c r="E63" s="53"/>
      <c r="F63" s="64"/>
      <c r="G63" s="65">
        <f t="shared" ref="G63:G65" si="3">D63*E63*F63</f>
        <v>0</v>
      </c>
    </row>
    <row r="64" spans="2:11">
      <c r="B64" s="66"/>
      <c r="C64" s="7"/>
      <c r="D64" s="7"/>
      <c r="E64" s="7"/>
      <c r="F64" s="64"/>
      <c r="G64" s="65">
        <f t="shared" si="3"/>
        <v>0</v>
      </c>
      <c r="K64" t="s">
        <v>152</v>
      </c>
    </row>
    <row r="65" spans="2:7">
      <c r="B65" s="66"/>
      <c r="C65" s="7"/>
      <c r="D65" s="7"/>
      <c r="E65" s="7"/>
      <c r="F65" s="64"/>
      <c r="G65" s="65">
        <f t="shared" si="3"/>
        <v>0</v>
      </c>
    </row>
    <row r="66" spans="2:7" ht="14.5" thickBot="1">
      <c r="B66" s="161" t="s">
        <v>126</v>
      </c>
      <c r="C66" s="162"/>
      <c r="D66" s="162"/>
      <c r="E66" s="162"/>
      <c r="F66" s="163"/>
      <c r="G66" s="72">
        <f>SUM(G62:G65)</f>
        <v>0</v>
      </c>
    </row>
    <row r="67" spans="2:7" ht="14.5" thickBot="1">
      <c r="B67" s="164" t="s">
        <v>122</v>
      </c>
      <c r="C67" s="165"/>
      <c r="D67" s="165"/>
      <c r="E67" s="165"/>
      <c r="F67" s="165"/>
      <c r="G67" s="166"/>
    </row>
    <row r="68" spans="2:7" ht="14.5" thickBot="1">
      <c r="B68" s="61" t="s">
        <v>127</v>
      </c>
      <c r="C68" s="62" t="s">
        <v>117</v>
      </c>
      <c r="D68" s="62" t="s">
        <v>118</v>
      </c>
      <c r="E68" s="62" t="s">
        <v>128</v>
      </c>
      <c r="F68" s="62" t="s">
        <v>130</v>
      </c>
      <c r="G68" s="63" t="s">
        <v>120</v>
      </c>
    </row>
    <row r="69" spans="2:7">
      <c r="B69" s="66" t="s">
        <v>145</v>
      </c>
      <c r="C69" s="8" t="s">
        <v>140</v>
      </c>
      <c r="D69" s="53">
        <v>1</v>
      </c>
      <c r="E69" s="53">
        <v>0.25</v>
      </c>
      <c r="F69" s="64">
        <v>25000</v>
      </c>
      <c r="G69" s="65">
        <f t="shared" ref="G69:G71" si="4">D69*E69*F69</f>
        <v>6250</v>
      </c>
    </row>
    <row r="70" spans="2:7">
      <c r="B70" s="66" t="s">
        <v>159</v>
      </c>
      <c r="C70" s="8" t="s">
        <v>140</v>
      </c>
      <c r="D70" s="53">
        <v>1</v>
      </c>
      <c r="E70" s="53">
        <v>0.21</v>
      </c>
      <c r="F70" s="64">
        <v>8500</v>
      </c>
      <c r="G70" s="65">
        <f t="shared" si="4"/>
        <v>1785</v>
      </c>
    </row>
    <row r="71" spans="2:7">
      <c r="B71" s="66"/>
      <c r="C71" s="8"/>
      <c r="D71" s="53"/>
      <c r="E71" s="53"/>
      <c r="F71" s="64"/>
      <c r="G71" s="65">
        <f t="shared" si="4"/>
        <v>0</v>
      </c>
    </row>
    <row r="72" spans="2:7" ht="14.5" thickBot="1">
      <c r="B72" s="161" t="s">
        <v>126</v>
      </c>
      <c r="C72" s="162"/>
      <c r="D72" s="162"/>
      <c r="E72" s="162"/>
      <c r="F72" s="163"/>
      <c r="G72" s="72">
        <f>SUM(G69:G71)</f>
        <v>8035</v>
      </c>
    </row>
    <row r="73" spans="2:7" ht="14.5" thickBot="1">
      <c r="B73" s="164" t="s">
        <v>124</v>
      </c>
      <c r="C73" s="165"/>
      <c r="D73" s="165"/>
      <c r="E73" s="165"/>
      <c r="F73" s="165"/>
      <c r="G73" s="166"/>
    </row>
    <row r="74" spans="2:7" ht="14.5" thickBot="1">
      <c r="B74" s="61" t="s">
        <v>127</v>
      </c>
      <c r="C74" s="62" t="s">
        <v>117</v>
      </c>
      <c r="D74" s="62" t="s">
        <v>118</v>
      </c>
      <c r="E74" s="62" t="s">
        <v>128</v>
      </c>
      <c r="F74" s="62" t="s">
        <v>129</v>
      </c>
      <c r="G74" s="63" t="s">
        <v>120</v>
      </c>
    </row>
    <row r="75" spans="2:7">
      <c r="B75" s="66" t="s">
        <v>141</v>
      </c>
      <c r="C75" s="8" t="s">
        <v>142</v>
      </c>
      <c r="D75" s="53">
        <v>1</v>
      </c>
      <c r="E75" s="53">
        <v>0.05</v>
      </c>
      <c r="F75" s="64">
        <f>G72</f>
        <v>8035</v>
      </c>
      <c r="G75" s="65">
        <f t="shared" ref="G75:G77" si="5">D75*E75*F75</f>
        <v>401.75</v>
      </c>
    </row>
    <row r="76" spans="2:7">
      <c r="B76" s="66" t="s">
        <v>147</v>
      </c>
      <c r="C76" s="8" t="s">
        <v>140</v>
      </c>
      <c r="D76" s="53">
        <v>1</v>
      </c>
      <c r="E76" s="53">
        <v>0.25</v>
      </c>
      <c r="F76" s="64">
        <v>220000</v>
      </c>
      <c r="G76" s="65">
        <f t="shared" si="5"/>
        <v>55000</v>
      </c>
    </row>
    <row r="77" spans="2:7">
      <c r="B77" s="66"/>
      <c r="C77" s="8"/>
      <c r="D77" s="53"/>
      <c r="E77" s="53"/>
      <c r="F77" s="64"/>
      <c r="G77" s="65">
        <f t="shared" si="5"/>
        <v>0</v>
      </c>
    </row>
    <row r="78" spans="2:7" ht="14.5" thickBot="1">
      <c r="B78" s="161" t="s">
        <v>126</v>
      </c>
      <c r="C78" s="162"/>
      <c r="D78" s="162"/>
      <c r="E78" s="162"/>
      <c r="F78" s="163"/>
      <c r="G78" s="72">
        <f>SUM(G75:G77)</f>
        <v>55401.75</v>
      </c>
    </row>
    <row r="79" spans="2:7" ht="14.5" thickBot="1">
      <c r="B79" s="164" t="s">
        <v>123</v>
      </c>
      <c r="C79" s="165"/>
      <c r="D79" s="165"/>
      <c r="E79" s="165"/>
      <c r="F79" s="165"/>
      <c r="G79" s="166"/>
    </row>
    <row r="80" spans="2:7" ht="14.5" thickBot="1">
      <c r="B80" s="61" t="s">
        <v>127</v>
      </c>
      <c r="C80" s="62" t="s">
        <v>117</v>
      </c>
      <c r="D80" s="62" t="s">
        <v>118</v>
      </c>
      <c r="E80" s="62" t="s">
        <v>128</v>
      </c>
      <c r="F80" s="62" t="s">
        <v>129</v>
      </c>
      <c r="G80" s="63" t="s">
        <v>120</v>
      </c>
    </row>
    <row r="81" spans="2:9">
      <c r="B81" s="66"/>
      <c r="C81" s="8"/>
      <c r="D81" s="8"/>
      <c r="E81" s="8"/>
      <c r="F81" s="64"/>
      <c r="G81" s="65">
        <f>D81*E81*F81</f>
        <v>0</v>
      </c>
    </row>
    <row r="82" spans="2:9" ht="14.5" thickBot="1">
      <c r="B82" s="167" t="s">
        <v>126</v>
      </c>
      <c r="C82" s="168"/>
      <c r="D82" s="168"/>
      <c r="E82" s="168"/>
      <c r="F82" s="169"/>
      <c r="G82" s="67">
        <f>SUM(G81)</f>
        <v>0</v>
      </c>
    </row>
    <row r="83" spans="2:9" ht="14.5" thickBot="1">
      <c r="B83" s="170"/>
      <c r="C83" s="171"/>
      <c r="D83" s="171"/>
      <c r="E83" s="171"/>
      <c r="F83" s="171"/>
      <c r="G83" s="172"/>
    </row>
    <row r="84" spans="2:9" ht="14.5" thickBot="1">
      <c r="B84" s="156"/>
      <c r="C84" s="157"/>
      <c r="D84" s="158" t="s">
        <v>225</v>
      </c>
      <c r="E84" s="159"/>
      <c r="F84" s="160"/>
      <c r="G84" s="68">
        <f>ROUND(G66+G72+G78+G82,0)</f>
        <v>63437</v>
      </c>
      <c r="I84" s="94"/>
    </row>
    <row r="94" spans="2:9" ht="14.5" thickBot="1"/>
    <row r="95" spans="2:9" ht="14.5" thickBot="1">
      <c r="B95" s="179" t="s">
        <v>114</v>
      </c>
      <c r="C95" s="180"/>
      <c r="D95" s="180"/>
      <c r="E95" s="180"/>
      <c r="F95" s="180"/>
      <c r="G95" s="181"/>
    </row>
    <row r="96" spans="2:9" ht="14.5" thickBot="1">
      <c r="B96" s="179"/>
      <c r="C96" s="180"/>
      <c r="D96" s="180"/>
      <c r="E96" s="180"/>
      <c r="F96" s="180"/>
      <c r="G96" s="181"/>
    </row>
    <row r="97" spans="2:7" ht="14.5" thickBot="1">
      <c r="B97" s="170"/>
      <c r="C97" s="171"/>
      <c r="D97" s="171"/>
      <c r="E97" s="171"/>
      <c r="F97" s="171"/>
      <c r="G97" s="172"/>
    </row>
    <row r="98" spans="2:7">
      <c r="B98" s="69" t="s">
        <v>115</v>
      </c>
      <c r="C98" s="182" t="s">
        <v>6</v>
      </c>
      <c r="D98" s="182"/>
      <c r="E98" s="182"/>
      <c r="F98" s="182"/>
      <c r="G98" s="183"/>
    </row>
    <row r="99" spans="2:7" ht="42" customHeight="1">
      <c r="B99" s="74" t="s">
        <v>125</v>
      </c>
      <c r="C99" s="184" t="s">
        <v>7</v>
      </c>
      <c r="D99" s="184"/>
      <c r="E99" s="184"/>
      <c r="F99" s="184"/>
      <c r="G99" s="185"/>
    </row>
    <row r="100" spans="2:7" ht="14.5" thickBot="1">
      <c r="B100" s="71" t="s">
        <v>116</v>
      </c>
      <c r="C100" s="175" t="s">
        <v>148</v>
      </c>
      <c r="D100" s="175"/>
      <c r="E100" s="175"/>
      <c r="F100" s="175"/>
      <c r="G100" s="176"/>
    </row>
    <row r="101" spans="2:7" ht="14.5" thickBot="1">
      <c r="B101" s="156"/>
      <c r="C101" s="177"/>
      <c r="D101" s="177"/>
      <c r="E101" s="177"/>
      <c r="F101" s="177"/>
      <c r="G101" s="178"/>
    </row>
    <row r="102" spans="2:7" ht="14.5" thickBot="1">
      <c r="B102" s="164" t="s">
        <v>121</v>
      </c>
      <c r="C102" s="165"/>
      <c r="D102" s="165"/>
      <c r="E102" s="165"/>
      <c r="F102" s="165"/>
      <c r="G102" s="166"/>
    </row>
    <row r="103" spans="2:7" ht="14.5" thickBot="1">
      <c r="B103" s="61" t="s">
        <v>127</v>
      </c>
      <c r="C103" s="62" t="s">
        <v>117</v>
      </c>
      <c r="D103" s="62" t="s">
        <v>118</v>
      </c>
      <c r="E103" s="62" t="s">
        <v>128</v>
      </c>
      <c r="F103" s="62" t="s">
        <v>119</v>
      </c>
      <c r="G103" s="63" t="s">
        <v>120</v>
      </c>
    </row>
    <row r="104" spans="2:7">
      <c r="B104" s="66" t="s">
        <v>149</v>
      </c>
      <c r="C104" s="8" t="s">
        <v>132</v>
      </c>
      <c r="D104" s="53">
        <v>0.35</v>
      </c>
      <c r="E104" s="53">
        <v>1</v>
      </c>
      <c r="F104" s="64">
        <v>42000</v>
      </c>
      <c r="G104" s="65">
        <f>D104*E104*F104</f>
        <v>14699.999999999998</v>
      </c>
    </row>
    <row r="105" spans="2:7">
      <c r="B105" s="66" t="s">
        <v>150</v>
      </c>
      <c r="C105" s="8" t="s">
        <v>132</v>
      </c>
      <c r="D105" s="53">
        <v>0.2</v>
      </c>
      <c r="E105" s="53">
        <v>1</v>
      </c>
      <c r="F105" s="64">
        <v>30000</v>
      </c>
      <c r="G105" s="65">
        <f t="shared" ref="G105:G111" si="6">D105*E105*F105</f>
        <v>6000</v>
      </c>
    </row>
    <row r="106" spans="2:7">
      <c r="B106" s="66" t="s">
        <v>151</v>
      </c>
      <c r="C106" s="8" t="s">
        <v>132</v>
      </c>
      <c r="D106" s="53">
        <v>0.15</v>
      </c>
      <c r="E106" s="53">
        <v>1</v>
      </c>
      <c r="F106" s="64">
        <v>18000</v>
      </c>
      <c r="G106" s="65">
        <f t="shared" si="6"/>
        <v>2700</v>
      </c>
    </row>
    <row r="107" spans="2:7">
      <c r="B107" s="66" t="s">
        <v>153</v>
      </c>
      <c r="C107" s="8" t="s">
        <v>134</v>
      </c>
      <c r="D107" s="53">
        <v>0.1177</v>
      </c>
      <c r="E107" s="53">
        <v>1</v>
      </c>
      <c r="F107" s="64">
        <v>12500</v>
      </c>
      <c r="G107" s="65">
        <f t="shared" si="6"/>
        <v>1471.25</v>
      </c>
    </row>
    <row r="108" spans="2:7">
      <c r="B108" s="66"/>
      <c r="C108" s="7"/>
      <c r="D108" s="7"/>
      <c r="E108" s="7"/>
      <c r="F108" s="64"/>
      <c r="G108" s="65">
        <f t="shared" si="6"/>
        <v>0</v>
      </c>
    </row>
    <row r="109" spans="2:7">
      <c r="B109" s="66"/>
      <c r="C109" s="7"/>
      <c r="D109" s="7"/>
      <c r="E109" s="7"/>
      <c r="F109" s="64"/>
      <c r="G109" s="65">
        <f t="shared" si="6"/>
        <v>0</v>
      </c>
    </row>
    <row r="110" spans="2:7">
      <c r="B110" s="66"/>
      <c r="C110" s="7"/>
      <c r="D110" s="7"/>
      <c r="E110" s="7"/>
      <c r="F110" s="64"/>
      <c r="G110" s="65">
        <f t="shared" si="6"/>
        <v>0</v>
      </c>
    </row>
    <row r="111" spans="2:7">
      <c r="B111" s="66"/>
      <c r="C111" s="7"/>
      <c r="D111" s="7"/>
      <c r="E111" s="7"/>
      <c r="F111" s="64"/>
      <c r="G111" s="65">
        <f t="shared" si="6"/>
        <v>0</v>
      </c>
    </row>
    <row r="112" spans="2:7" ht="14.5" thickBot="1">
      <c r="B112" s="161" t="s">
        <v>126</v>
      </c>
      <c r="C112" s="162"/>
      <c r="D112" s="162"/>
      <c r="E112" s="162"/>
      <c r="F112" s="163"/>
      <c r="G112" s="72">
        <f>SUM(G104:G111)</f>
        <v>24871.25</v>
      </c>
    </row>
    <row r="113" spans="2:7" ht="14.5" thickBot="1">
      <c r="B113" s="164" t="s">
        <v>122</v>
      </c>
      <c r="C113" s="165"/>
      <c r="D113" s="165"/>
      <c r="E113" s="165"/>
      <c r="F113" s="165"/>
      <c r="G113" s="166"/>
    </row>
    <row r="114" spans="2:7" ht="14.5" thickBot="1">
      <c r="B114" s="61" t="s">
        <v>127</v>
      </c>
      <c r="C114" s="62" t="s">
        <v>117</v>
      </c>
      <c r="D114" s="62" t="s">
        <v>118</v>
      </c>
      <c r="E114" s="62" t="s">
        <v>128</v>
      </c>
      <c r="F114" s="62" t="s">
        <v>130</v>
      </c>
      <c r="G114" s="63" t="s">
        <v>120</v>
      </c>
    </row>
    <row r="115" spans="2:7">
      <c r="B115" s="66" t="s">
        <v>146</v>
      </c>
      <c r="C115" s="8" t="s">
        <v>140</v>
      </c>
      <c r="D115" s="53">
        <v>2</v>
      </c>
      <c r="E115" s="53">
        <v>0.7</v>
      </c>
      <c r="F115" s="64">
        <v>9000</v>
      </c>
      <c r="G115" s="65">
        <f t="shared" ref="G115:G117" si="7">D115*E115*F115</f>
        <v>12600</v>
      </c>
    </row>
    <row r="116" spans="2:7">
      <c r="B116" s="66" t="s">
        <v>154</v>
      </c>
      <c r="C116" s="8" t="s">
        <v>140</v>
      </c>
      <c r="D116" s="53">
        <v>1</v>
      </c>
      <c r="E116" s="53">
        <v>0.7</v>
      </c>
      <c r="F116" s="64">
        <v>11500</v>
      </c>
      <c r="G116" s="65">
        <f t="shared" si="7"/>
        <v>8049.9999999999991</v>
      </c>
    </row>
    <row r="117" spans="2:7">
      <c r="B117" s="66"/>
      <c r="C117" s="8"/>
      <c r="D117" s="53"/>
      <c r="E117" s="53"/>
      <c r="F117" s="64"/>
      <c r="G117" s="65">
        <f t="shared" si="7"/>
        <v>0</v>
      </c>
    </row>
    <row r="118" spans="2:7" ht="14.5" thickBot="1">
      <c r="B118" s="161" t="s">
        <v>126</v>
      </c>
      <c r="C118" s="162"/>
      <c r="D118" s="162"/>
      <c r="E118" s="162"/>
      <c r="F118" s="163"/>
      <c r="G118" s="72">
        <f>SUM(G115:G117)</f>
        <v>20650</v>
      </c>
    </row>
    <row r="119" spans="2:7" ht="14.5" thickBot="1">
      <c r="B119" s="164" t="s">
        <v>124</v>
      </c>
      <c r="C119" s="165"/>
      <c r="D119" s="165"/>
      <c r="E119" s="165"/>
      <c r="F119" s="165"/>
      <c r="G119" s="166"/>
    </row>
    <row r="120" spans="2:7" ht="14.5" thickBot="1">
      <c r="B120" s="61" t="s">
        <v>127</v>
      </c>
      <c r="C120" s="62" t="s">
        <v>117</v>
      </c>
      <c r="D120" s="62" t="s">
        <v>118</v>
      </c>
      <c r="E120" s="62" t="s">
        <v>128</v>
      </c>
      <c r="F120" s="62" t="s">
        <v>129</v>
      </c>
      <c r="G120" s="63" t="s">
        <v>120</v>
      </c>
    </row>
    <row r="121" spans="2:7">
      <c r="B121" s="66" t="s">
        <v>141</v>
      </c>
      <c r="C121" s="8" t="s">
        <v>142</v>
      </c>
      <c r="D121" s="53">
        <v>1</v>
      </c>
      <c r="E121" s="53">
        <v>0.05</v>
      </c>
      <c r="F121" s="64">
        <f>G118</f>
        <v>20650</v>
      </c>
      <c r="G121" s="65">
        <f t="shared" ref="G121:G123" si="8">D121*E121*F121</f>
        <v>1032.5</v>
      </c>
    </row>
    <row r="122" spans="2:7">
      <c r="B122" s="66"/>
      <c r="C122" s="8"/>
      <c r="D122" s="53"/>
      <c r="E122" s="53"/>
      <c r="F122" s="64"/>
      <c r="G122" s="65">
        <f t="shared" si="8"/>
        <v>0</v>
      </c>
    </row>
    <row r="123" spans="2:7">
      <c r="B123" s="66"/>
      <c r="C123" s="8"/>
      <c r="D123" s="53"/>
      <c r="E123" s="53"/>
      <c r="F123" s="64"/>
      <c r="G123" s="65">
        <f t="shared" si="8"/>
        <v>0</v>
      </c>
    </row>
    <row r="124" spans="2:7" ht="14.5" thickBot="1">
      <c r="B124" s="161" t="s">
        <v>126</v>
      </c>
      <c r="C124" s="162"/>
      <c r="D124" s="162"/>
      <c r="E124" s="162"/>
      <c r="F124" s="163"/>
      <c r="G124" s="72">
        <f>SUM(G121:G123)</f>
        <v>1032.5</v>
      </c>
    </row>
    <row r="125" spans="2:7" ht="14.5" thickBot="1">
      <c r="B125" s="164" t="s">
        <v>123</v>
      </c>
      <c r="C125" s="165"/>
      <c r="D125" s="165"/>
      <c r="E125" s="165"/>
      <c r="F125" s="165"/>
      <c r="G125" s="166"/>
    </row>
    <row r="126" spans="2:7" ht="14.5" thickBot="1">
      <c r="B126" s="61" t="s">
        <v>127</v>
      </c>
      <c r="C126" s="62" t="s">
        <v>117</v>
      </c>
      <c r="D126" s="62" t="s">
        <v>118</v>
      </c>
      <c r="E126" s="62" t="s">
        <v>128</v>
      </c>
      <c r="F126" s="62" t="s">
        <v>129</v>
      </c>
      <c r="G126" s="63" t="s">
        <v>120</v>
      </c>
    </row>
    <row r="127" spans="2:7">
      <c r="B127" s="66"/>
      <c r="C127" s="8"/>
      <c r="D127" s="8"/>
      <c r="E127" s="8"/>
      <c r="F127" s="64"/>
      <c r="G127" s="65">
        <f>D127*E127*F127</f>
        <v>0</v>
      </c>
    </row>
    <row r="128" spans="2:7" ht="14.5" thickBot="1">
      <c r="B128" s="167" t="s">
        <v>126</v>
      </c>
      <c r="C128" s="168"/>
      <c r="D128" s="168"/>
      <c r="E128" s="168"/>
      <c r="F128" s="169"/>
      <c r="G128" s="67">
        <f>SUM(G127)</f>
        <v>0</v>
      </c>
    </row>
    <row r="129" spans="2:7" ht="14.5" thickBot="1">
      <c r="B129" s="170"/>
      <c r="C129" s="171"/>
      <c r="D129" s="171"/>
      <c r="E129" s="171"/>
      <c r="F129" s="171"/>
      <c r="G129" s="172"/>
    </row>
    <row r="130" spans="2:7" ht="14.5" thickBot="1">
      <c r="B130" s="156"/>
      <c r="C130" s="157"/>
      <c r="D130" s="158" t="s">
        <v>225</v>
      </c>
      <c r="E130" s="159"/>
      <c r="F130" s="160"/>
      <c r="G130" s="68">
        <f>ROUND(G112+G118+G124+G128,0)</f>
        <v>46554</v>
      </c>
    </row>
    <row r="139" spans="2:7" ht="14.5" thickBot="1"/>
    <row r="140" spans="2:7" ht="14.5" thickBot="1">
      <c r="B140" s="179" t="s">
        <v>114</v>
      </c>
      <c r="C140" s="180"/>
      <c r="D140" s="180"/>
      <c r="E140" s="180"/>
      <c r="F140" s="180"/>
      <c r="G140" s="181"/>
    </row>
    <row r="141" spans="2:7" ht="14.5" thickBot="1">
      <c r="B141" s="179"/>
      <c r="C141" s="180"/>
      <c r="D141" s="180"/>
      <c r="E141" s="180"/>
      <c r="F141" s="180"/>
      <c r="G141" s="181"/>
    </row>
    <row r="142" spans="2:7" ht="14.5" thickBot="1">
      <c r="B142" s="170"/>
      <c r="C142" s="171"/>
      <c r="D142" s="171"/>
      <c r="E142" s="171"/>
      <c r="F142" s="171"/>
      <c r="G142" s="172"/>
    </row>
    <row r="143" spans="2:7">
      <c r="B143" s="69" t="s">
        <v>115</v>
      </c>
      <c r="C143" s="182" t="s">
        <v>8</v>
      </c>
      <c r="D143" s="182"/>
      <c r="E143" s="182"/>
      <c r="F143" s="182"/>
      <c r="G143" s="183"/>
    </row>
    <row r="144" spans="2:7">
      <c r="B144" s="74" t="s">
        <v>125</v>
      </c>
      <c r="C144" s="184" t="s">
        <v>22</v>
      </c>
      <c r="D144" s="184"/>
      <c r="E144" s="184"/>
      <c r="F144" s="184"/>
      <c r="G144" s="185"/>
    </row>
    <row r="145" spans="2:7" ht="14.5" thickBot="1">
      <c r="B145" s="71" t="s">
        <v>116</v>
      </c>
      <c r="C145" s="175" t="s">
        <v>144</v>
      </c>
      <c r="D145" s="175"/>
      <c r="E145" s="175"/>
      <c r="F145" s="175"/>
      <c r="G145" s="176"/>
    </row>
    <row r="146" spans="2:7" ht="14.5" thickBot="1">
      <c r="B146" s="156"/>
      <c r="C146" s="177"/>
      <c r="D146" s="177"/>
      <c r="E146" s="177"/>
      <c r="F146" s="177"/>
      <c r="G146" s="178"/>
    </row>
    <row r="147" spans="2:7" ht="14.5" thickBot="1">
      <c r="B147" s="164" t="s">
        <v>121</v>
      </c>
      <c r="C147" s="165"/>
      <c r="D147" s="165"/>
      <c r="E147" s="165"/>
      <c r="F147" s="165"/>
      <c r="G147" s="166"/>
    </row>
    <row r="148" spans="2:7" ht="14.5" thickBot="1">
      <c r="B148" s="61" t="s">
        <v>127</v>
      </c>
      <c r="C148" s="62" t="s">
        <v>117</v>
      </c>
      <c r="D148" s="62" t="s">
        <v>118</v>
      </c>
      <c r="E148" s="62" t="s">
        <v>128</v>
      </c>
      <c r="F148" s="62" t="s">
        <v>119</v>
      </c>
      <c r="G148" s="63" t="s">
        <v>120</v>
      </c>
    </row>
    <row r="149" spans="2:7">
      <c r="B149" s="66" t="s">
        <v>155</v>
      </c>
      <c r="C149" s="8" t="s">
        <v>144</v>
      </c>
      <c r="D149" s="53">
        <v>1.3</v>
      </c>
      <c r="E149" s="53">
        <v>1</v>
      </c>
      <c r="F149" s="64">
        <v>85000</v>
      </c>
      <c r="G149" s="65">
        <f>D149*E149*F149</f>
        <v>110500</v>
      </c>
    </row>
    <row r="150" spans="2:7">
      <c r="B150" s="66" t="s">
        <v>156</v>
      </c>
      <c r="C150" s="8" t="s">
        <v>144</v>
      </c>
      <c r="D150" s="53">
        <v>0.1</v>
      </c>
      <c r="E150" s="53">
        <v>1</v>
      </c>
      <c r="F150" s="64">
        <v>15000</v>
      </c>
      <c r="G150" s="65">
        <f t="shared" ref="G150:G156" si="9">D150*E150*F150</f>
        <v>1500</v>
      </c>
    </row>
    <row r="151" spans="2:7">
      <c r="B151" s="66"/>
      <c r="C151" s="8"/>
      <c r="D151" s="53"/>
      <c r="E151" s="53"/>
      <c r="F151" s="64"/>
      <c r="G151" s="65">
        <f t="shared" si="9"/>
        <v>0</v>
      </c>
    </row>
    <row r="152" spans="2:7">
      <c r="B152" s="66"/>
      <c r="C152" s="8"/>
      <c r="D152" s="53"/>
      <c r="E152" s="53"/>
      <c r="F152" s="64"/>
      <c r="G152" s="65">
        <f t="shared" si="9"/>
        <v>0</v>
      </c>
    </row>
    <row r="153" spans="2:7">
      <c r="B153" s="66"/>
      <c r="C153" s="7"/>
      <c r="D153" s="7"/>
      <c r="E153" s="7"/>
      <c r="F153" s="64"/>
      <c r="G153" s="65">
        <f t="shared" si="9"/>
        <v>0</v>
      </c>
    </row>
    <row r="154" spans="2:7">
      <c r="B154" s="66"/>
      <c r="C154" s="7"/>
      <c r="D154" s="7"/>
      <c r="E154" s="7"/>
      <c r="F154" s="64"/>
      <c r="G154" s="65">
        <f t="shared" si="9"/>
        <v>0</v>
      </c>
    </row>
    <row r="155" spans="2:7">
      <c r="B155" s="66"/>
      <c r="C155" s="7"/>
      <c r="D155" s="7"/>
      <c r="E155" s="7"/>
      <c r="F155" s="64"/>
      <c r="G155" s="65">
        <f t="shared" si="9"/>
        <v>0</v>
      </c>
    </row>
    <row r="156" spans="2:7">
      <c r="B156" s="66"/>
      <c r="C156" s="7"/>
      <c r="D156" s="7"/>
      <c r="E156" s="7"/>
      <c r="F156" s="64"/>
      <c r="G156" s="65">
        <f t="shared" si="9"/>
        <v>0</v>
      </c>
    </row>
    <row r="157" spans="2:7" ht="14.5" thickBot="1">
      <c r="B157" s="161" t="s">
        <v>126</v>
      </c>
      <c r="C157" s="162"/>
      <c r="D157" s="162"/>
      <c r="E157" s="162"/>
      <c r="F157" s="163"/>
      <c r="G157" s="72">
        <f>SUM(G149:G156)</f>
        <v>112000</v>
      </c>
    </row>
    <row r="158" spans="2:7" ht="14.5" thickBot="1">
      <c r="B158" s="164" t="s">
        <v>122</v>
      </c>
      <c r="C158" s="165"/>
      <c r="D158" s="165"/>
      <c r="E158" s="165"/>
      <c r="F158" s="165"/>
      <c r="G158" s="166"/>
    </row>
    <row r="159" spans="2:7" ht="14.5" thickBot="1">
      <c r="B159" s="61" t="s">
        <v>127</v>
      </c>
      <c r="C159" s="62" t="s">
        <v>117</v>
      </c>
      <c r="D159" s="62" t="s">
        <v>118</v>
      </c>
      <c r="E159" s="62" t="s">
        <v>128</v>
      </c>
      <c r="F159" s="62" t="s">
        <v>130</v>
      </c>
      <c r="G159" s="63" t="s">
        <v>120</v>
      </c>
    </row>
    <row r="160" spans="2:7">
      <c r="B160" s="66" t="s">
        <v>146</v>
      </c>
      <c r="C160" s="8" t="s">
        <v>140</v>
      </c>
      <c r="D160" s="53">
        <v>1</v>
      </c>
      <c r="E160" s="53">
        <v>2</v>
      </c>
      <c r="F160" s="64">
        <v>9000</v>
      </c>
      <c r="G160" s="65">
        <f t="shared" ref="G160:G162" si="10">D160*E160*F160</f>
        <v>18000</v>
      </c>
    </row>
    <row r="161" spans="2:9">
      <c r="B161" s="66" t="s">
        <v>154</v>
      </c>
      <c r="C161" s="8" t="s">
        <v>140</v>
      </c>
      <c r="D161" s="53">
        <v>1</v>
      </c>
      <c r="E161" s="53">
        <v>1</v>
      </c>
      <c r="F161" s="64">
        <v>11500</v>
      </c>
      <c r="G161" s="65">
        <f t="shared" si="10"/>
        <v>11500</v>
      </c>
    </row>
    <row r="162" spans="2:9">
      <c r="B162" s="66"/>
      <c r="C162" s="8"/>
      <c r="D162" s="53"/>
      <c r="E162" s="53"/>
      <c r="F162" s="64"/>
      <c r="G162" s="65">
        <f t="shared" si="10"/>
        <v>0</v>
      </c>
    </row>
    <row r="163" spans="2:9" ht="14.5" thickBot="1">
      <c r="B163" s="161" t="s">
        <v>126</v>
      </c>
      <c r="C163" s="162"/>
      <c r="D163" s="162"/>
      <c r="E163" s="162"/>
      <c r="F163" s="163"/>
      <c r="G163" s="72">
        <f>SUM(G160:G162)</f>
        <v>29500</v>
      </c>
    </row>
    <row r="164" spans="2:9" ht="14.5" thickBot="1">
      <c r="B164" s="164" t="s">
        <v>124</v>
      </c>
      <c r="C164" s="165"/>
      <c r="D164" s="165"/>
      <c r="E164" s="165"/>
      <c r="F164" s="165"/>
      <c r="G164" s="166"/>
    </row>
    <row r="165" spans="2:9" ht="14.5" thickBot="1">
      <c r="B165" s="61" t="s">
        <v>127</v>
      </c>
      <c r="C165" s="62" t="s">
        <v>117</v>
      </c>
      <c r="D165" s="62" t="s">
        <v>118</v>
      </c>
      <c r="E165" s="62" t="s">
        <v>128</v>
      </c>
      <c r="F165" s="62" t="s">
        <v>129</v>
      </c>
      <c r="G165" s="63" t="s">
        <v>120</v>
      </c>
    </row>
    <row r="166" spans="2:9">
      <c r="B166" s="66" t="s">
        <v>141</v>
      </c>
      <c r="C166" s="8" t="s">
        <v>142</v>
      </c>
      <c r="D166" s="53">
        <v>1</v>
      </c>
      <c r="E166" s="53">
        <v>0.05</v>
      </c>
      <c r="F166" s="64">
        <f>G163</f>
        <v>29500</v>
      </c>
      <c r="G166" s="65">
        <f t="shared" ref="G166:G168" si="11">D166*E166*F166</f>
        <v>1475</v>
      </c>
    </row>
    <row r="167" spans="2:9">
      <c r="B167" s="66" t="s">
        <v>157</v>
      </c>
      <c r="C167" s="8" t="s">
        <v>140</v>
      </c>
      <c r="D167" s="53">
        <v>1</v>
      </c>
      <c r="E167" s="53">
        <v>0.2</v>
      </c>
      <c r="F167" s="64">
        <v>15000</v>
      </c>
      <c r="G167" s="65">
        <f t="shared" si="11"/>
        <v>3000</v>
      </c>
    </row>
    <row r="168" spans="2:9">
      <c r="B168" s="66"/>
      <c r="C168" s="8"/>
      <c r="D168" s="53"/>
      <c r="E168" s="53"/>
      <c r="F168" s="64"/>
      <c r="G168" s="65">
        <f t="shared" si="11"/>
        <v>0</v>
      </c>
    </row>
    <row r="169" spans="2:9" ht="14.5" thickBot="1">
      <c r="B169" s="161" t="s">
        <v>126</v>
      </c>
      <c r="C169" s="162"/>
      <c r="D169" s="162"/>
      <c r="E169" s="162"/>
      <c r="F169" s="163"/>
      <c r="G169" s="72">
        <f>SUM(G166:G168)</f>
        <v>4475</v>
      </c>
    </row>
    <row r="170" spans="2:9" ht="14.5" thickBot="1">
      <c r="B170" s="164" t="s">
        <v>123</v>
      </c>
      <c r="C170" s="165"/>
      <c r="D170" s="165"/>
      <c r="E170" s="165"/>
      <c r="F170" s="165"/>
      <c r="G170" s="166"/>
    </row>
    <row r="171" spans="2:9" ht="14.5" thickBot="1">
      <c r="B171" s="61" t="s">
        <v>127</v>
      </c>
      <c r="C171" s="62" t="s">
        <v>117</v>
      </c>
      <c r="D171" s="62" t="s">
        <v>118</v>
      </c>
      <c r="E171" s="62" t="s">
        <v>128</v>
      </c>
      <c r="F171" s="62" t="s">
        <v>129</v>
      </c>
      <c r="G171" s="63" t="s">
        <v>120</v>
      </c>
    </row>
    <row r="172" spans="2:9">
      <c r="B172" s="66" t="s">
        <v>216</v>
      </c>
      <c r="C172" s="8" t="s">
        <v>144</v>
      </c>
      <c r="D172" s="8">
        <v>1</v>
      </c>
      <c r="E172" s="8"/>
      <c r="F172" s="64">
        <v>30000</v>
      </c>
      <c r="G172" s="65">
        <f>+D172*F172</f>
        <v>30000</v>
      </c>
    </row>
    <row r="173" spans="2:9" ht="14.5" thickBot="1">
      <c r="B173" s="167" t="s">
        <v>126</v>
      </c>
      <c r="C173" s="168"/>
      <c r="D173" s="168"/>
      <c r="E173" s="168"/>
      <c r="F173" s="169"/>
      <c r="G173" s="67">
        <f>SUM(G172)</f>
        <v>30000</v>
      </c>
    </row>
    <row r="174" spans="2:9" ht="14.5" thickBot="1">
      <c r="B174" s="170"/>
      <c r="C174" s="171"/>
      <c r="D174" s="171"/>
      <c r="E174" s="171"/>
      <c r="F174" s="171"/>
      <c r="G174" s="172"/>
    </row>
    <row r="175" spans="2:9" ht="14.5" thickBot="1">
      <c r="B175" s="156"/>
      <c r="C175" s="157"/>
      <c r="D175" s="158" t="s">
        <v>225</v>
      </c>
      <c r="E175" s="159"/>
      <c r="F175" s="160"/>
      <c r="G175" s="68">
        <f>ROUND(G157+G163+G169+G173,0)</f>
        <v>175975</v>
      </c>
      <c r="I175" s="94"/>
    </row>
    <row r="186" spans="2:7" ht="14.5" thickBot="1"/>
    <row r="187" spans="2:7" ht="14.5" thickBot="1">
      <c r="B187" s="179" t="s">
        <v>114</v>
      </c>
      <c r="C187" s="180"/>
      <c r="D187" s="180"/>
      <c r="E187" s="180"/>
      <c r="F187" s="180"/>
      <c r="G187" s="181"/>
    </row>
    <row r="188" spans="2:7" ht="14.5" thickBot="1">
      <c r="B188" s="179"/>
      <c r="C188" s="180"/>
      <c r="D188" s="180"/>
      <c r="E188" s="180"/>
      <c r="F188" s="180"/>
      <c r="G188" s="181"/>
    </row>
    <row r="189" spans="2:7" ht="14.5" thickBot="1">
      <c r="B189" s="170"/>
      <c r="C189" s="171"/>
      <c r="D189" s="171"/>
      <c r="E189" s="171"/>
      <c r="F189" s="171"/>
      <c r="G189" s="172"/>
    </row>
    <row r="190" spans="2:7">
      <c r="B190" s="69" t="s">
        <v>115</v>
      </c>
      <c r="C190" s="182" t="s">
        <v>9</v>
      </c>
      <c r="D190" s="182"/>
      <c r="E190" s="182"/>
      <c r="F190" s="182"/>
      <c r="G190" s="183"/>
    </row>
    <row r="191" spans="2:7" ht="42.65" customHeight="1">
      <c r="B191" s="74" t="s">
        <v>125</v>
      </c>
      <c r="C191" s="173" t="s">
        <v>10</v>
      </c>
      <c r="D191" s="173"/>
      <c r="E191" s="173"/>
      <c r="F191" s="173"/>
      <c r="G191" s="174"/>
    </row>
    <row r="192" spans="2:7" ht="14.5" thickBot="1">
      <c r="B192" s="71" t="s">
        <v>116</v>
      </c>
      <c r="C192" s="175" t="s">
        <v>144</v>
      </c>
      <c r="D192" s="175"/>
      <c r="E192" s="175"/>
      <c r="F192" s="175"/>
      <c r="G192" s="176"/>
    </row>
    <row r="193" spans="2:7" ht="14.5" thickBot="1">
      <c r="B193" s="156"/>
      <c r="C193" s="177"/>
      <c r="D193" s="177"/>
      <c r="E193" s="177"/>
      <c r="F193" s="177"/>
      <c r="G193" s="178"/>
    </row>
    <row r="194" spans="2:7" ht="14.5" thickBot="1">
      <c r="B194" s="164" t="s">
        <v>121</v>
      </c>
      <c r="C194" s="165"/>
      <c r="D194" s="165"/>
      <c r="E194" s="165"/>
      <c r="F194" s="165"/>
      <c r="G194" s="166"/>
    </row>
    <row r="195" spans="2:7" ht="14.5" thickBot="1">
      <c r="B195" s="61" t="s">
        <v>127</v>
      </c>
      <c r="C195" s="62" t="s">
        <v>117</v>
      </c>
      <c r="D195" s="62" t="s">
        <v>118</v>
      </c>
      <c r="E195" s="62" t="s">
        <v>128</v>
      </c>
      <c r="F195" s="62" t="s">
        <v>119</v>
      </c>
      <c r="G195" s="63" t="s">
        <v>120</v>
      </c>
    </row>
    <row r="196" spans="2:7">
      <c r="B196" s="66" t="s">
        <v>156</v>
      </c>
      <c r="C196" s="8" t="s">
        <v>144</v>
      </c>
      <c r="D196" s="53">
        <v>0.1</v>
      </c>
      <c r="E196" s="53">
        <v>1</v>
      </c>
      <c r="F196" s="64">
        <v>15000</v>
      </c>
      <c r="G196" s="65">
        <f>D196*E196*F196</f>
        <v>1500</v>
      </c>
    </row>
    <row r="197" spans="2:7">
      <c r="B197" s="66"/>
      <c r="C197" s="8"/>
      <c r="D197" s="53"/>
      <c r="E197" s="53"/>
      <c r="F197" s="64"/>
      <c r="G197" s="65">
        <f t="shared" ref="G197:G203" si="12">D197*E197*F197</f>
        <v>0</v>
      </c>
    </row>
    <row r="198" spans="2:7">
      <c r="B198" s="66"/>
      <c r="C198" s="8"/>
      <c r="D198" s="53"/>
      <c r="E198" s="53"/>
      <c r="F198" s="64"/>
      <c r="G198" s="65">
        <f t="shared" si="12"/>
        <v>0</v>
      </c>
    </row>
    <row r="199" spans="2:7">
      <c r="B199" s="66"/>
      <c r="C199" s="8"/>
      <c r="D199" s="53"/>
      <c r="E199" s="53"/>
      <c r="F199" s="64"/>
      <c r="G199" s="65">
        <f t="shared" si="12"/>
        <v>0</v>
      </c>
    </row>
    <row r="200" spans="2:7">
      <c r="B200" s="66"/>
      <c r="C200" s="7"/>
      <c r="D200" s="7"/>
      <c r="E200" s="7"/>
      <c r="F200" s="64"/>
      <c r="G200" s="65">
        <f t="shared" si="12"/>
        <v>0</v>
      </c>
    </row>
    <row r="201" spans="2:7">
      <c r="B201" s="66"/>
      <c r="C201" s="7"/>
      <c r="D201" s="7"/>
      <c r="E201" s="7"/>
      <c r="F201" s="64"/>
      <c r="G201" s="65">
        <f t="shared" si="12"/>
        <v>0</v>
      </c>
    </row>
    <row r="202" spans="2:7">
      <c r="B202" s="66"/>
      <c r="C202" s="7"/>
      <c r="D202" s="7"/>
      <c r="E202" s="7"/>
      <c r="F202" s="64"/>
      <c r="G202" s="65">
        <f t="shared" si="12"/>
        <v>0</v>
      </c>
    </row>
    <row r="203" spans="2:7">
      <c r="B203" s="66"/>
      <c r="C203" s="7"/>
      <c r="D203" s="7"/>
      <c r="E203" s="7"/>
      <c r="F203" s="64"/>
      <c r="G203" s="65">
        <f t="shared" si="12"/>
        <v>0</v>
      </c>
    </row>
    <row r="204" spans="2:7" ht="14.5" thickBot="1">
      <c r="B204" s="161" t="s">
        <v>126</v>
      </c>
      <c r="C204" s="162"/>
      <c r="D204" s="162"/>
      <c r="E204" s="162"/>
      <c r="F204" s="163"/>
      <c r="G204" s="72">
        <f>SUM(G196:G203)</f>
        <v>1500</v>
      </c>
    </row>
    <row r="205" spans="2:7" ht="14.5" thickBot="1">
      <c r="B205" s="164" t="s">
        <v>122</v>
      </c>
      <c r="C205" s="165"/>
      <c r="D205" s="165"/>
      <c r="E205" s="165"/>
      <c r="F205" s="165"/>
      <c r="G205" s="166"/>
    </row>
    <row r="206" spans="2:7" ht="14.5" thickBot="1">
      <c r="B206" s="61" t="s">
        <v>127</v>
      </c>
      <c r="C206" s="62" t="s">
        <v>117</v>
      </c>
      <c r="D206" s="62" t="s">
        <v>118</v>
      </c>
      <c r="E206" s="62" t="s">
        <v>128</v>
      </c>
      <c r="F206" s="62" t="s">
        <v>130</v>
      </c>
      <c r="G206" s="63" t="s">
        <v>120</v>
      </c>
    </row>
    <row r="207" spans="2:7">
      <c r="B207" s="66" t="s">
        <v>146</v>
      </c>
      <c r="C207" s="8" t="s">
        <v>140</v>
      </c>
      <c r="D207" s="53">
        <v>1</v>
      </c>
      <c r="E207" s="53">
        <v>2</v>
      </c>
      <c r="F207" s="64">
        <v>9000</v>
      </c>
      <c r="G207" s="65">
        <f t="shared" ref="G207:G209" si="13">D207*E207*F207</f>
        <v>18000</v>
      </c>
    </row>
    <row r="208" spans="2:7">
      <c r="B208" s="66" t="s">
        <v>154</v>
      </c>
      <c r="C208" s="8" t="s">
        <v>140</v>
      </c>
      <c r="D208" s="53">
        <v>1</v>
      </c>
      <c r="E208" s="53">
        <v>1</v>
      </c>
      <c r="F208" s="64">
        <v>11500</v>
      </c>
      <c r="G208" s="65">
        <f t="shared" si="13"/>
        <v>11500</v>
      </c>
    </row>
    <row r="209" spans="2:7">
      <c r="B209" s="66"/>
      <c r="C209" s="8"/>
      <c r="D209" s="53"/>
      <c r="E209" s="53"/>
      <c r="F209" s="64"/>
      <c r="G209" s="65">
        <f t="shared" si="13"/>
        <v>0</v>
      </c>
    </row>
    <row r="210" spans="2:7" ht="14.5" thickBot="1">
      <c r="B210" s="161" t="s">
        <v>126</v>
      </c>
      <c r="C210" s="162"/>
      <c r="D210" s="162"/>
      <c r="E210" s="162"/>
      <c r="F210" s="163"/>
      <c r="G210" s="72">
        <f>SUM(G207:G209)</f>
        <v>29500</v>
      </c>
    </row>
    <row r="211" spans="2:7" ht="14.5" thickBot="1">
      <c r="B211" s="164" t="s">
        <v>124</v>
      </c>
      <c r="C211" s="165"/>
      <c r="D211" s="165"/>
      <c r="E211" s="165"/>
      <c r="F211" s="165"/>
      <c r="G211" s="166"/>
    </row>
    <row r="212" spans="2:7" ht="14.5" thickBot="1">
      <c r="B212" s="61" t="s">
        <v>127</v>
      </c>
      <c r="C212" s="62" t="s">
        <v>117</v>
      </c>
      <c r="D212" s="62" t="s">
        <v>118</v>
      </c>
      <c r="E212" s="62" t="s">
        <v>128</v>
      </c>
      <c r="F212" s="62" t="s">
        <v>129</v>
      </c>
      <c r="G212" s="63" t="s">
        <v>120</v>
      </c>
    </row>
    <row r="213" spans="2:7">
      <c r="B213" s="66" t="s">
        <v>141</v>
      </c>
      <c r="C213" s="8" t="s">
        <v>142</v>
      </c>
      <c r="D213" s="53">
        <v>1</v>
      </c>
      <c r="E213" s="53">
        <v>0.05</v>
      </c>
      <c r="F213" s="64">
        <f>G210</f>
        <v>29500</v>
      </c>
      <c r="G213" s="65">
        <f t="shared" ref="G213:G215" si="14">D213*E213*F213</f>
        <v>1475</v>
      </c>
    </row>
    <row r="214" spans="2:7">
      <c r="B214" s="66" t="s">
        <v>157</v>
      </c>
      <c r="C214" s="8" t="s">
        <v>140</v>
      </c>
      <c r="D214" s="53">
        <v>1</v>
      </c>
      <c r="E214" s="53">
        <v>0.15425</v>
      </c>
      <c r="F214" s="64">
        <v>15000</v>
      </c>
      <c r="G214" s="65">
        <f t="shared" si="14"/>
        <v>2313.75</v>
      </c>
    </row>
    <row r="215" spans="2:7">
      <c r="B215" s="66" t="s">
        <v>147</v>
      </c>
      <c r="C215" s="8" t="s">
        <v>140</v>
      </c>
      <c r="D215" s="53">
        <v>1</v>
      </c>
      <c r="E215" s="53">
        <v>0.22794</v>
      </c>
      <c r="F215" s="64">
        <v>220000</v>
      </c>
      <c r="G215" s="65">
        <f t="shared" si="14"/>
        <v>50146.8</v>
      </c>
    </row>
    <row r="216" spans="2:7" ht="14.5" thickBot="1">
      <c r="B216" s="161" t="s">
        <v>126</v>
      </c>
      <c r="C216" s="162"/>
      <c r="D216" s="162"/>
      <c r="E216" s="162"/>
      <c r="F216" s="163"/>
      <c r="G216" s="72">
        <f>SUM(G213:G215)</f>
        <v>53935.55</v>
      </c>
    </row>
    <row r="217" spans="2:7" ht="14.5" thickBot="1">
      <c r="B217" s="164" t="s">
        <v>123</v>
      </c>
      <c r="C217" s="165"/>
      <c r="D217" s="165"/>
      <c r="E217" s="165"/>
      <c r="F217" s="165"/>
      <c r="G217" s="166"/>
    </row>
    <row r="218" spans="2:7" ht="14.5" thickBot="1">
      <c r="B218" s="61" t="s">
        <v>127</v>
      </c>
      <c r="C218" s="62" t="s">
        <v>117</v>
      </c>
      <c r="D218" s="62" t="s">
        <v>118</v>
      </c>
      <c r="E218" s="62" t="s">
        <v>128</v>
      </c>
      <c r="F218" s="62" t="s">
        <v>129</v>
      </c>
      <c r="G218" s="63" t="s">
        <v>120</v>
      </c>
    </row>
    <row r="219" spans="2:7">
      <c r="B219" s="66"/>
      <c r="C219" s="8"/>
      <c r="D219" s="8"/>
      <c r="E219" s="8"/>
      <c r="F219" s="64"/>
      <c r="G219" s="65">
        <f>D219*E219*F219</f>
        <v>0</v>
      </c>
    </row>
    <row r="220" spans="2:7" ht="14.5" thickBot="1">
      <c r="B220" s="167" t="s">
        <v>126</v>
      </c>
      <c r="C220" s="168"/>
      <c r="D220" s="168"/>
      <c r="E220" s="168"/>
      <c r="F220" s="169"/>
      <c r="G220" s="67">
        <f>SUM(G219)</f>
        <v>0</v>
      </c>
    </row>
    <row r="221" spans="2:7" ht="14.5" thickBot="1">
      <c r="B221" s="170"/>
      <c r="C221" s="171"/>
      <c r="D221" s="171"/>
      <c r="E221" s="171"/>
      <c r="F221" s="171"/>
      <c r="G221" s="172"/>
    </row>
    <row r="222" spans="2:7" ht="14.5" thickBot="1">
      <c r="B222" s="156"/>
      <c r="C222" s="157"/>
      <c r="D222" s="158" t="s">
        <v>225</v>
      </c>
      <c r="E222" s="159"/>
      <c r="F222" s="160"/>
      <c r="G222" s="68">
        <f>ROUND(G204+G210+G216+G220,0)</f>
        <v>84936</v>
      </c>
    </row>
    <row r="231" spans="2:7" ht="14.5" thickBot="1"/>
    <row r="232" spans="2:7" ht="14.5" thickBot="1">
      <c r="B232" s="179" t="s">
        <v>114</v>
      </c>
      <c r="C232" s="180"/>
      <c r="D232" s="180"/>
      <c r="E232" s="180"/>
      <c r="F232" s="180"/>
      <c r="G232" s="181"/>
    </row>
    <row r="233" spans="2:7" ht="14.5" thickBot="1">
      <c r="B233" s="179"/>
      <c r="C233" s="180"/>
      <c r="D233" s="180"/>
      <c r="E233" s="180"/>
      <c r="F233" s="180"/>
      <c r="G233" s="181"/>
    </row>
    <row r="234" spans="2:7" ht="14.5" thickBot="1">
      <c r="B234" s="170"/>
      <c r="C234" s="171"/>
      <c r="D234" s="171"/>
      <c r="E234" s="171"/>
      <c r="F234" s="171"/>
      <c r="G234" s="172"/>
    </row>
    <row r="235" spans="2:7">
      <c r="B235" s="69" t="s">
        <v>115</v>
      </c>
      <c r="C235" s="182" t="s">
        <v>11</v>
      </c>
      <c r="D235" s="182"/>
      <c r="E235" s="182"/>
      <c r="F235" s="182"/>
      <c r="G235" s="183"/>
    </row>
    <row r="236" spans="2:7" ht="44.5" customHeight="1">
      <c r="B236" s="74" t="s">
        <v>125</v>
      </c>
      <c r="C236" s="173" t="s">
        <v>12</v>
      </c>
      <c r="D236" s="173"/>
      <c r="E236" s="173"/>
      <c r="F236" s="173"/>
      <c r="G236" s="174"/>
    </row>
    <row r="237" spans="2:7" ht="14.5" thickBot="1">
      <c r="B237" s="71" t="s">
        <v>116</v>
      </c>
      <c r="C237" s="175" t="s">
        <v>144</v>
      </c>
      <c r="D237" s="175"/>
      <c r="E237" s="175"/>
      <c r="F237" s="175"/>
      <c r="G237" s="176"/>
    </row>
    <row r="238" spans="2:7" ht="14.5" thickBot="1">
      <c r="B238" s="156"/>
      <c r="C238" s="177"/>
      <c r="D238" s="177"/>
      <c r="E238" s="177"/>
      <c r="F238" s="177"/>
      <c r="G238" s="178"/>
    </row>
    <row r="239" spans="2:7" ht="14.5" thickBot="1">
      <c r="B239" s="164" t="s">
        <v>121</v>
      </c>
      <c r="C239" s="165"/>
      <c r="D239" s="165"/>
      <c r="E239" s="165"/>
      <c r="F239" s="165"/>
      <c r="G239" s="166"/>
    </row>
    <row r="240" spans="2:7" ht="14.5" thickBot="1">
      <c r="B240" s="61" t="s">
        <v>127</v>
      </c>
      <c r="C240" s="62" t="s">
        <v>117</v>
      </c>
      <c r="D240" s="62" t="s">
        <v>118</v>
      </c>
      <c r="E240" s="62" t="s">
        <v>128</v>
      </c>
      <c r="F240" s="62" t="s">
        <v>119</v>
      </c>
      <c r="G240" s="63" t="s">
        <v>120</v>
      </c>
    </row>
    <row r="241" spans="2:7">
      <c r="B241" s="66" t="s">
        <v>158</v>
      </c>
      <c r="C241" s="8" t="s">
        <v>144</v>
      </c>
      <c r="D241" s="53">
        <v>1.35</v>
      </c>
      <c r="E241" s="53">
        <v>1</v>
      </c>
      <c r="F241" s="64">
        <v>105500</v>
      </c>
      <c r="G241" s="65">
        <f>D241*E241*F241</f>
        <v>142425</v>
      </c>
    </row>
    <row r="242" spans="2:7">
      <c r="B242" s="66" t="s">
        <v>156</v>
      </c>
      <c r="C242" s="8" t="s">
        <v>144</v>
      </c>
      <c r="D242" s="53">
        <v>0.1</v>
      </c>
      <c r="E242" s="53">
        <v>1</v>
      </c>
      <c r="F242" s="64">
        <v>15000</v>
      </c>
      <c r="G242" s="65">
        <f t="shared" ref="G242:G248" si="15">D242*E242*F242</f>
        <v>1500</v>
      </c>
    </row>
    <row r="243" spans="2:7">
      <c r="B243" s="66"/>
      <c r="C243" s="8"/>
      <c r="D243" s="53"/>
      <c r="E243" s="53"/>
      <c r="F243" s="64"/>
      <c r="G243" s="65">
        <f t="shared" si="15"/>
        <v>0</v>
      </c>
    </row>
    <row r="244" spans="2:7">
      <c r="B244" s="66"/>
      <c r="C244" s="8"/>
      <c r="D244" s="53"/>
      <c r="E244" s="53"/>
      <c r="F244" s="64"/>
      <c r="G244" s="65">
        <f t="shared" si="15"/>
        <v>0</v>
      </c>
    </row>
    <row r="245" spans="2:7">
      <c r="B245" s="66"/>
      <c r="C245" s="7"/>
      <c r="D245" s="7"/>
      <c r="E245" s="7"/>
      <c r="F245" s="64"/>
      <c r="G245" s="65">
        <f t="shared" si="15"/>
        <v>0</v>
      </c>
    </row>
    <row r="246" spans="2:7">
      <c r="B246" s="66"/>
      <c r="C246" s="7"/>
      <c r="D246" s="7"/>
      <c r="E246" s="7"/>
      <c r="F246" s="64"/>
      <c r="G246" s="65">
        <f t="shared" si="15"/>
        <v>0</v>
      </c>
    </row>
    <row r="247" spans="2:7">
      <c r="B247" s="66"/>
      <c r="C247" s="7"/>
      <c r="D247" s="7"/>
      <c r="E247" s="7"/>
      <c r="F247" s="64"/>
      <c r="G247" s="65">
        <f t="shared" si="15"/>
        <v>0</v>
      </c>
    </row>
    <row r="248" spans="2:7">
      <c r="B248" s="66"/>
      <c r="C248" s="7"/>
      <c r="D248" s="7"/>
      <c r="E248" s="7"/>
      <c r="F248" s="64"/>
      <c r="G248" s="65">
        <f t="shared" si="15"/>
        <v>0</v>
      </c>
    </row>
    <row r="249" spans="2:7" ht="14.5" thickBot="1">
      <c r="B249" s="161" t="s">
        <v>126</v>
      </c>
      <c r="C249" s="162"/>
      <c r="D249" s="162"/>
      <c r="E249" s="162"/>
      <c r="F249" s="163"/>
      <c r="G249" s="72">
        <f>SUM(G241:G248)</f>
        <v>143925</v>
      </c>
    </row>
    <row r="250" spans="2:7" ht="14.5" thickBot="1">
      <c r="B250" s="164" t="s">
        <v>122</v>
      </c>
      <c r="C250" s="165"/>
      <c r="D250" s="165"/>
      <c r="E250" s="165"/>
      <c r="F250" s="165"/>
      <c r="G250" s="166"/>
    </row>
    <row r="251" spans="2:7" ht="14.5" thickBot="1">
      <c r="B251" s="61" t="s">
        <v>127</v>
      </c>
      <c r="C251" s="62" t="s">
        <v>117</v>
      </c>
      <c r="D251" s="62" t="s">
        <v>118</v>
      </c>
      <c r="E251" s="62" t="s">
        <v>128</v>
      </c>
      <c r="F251" s="62" t="s">
        <v>130</v>
      </c>
      <c r="G251" s="63" t="s">
        <v>120</v>
      </c>
    </row>
    <row r="252" spans="2:7">
      <c r="B252" s="66" t="s">
        <v>146</v>
      </c>
      <c r="C252" s="8" t="s">
        <v>140</v>
      </c>
      <c r="D252" s="53">
        <v>1</v>
      </c>
      <c r="E252" s="53">
        <v>2</v>
      </c>
      <c r="F252" s="64">
        <v>9000</v>
      </c>
      <c r="G252" s="65">
        <f t="shared" ref="G252:G254" si="16">D252*E252*F252</f>
        <v>18000</v>
      </c>
    </row>
    <row r="253" spans="2:7">
      <c r="B253" s="66" t="s">
        <v>154</v>
      </c>
      <c r="C253" s="8" t="s">
        <v>140</v>
      </c>
      <c r="D253" s="53">
        <v>1</v>
      </c>
      <c r="E253" s="53">
        <v>1</v>
      </c>
      <c r="F253" s="64">
        <v>11500</v>
      </c>
      <c r="G253" s="65">
        <f t="shared" si="16"/>
        <v>11500</v>
      </c>
    </row>
    <row r="254" spans="2:7">
      <c r="B254" s="66"/>
      <c r="C254" s="8"/>
      <c r="D254" s="53"/>
      <c r="E254" s="53"/>
      <c r="F254" s="64"/>
      <c r="G254" s="65">
        <f t="shared" si="16"/>
        <v>0</v>
      </c>
    </row>
    <row r="255" spans="2:7" ht="14.5" thickBot="1">
      <c r="B255" s="161" t="s">
        <v>126</v>
      </c>
      <c r="C255" s="162"/>
      <c r="D255" s="162"/>
      <c r="E255" s="162"/>
      <c r="F255" s="163"/>
      <c r="G255" s="72">
        <f>SUM(G252:G254)</f>
        <v>29500</v>
      </c>
    </row>
    <row r="256" spans="2:7" ht="14.5" thickBot="1">
      <c r="B256" s="164" t="s">
        <v>124</v>
      </c>
      <c r="C256" s="165"/>
      <c r="D256" s="165"/>
      <c r="E256" s="165"/>
      <c r="F256" s="165"/>
      <c r="G256" s="166"/>
    </row>
    <row r="257" spans="2:7" ht="14.5" thickBot="1">
      <c r="B257" s="61" t="s">
        <v>127</v>
      </c>
      <c r="C257" s="62" t="s">
        <v>117</v>
      </c>
      <c r="D257" s="62" t="s">
        <v>118</v>
      </c>
      <c r="E257" s="62" t="s">
        <v>128</v>
      </c>
      <c r="F257" s="62" t="s">
        <v>129</v>
      </c>
      <c r="G257" s="63" t="s">
        <v>120</v>
      </c>
    </row>
    <row r="258" spans="2:7">
      <c r="B258" s="66" t="s">
        <v>141</v>
      </c>
      <c r="C258" s="8" t="s">
        <v>142</v>
      </c>
      <c r="D258" s="53">
        <v>1</v>
      </c>
      <c r="E258" s="53">
        <v>0.05</v>
      </c>
      <c r="F258" s="64">
        <f>G255</f>
        <v>29500</v>
      </c>
      <c r="G258" s="65">
        <f t="shared" ref="G258:G260" si="17">D258*E258*F258</f>
        <v>1475</v>
      </c>
    </row>
    <row r="259" spans="2:7">
      <c r="B259" s="66" t="s">
        <v>157</v>
      </c>
      <c r="C259" s="8" t="s">
        <v>140</v>
      </c>
      <c r="D259" s="53">
        <v>1</v>
      </c>
      <c r="E259" s="53">
        <v>0.13450000000000001</v>
      </c>
      <c r="F259" s="64">
        <v>15000</v>
      </c>
      <c r="G259" s="65">
        <f t="shared" si="17"/>
        <v>2017.5000000000002</v>
      </c>
    </row>
    <row r="260" spans="2:7">
      <c r="B260" s="66"/>
      <c r="C260" s="8"/>
      <c r="D260" s="53"/>
      <c r="E260" s="53"/>
      <c r="F260" s="64"/>
      <c r="G260" s="65">
        <f t="shared" si="17"/>
        <v>0</v>
      </c>
    </row>
    <row r="261" spans="2:7" ht="14.5" thickBot="1">
      <c r="B261" s="161" t="s">
        <v>126</v>
      </c>
      <c r="C261" s="162"/>
      <c r="D261" s="162"/>
      <c r="E261" s="162"/>
      <c r="F261" s="163"/>
      <c r="G261" s="72">
        <f>SUM(G258:G260)</f>
        <v>3492.5</v>
      </c>
    </row>
    <row r="262" spans="2:7" ht="14.5" thickBot="1">
      <c r="B262" s="164" t="s">
        <v>123</v>
      </c>
      <c r="C262" s="165"/>
      <c r="D262" s="165"/>
      <c r="E262" s="165"/>
      <c r="F262" s="165"/>
      <c r="G262" s="166"/>
    </row>
    <row r="263" spans="2:7" ht="14.5" thickBot="1">
      <c r="B263" s="61" t="s">
        <v>127</v>
      </c>
      <c r="C263" s="62" t="s">
        <v>117</v>
      </c>
      <c r="D263" s="62" t="s">
        <v>118</v>
      </c>
      <c r="E263" s="62" t="s">
        <v>128</v>
      </c>
      <c r="F263" s="62" t="s">
        <v>129</v>
      </c>
      <c r="G263" s="63" t="s">
        <v>120</v>
      </c>
    </row>
    <row r="264" spans="2:7">
      <c r="B264" s="66" t="s">
        <v>217</v>
      </c>
      <c r="C264" s="8" t="s">
        <v>144</v>
      </c>
      <c r="D264" s="8">
        <v>1</v>
      </c>
      <c r="E264" s="8"/>
      <c r="F264" s="64">
        <v>30000</v>
      </c>
      <c r="G264" s="65">
        <f>+F264*D264</f>
        <v>30000</v>
      </c>
    </row>
    <row r="265" spans="2:7" ht="14.5" thickBot="1">
      <c r="B265" s="167" t="s">
        <v>126</v>
      </c>
      <c r="C265" s="168"/>
      <c r="D265" s="168"/>
      <c r="E265" s="168"/>
      <c r="F265" s="169"/>
      <c r="G265" s="67">
        <f>SUM(G264)</f>
        <v>30000</v>
      </c>
    </row>
    <row r="266" spans="2:7" ht="14.5" thickBot="1">
      <c r="B266" s="170"/>
      <c r="C266" s="171"/>
      <c r="D266" s="171"/>
      <c r="E266" s="171"/>
      <c r="F266" s="171"/>
      <c r="G266" s="172"/>
    </row>
    <row r="267" spans="2:7" ht="14.5" thickBot="1">
      <c r="B267" s="156"/>
      <c r="C267" s="157"/>
      <c r="D267" s="158" t="s">
        <v>225</v>
      </c>
      <c r="E267" s="159"/>
      <c r="F267" s="160"/>
      <c r="G267" s="68">
        <f>ROUND(G249+G255+G261+G265,0)</f>
        <v>206918</v>
      </c>
    </row>
    <row r="275" spans="2:7" ht="14.5" thickBot="1"/>
    <row r="276" spans="2:7" ht="14.5" thickBot="1">
      <c r="B276" s="179" t="s">
        <v>114</v>
      </c>
      <c r="C276" s="180"/>
      <c r="D276" s="180"/>
      <c r="E276" s="180"/>
      <c r="F276" s="180"/>
      <c r="G276" s="181"/>
    </row>
    <row r="277" spans="2:7" ht="14.5" thickBot="1">
      <c r="B277" s="179"/>
      <c r="C277" s="180"/>
      <c r="D277" s="180"/>
      <c r="E277" s="180"/>
      <c r="F277" s="180"/>
      <c r="G277" s="181"/>
    </row>
    <row r="278" spans="2:7" ht="14.5" thickBot="1">
      <c r="B278" s="170"/>
      <c r="C278" s="171"/>
      <c r="D278" s="171"/>
      <c r="E278" s="171"/>
      <c r="F278" s="171"/>
      <c r="G278" s="172"/>
    </row>
    <row r="279" spans="2:7">
      <c r="B279" s="69" t="s">
        <v>115</v>
      </c>
      <c r="C279" s="182" t="s">
        <v>13</v>
      </c>
      <c r="D279" s="182"/>
      <c r="E279" s="182"/>
      <c r="F279" s="182"/>
      <c r="G279" s="183"/>
    </row>
    <row r="280" spans="2:7" ht="28.9" customHeight="1">
      <c r="B280" s="74" t="s">
        <v>125</v>
      </c>
      <c r="C280" s="173" t="s">
        <v>14</v>
      </c>
      <c r="D280" s="173"/>
      <c r="E280" s="173"/>
      <c r="F280" s="173"/>
      <c r="G280" s="174"/>
    </row>
    <row r="281" spans="2:7" ht="14.5" thickBot="1">
      <c r="B281" s="71" t="s">
        <v>116</v>
      </c>
      <c r="C281" s="175" t="s">
        <v>144</v>
      </c>
      <c r="D281" s="175"/>
      <c r="E281" s="175"/>
      <c r="F281" s="175"/>
      <c r="G281" s="176"/>
    </row>
    <row r="282" spans="2:7" ht="14.5" thickBot="1">
      <c r="B282" s="156"/>
      <c r="C282" s="177"/>
      <c r="D282" s="177"/>
      <c r="E282" s="177"/>
      <c r="F282" s="177"/>
      <c r="G282" s="178"/>
    </row>
    <row r="283" spans="2:7" ht="14.5" thickBot="1">
      <c r="B283" s="164" t="s">
        <v>121</v>
      </c>
      <c r="C283" s="165"/>
      <c r="D283" s="165"/>
      <c r="E283" s="165"/>
      <c r="F283" s="165"/>
      <c r="G283" s="166"/>
    </row>
    <row r="284" spans="2:7" ht="14.5" thickBot="1">
      <c r="B284" s="61" t="s">
        <v>127</v>
      </c>
      <c r="C284" s="62" t="s">
        <v>117</v>
      </c>
      <c r="D284" s="62" t="s">
        <v>118</v>
      </c>
      <c r="E284" s="62" t="s">
        <v>128</v>
      </c>
      <c r="F284" s="62" t="s">
        <v>119</v>
      </c>
      <c r="G284" s="63" t="s">
        <v>120</v>
      </c>
    </row>
    <row r="285" spans="2:7">
      <c r="B285" s="66"/>
      <c r="C285" s="8"/>
      <c r="D285" s="53"/>
      <c r="E285" s="53"/>
      <c r="F285" s="64"/>
      <c r="G285" s="65">
        <f>D285*E285*F285</f>
        <v>0</v>
      </c>
    </row>
    <row r="286" spans="2:7">
      <c r="B286" s="66"/>
      <c r="C286" s="8"/>
      <c r="D286" s="53"/>
      <c r="E286" s="53"/>
      <c r="F286" s="64"/>
      <c r="G286" s="65">
        <f t="shared" ref="G286:G292" si="18">D286*E286*F286</f>
        <v>0</v>
      </c>
    </row>
    <row r="287" spans="2:7">
      <c r="B287" s="66"/>
      <c r="C287" s="8"/>
      <c r="D287" s="53"/>
      <c r="E287" s="53"/>
      <c r="F287" s="64"/>
      <c r="G287" s="65">
        <f t="shared" si="18"/>
        <v>0</v>
      </c>
    </row>
    <row r="288" spans="2:7">
      <c r="B288" s="66"/>
      <c r="C288" s="8"/>
      <c r="D288" s="53"/>
      <c r="E288" s="53"/>
      <c r="F288" s="64"/>
      <c r="G288" s="65">
        <f t="shared" si="18"/>
        <v>0</v>
      </c>
    </row>
    <row r="289" spans="2:7">
      <c r="B289" s="66"/>
      <c r="C289" s="7"/>
      <c r="D289" s="7"/>
      <c r="E289" s="7"/>
      <c r="F289" s="64"/>
      <c r="G289" s="65">
        <f t="shared" si="18"/>
        <v>0</v>
      </c>
    </row>
    <row r="290" spans="2:7">
      <c r="B290" s="66"/>
      <c r="C290" s="7"/>
      <c r="D290" s="7"/>
      <c r="E290" s="7"/>
      <c r="F290" s="64"/>
      <c r="G290" s="65">
        <f t="shared" si="18"/>
        <v>0</v>
      </c>
    </row>
    <row r="291" spans="2:7">
      <c r="B291" s="66"/>
      <c r="C291" s="7"/>
      <c r="D291" s="7"/>
      <c r="E291" s="7"/>
      <c r="F291" s="64"/>
      <c r="G291" s="65">
        <f t="shared" si="18"/>
        <v>0</v>
      </c>
    </row>
    <row r="292" spans="2:7">
      <c r="B292" s="66"/>
      <c r="C292" s="7"/>
      <c r="D292" s="7"/>
      <c r="E292" s="7"/>
      <c r="F292" s="64"/>
      <c r="G292" s="65">
        <f t="shared" si="18"/>
        <v>0</v>
      </c>
    </row>
    <row r="293" spans="2:7" ht="14.5" thickBot="1">
      <c r="B293" s="161" t="s">
        <v>126</v>
      </c>
      <c r="C293" s="162"/>
      <c r="D293" s="162"/>
      <c r="E293" s="162"/>
      <c r="F293" s="163"/>
      <c r="G293" s="72">
        <f>SUM(G285:G292)</f>
        <v>0</v>
      </c>
    </row>
    <row r="294" spans="2:7" ht="14.5" thickBot="1">
      <c r="B294" s="164" t="s">
        <v>122</v>
      </c>
      <c r="C294" s="165"/>
      <c r="D294" s="165"/>
      <c r="E294" s="165"/>
      <c r="F294" s="165"/>
      <c r="G294" s="166"/>
    </row>
    <row r="295" spans="2:7" ht="14.5" thickBot="1">
      <c r="B295" s="61" t="s">
        <v>127</v>
      </c>
      <c r="C295" s="62" t="s">
        <v>117</v>
      </c>
      <c r="D295" s="62" t="s">
        <v>118</v>
      </c>
      <c r="E295" s="62" t="s">
        <v>128</v>
      </c>
      <c r="F295" s="62" t="s">
        <v>130</v>
      </c>
      <c r="G295" s="63" t="s">
        <v>120</v>
      </c>
    </row>
    <row r="296" spans="2:7">
      <c r="B296" s="66" t="s">
        <v>159</v>
      </c>
      <c r="C296" s="8" t="s">
        <v>140</v>
      </c>
      <c r="D296" s="53">
        <v>1</v>
      </c>
      <c r="E296" s="53">
        <v>0.5</v>
      </c>
      <c r="F296" s="64">
        <v>9000</v>
      </c>
      <c r="G296" s="65">
        <f t="shared" ref="G296:G298" si="19">D296*E296*F296</f>
        <v>4500</v>
      </c>
    </row>
    <row r="297" spans="2:7">
      <c r="B297" s="66"/>
      <c r="C297" s="8"/>
      <c r="D297" s="53"/>
      <c r="E297" s="53"/>
      <c r="F297" s="64"/>
      <c r="G297" s="65">
        <f t="shared" si="19"/>
        <v>0</v>
      </c>
    </row>
    <row r="298" spans="2:7">
      <c r="B298" s="66"/>
      <c r="C298" s="8"/>
      <c r="D298" s="53"/>
      <c r="E298" s="53"/>
      <c r="F298" s="64"/>
      <c r="G298" s="65">
        <f t="shared" si="19"/>
        <v>0</v>
      </c>
    </row>
    <row r="299" spans="2:7" ht="14.5" thickBot="1">
      <c r="B299" s="161" t="s">
        <v>126</v>
      </c>
      <c r="C299" s="162"/>
      <c r="D299" s="162"/>
      <c r="E299" s="162"/>
      <c r="F299" s="163"/>
      <c r="G299" s="72">
        <f>SUM(G296:G298)</f>
        <v>4500</v>
      </c>
    </row>
    <row r="300" spans="2:7" ht="14.5" thickBot="1">
      <c r="B300" s="164" t="s">
        <v>124</v>
      </c>
      <c r="C300" s="165"/>
      <c r="D300" s="165"/>
      <c r="E300" s="165"/>
      <c r="F300" s="165"/>
      <c r="G300" s="166"/>
    </row>
    <row r="301" spans="2:7" ht="14.5" thickBot="1">
      <c r="B301" s="61" t="s">
        <v>127</v>
      </c>
      <c r="C301" s="62" t="s">
        <v>117</v>
      </c>
      <c r="D301" s="62" t="s">
        <v>118</v>
      </c>
      <c r="E301" s="62" t="s">
        <v>128</v>
      </c>
      <c r="F301" s="62" t="s">
        <v>129</v>
      </c>
      <c r="G301" s="63" t="s">
        <v>120</v>
      </c>
    </row>
    <row r="302" spans="2:7">
      <c r="B302" s="66" t="s">
        <v>141</v>
      </c>
      <c r="C302" s="8" t="s">
        <v>142</v>
      </c>
      <c r="D302" s="53">
        <v>1</v>
      </c>
      <c r="E302" s="53">
        <v>0.05</v>
      </c>
      <c r="F302" s="64">
        <f>G299</f>
        <v>4500</v>
      </c>
      <c r="G302" s="65">
        <f t="shared" ref="G302:G304" si="20">D302*E302*F302</f>
        <v>225</v>
      </c>
    </row>
    <row r="303" spans="2:7">
      <c r="B303" s="66" t="s">
        <v>147</v>
      </c>
      <c r="C303" s="8" t="s">
        <v>140</v>
      </c>
      <c r="D303" s="53">
        <v>1</v>
      </c>
      <c r="E303" s="53">
        <v>9.5000000000000001E-2</v>
      </c>
      <c r="F303" s="64">
        <v>220000</v>
      </c>
      <c r="G303" s="65">
        <f t="shared" si="20"/>
        <v>20900</v>
      </c>
    </row>
    <row r="304" spans="2:7">
      <c r="B304" s="66"/>
      <c r="C304" s="8"/>
      <c r="D304" s="53"/>
      <c r="E304" s="53"/>
      <c r="F304" s="64"/>
      <c r="G304" s="65">
        <f t="shared" si="20"/>
        <v>0</v>
      </c>
    </row>
    <row r="305" spans="2:7" ht="14.5" thickBot="1">
      <c r="B305" s="161" t="s">
        <v>126</v>
      </c>
      <c r="C305" s="162"/>
      <c r="D305" s="162"/>
      <c r="E305" s="162"/>
      <c r="F305" s="163"/>
      <c r="G305" s="72">
        <f>SUM(G302:G304)</f>
        <v>21125</v>
      </c>
    </row>
    <row r="306" spans="2:7" ht="14.5" thickBot="1">
      <c r="B306" s="164" t="s">
        <v>123</v>
      </c>
      <c r="C306" s="165"/>
      <c r="D306" s="165"/>
      <c r="E306" s="165"/>
      <c r="F306" s="165"/>
      <c r="G306" s="166"/>
    </row>
    <row r="307" spans="2:7" ht="14.5" thickBot="1">
      <c r="B307" s="61" t="s">
        <v>127</v>
      </c>
      <c r="C307" s="62" t="s">
        <v>117</v>
      </c>
      <c r="D307" s="62" t="s">
        <v>118</v>
      </c>
      <c r="E307" s="62" t="s">
        <v>128</v>
      </c>
      <c r="F307" s="62" t="s">
        <v>129</v>
      </c>
      <c r="G307" s="63" t="s">
        <v>120</v>
      </c>
    </row>
    <row r="308" spans="2:7">
      <c r="B308" s="66" t="s">
        <v>160</v>
      </c>
      <c r="C308" s="8" t="s">
        <v>144</v>
      </c>
      <c r="D308" s="8">
        <v>1</v>
      </c>
      <c r="E308" s="8"/>
      <c r="F308" s="64">
        <v>30000</v>
      </c>
      <c r="G308" s="65">
        <f>+F308*D308</f>
        <v>30000</v>
      </c>
    </row>
    <row r="309" spans="2:7" ht="14.5" thickBot="1">
      <c r="B309" s="167" t="s">
        <v>126</v>
      </c>
      <c r="C309" s="168"/>
      <c r="D309" s="168"/>
      <c r="E309" s="168"/>
      <c r="F309" s="169"/>
      <c r="G309" s="67">
        <f>SUM(G308)</f>
        <v>30000</v>
      </c>
    </row>
    <row r="310" spans="2:7" ht="14.5" thickBot="1">
      <c r="B310" s="170"/>
      <c r="C310" s="171"/>
      <c r="D310" s="171"/>
      <c r="E310" s="171"/>
      <c r="F310" s="171"/>
      <c r="G310" s="172"/>
    </row>
    <row r="311" spans="2:7" ht="14.5" thickBot="1">
      <c r="B311" s="156"/>
      <c r="C311" s="157"/>
      <c r="D311" s="158" t="s">
        <v>225</v>
      </c>
      <c r="E311" s="159"/>
      <c r="F311" s="160"/>
      <c r="G311" s="68">
        <f>ROUND(G293+G299+G305+G309,0)</f>
        <v>55625</v>
      </c>
    </row>
    <row r="319" spans="2:7" ht="14.5" thickBot="1"/>
    <row r="320" spans="2:7" ht="14.5" thickBot="1">
      <c r="B320" s="179" t="s">
        <v>114</v>
      </c>
      <c r="C320" s="180"/>
      <c r="D320" s="180"/>
      <c r="E320" s="180"/>
      <c r="F320" s="180"/>
      <c r="G320" s="181"/>
    </row>
    <row r="321" spans="2:7" ht="14.5" thickBot="1">
      <c r="B321" s="179"/>
      <c r="C321" s="180"/>
      <c r="D321" s="180"/>
      <c r="E321" s="180"/>
      <c r="F321" s="180"/>
      <c r="G321" s="181"/>
    </row>
    <row r="322" spans="2:7" ht="14.5" thickBot="1">
      <c r="B322" s="170"/>
      <c r="C322" s="171"/>
      <c r="D322" s="171"/>
      <c r="E322" s="171"/>
      <c r="F322" s="171"/>
      <c r="G322" s="172"/>
    </row>
    <row r="323" spans="2:7">
      <c r="B323" s="69" t="s">
        <v>115</v>
      </c>
      <c r="C323" s="182" t="s">
        <v>16</v>
      </c>
      <c r="D323" s="182"/>
      <c r="E323" s="182"/>
      <c r="F323" s="182"/>
      <c r="G323" s="183"/>
    </row>
    <row r="324" spans="2:7">
      <c r="B324" s="74" t="s">
        <v>125</v>
      </c>
      <c r="C324" s="173" t="s">
        <v>219</v>
      </c>
      <c r="D324" s="173"/>
      <c r="E324" s="173"/>
      <c r="F324" s="173"/>
      <c r="G324" s="174"/>
    </row>
    <row r="325" spans="2:7" ht="14.5" thickBot="1">
      <c r="B325" s="71" t="s">
        <v>116</v>
      </c>
      <c r="C325" s="175" t="s">
        <v>31</v>
      </c>
      <c r="D325" s="175"/>
      <c r="E325" s="175"/>
      <c r="F325" s="175"/>
      <c r="G325" s="176"/>
    </row>
    <row r="326" spans="2:7" ht="14.5" thickBot="1">
      <c r="B326" s="156"/>
      <c r="C326" s="177"/>
      <c r="D326" s="177"/>
      <c r="E326" s="177"/>
      <c r="F326" s="177"/>
      <c r="G326" s="178"/>
    </row>
    <row r="327" spans="2:7" ht="14.5" thickBot="1">
      <c r="B327" s="164" t="s">
        <v>121</v>
      </c>
      <c r="C327" s="165"/>
      <c r="D327" s="165"/>
      <c r="E327" s="165"/>
      <c r="F327" s="165"/>
      <c r="G327" s="166"/>
    </row>
    <row r="328" spans="2:7" ht="14.5" thickBot="1">
      <c r="B328" s="61" t="s">
        <v>127</v>
      </c>
      <c r="C328" s="62" t="s">
        <v>117</v>
      </c>
      <c r="D328" s="62" t="s">
        <v>118</v>
      </c>
      <c r="E328" s="62" t="s">
        <v>128</v>
      </c>
      <c r="F328" s="62" t="s">
        <v>119</v>
      </c>
      <c r="G328" s="63" t="s">
        <v>120</v>
      </c>
    </row>
    <row r="329" spans="2:7">
      <c r="B329" s="66" t="s">
        <v>162</v>
      </c>
      <c r="C329" s="8" t="s">
        <v>163</v>
      </c>
      <c r="D329" s="53">
        <v>3.8699999999999998E-2</v>
      </c>
      <c r="E329" s="53">
        <v>1</v>
      </c>
      <c r="F329" s="64">
        <v>67900</v>
      </c>
      <c r="G329" s="65">
        <f>D329*E329*F329</f>
        <v>2627.73</v>
      </c>
    </row>
    <row r="330" spans="2:7">
      <c r="B330" s="66" t="s">
        <v>164</v>
      </c>
      <c r="C330" s="8" t="s">
        <v>163</v>
      </c>
      <c r="D330" s="53">
        <v>0.01</v>
      </c>
      <c r="E330" s="53">
        <v>1</v>
      </c>
      <c r="F330" s="64">
        <v>49900</v>
      </c>
      <c r="G330" s="65">
        <f t="shared" ref="G330:G336" si="21">D330*E330*F330</f>
        <v>499</v>
      </c>
    </row>
    <row r="331" spans="2:7">
      <c r="B331" s="66" t="s">
        <v>222</v>
      </c>
      <c r="C331" s="8" t="s">
        <v>31</v>
      </c>
      <c r="D331" s="53">
        <v>1</v>
      </c>
      <c r="E331" s="53">
        <v>1</v>
      </c>
      <c r="F331" s="64">
        <v>71332</v>
      </c>
      <c r="G331" s="65">
        <f t="shared" si="21"/>
        <v>71332</v>
      </c>
    </row>
    <row r="332" spans="2:7">
      <c r="B332" s="66"/>
      <c r="C332" s="8"/>
      <c r="D332" s="53"/>
      <c r="E332" s="53"/>
      <c r="F332" s="64"/>
      <c r="G332" s="65">
        <f t="shared" si="21"/>
        <v>0</v>
      </c>
    </row>
    <row r="333" spans="2:7">
      <c r="B333" s="66"/>
      <c r="C333" s="7"/>
      <c r="D333" s="7"/>
      <c r="E333" s="7"/>
      <c r="F333" s="64"/>
      <c r="G333" s="65">
        <f t="shared" si="21"/>
        <v>0</v>
      </c>
    </row>
    <row r="334" spans="2:7">
      <c r="B334" s="66"/>
      <c r="C334" s="7"/>
      <c r="D334" s="7"/>
      <c r="E334" s="7"/>
      <c r="F334" s="64"/>
      <c r="G334" s="65">
        <f t="shared" si="21"/>
        <v>0</v>
      </c>
    </row>
    <row r="335" spans="2:7">
      <c r="B335" s="66"/>
      <c r="C335" s="7"/>
      <c r="D335" s="7"/>
      <c r="E335" s="7"/>
      <c r="F335" s="64"/>
      <c r="G335" s="65">
        <f t="shared" si="21"/>
        <v>0</v>
      </c>
    </row>
    <row r="336" spans="2:7">
      <c r="B336" s="66"/>
      <c r="C336" s="7"/>
      <c r="D336" s="7"/>
      <c r="E336" s="7"/>
      <c r="F336" s="64"/>
      <c r="G336" s="65">
        <f t="shared" si="21"/>
        <v>0</v>
      </c>
    </row>
    <row r="337" spans="2:7" ht="14.5" thickBot="1">
      <c r="B337" s="161" t="s">
        <v>126</v>
      </c>
      <c r="C337" s="162"/>
      <c r="D337" s="162"/>
      <c r="E337" s="162"/>
      <c r="F337" s="163"/>
      <c r="G337" s="72">
        <f>SUM(G329:G336)</f>
        <v>74458.73</v>
      </c>
    </row>
    <row r="338" spans="2:7" ht="14.5" thickBot="1">
      <c r="B338" s="164" t="s">
        <v>122</v>
      </c>
      <c r="C338" s="165"/>
      <c r="D338" s="165"/>
      <c r="E338" s="165"/>
      <c r="F338" s="165"/>
      <c r="G338" s="166"/>
    </row>
    <row r="339" spans="2:7" ht="14.5" thickBot="1">
      <c r="B339" s="61" t="s">
        <v>127</v>
      </c>
      <c r="C339" s="62" t="s">
        <v>117</v>
      </c>
      <c r="D339" s="62" t="s">
        <v>118</v>
      </c>
      <c r="E339" s="62" t="s">
        <v>128</v>
      </c>
      <c r="F339" s="62" t="s">
        <v>130</v>
      </c>
      <c r="G339" s="63" t="s">
        <v>120</v>
      </c>
    </row>
    <row r="340" spans="2:7">
      <c r="B340" s="66" t="s">
        <v>146</v>
      </c>
      <c r="C340" s="8" t="s">
        <v>140</v>
      </c>
      <c r="D340" s="53">
        <v>3</v>
      </c>
      <c r="E340" s="53">
        <v>0.65</v>
      </c>
      <c r="F340" s="64">
        <v>9000</v>
      </c>
      <c r="G340" s="65">
        <f t="shared" ref="G340:G342" si="22">D340*E340*F340</f>
        <v>17550</v>
      </c>
    </row>
    <row r="341" spans="2:7">
      <c r="B341" s="66" t="s">
        <v>154</v>
      </c>
      <c r="C341" s="8" t="s">
        <v>140</v>
      </c>
      <c r="D341" s="53">
        <v>1</v>
      </c>
      <c r="E341" s="53">
        <v>0.65</v>
      </c>
      <c r="F341" s="64">
        <v>11500</v>
      </c>
      <c r="G341" s="65">
        <f t="shared" si="22"/>
        <v>7475</v>
      </c>
    </row>
    <row r="342" spans="2:7">
      <c r="B342" s="66"/>
      <c r="C342" s="8"/>
      <c r="D342" s="53"/>
      <c r="E342" s="53"/>
      <c r="F342" s="64"/>
      <c r="G342" s="65">
        <f t="shared" si="22"/>
        <v>0</v>
      </c>
    </row>
    <row r="343" spans="2:7" ht="14.5" thickBot="1">
      <c r="B343" s="161" t="s">
        <v>126</v>
      </c>
      <c r="C343" s="162"/>
      <c r="D343" s="162"/>
      <c r="E343" s="162"/>
      <c r="F343" s="163"/>
      <c r="G343" s="72">
        <f>SUM(G340:G342)</f>
        <v>25025</v>
      </c>
    </row>
    <row r="344" spans="2:7" ht="14.5" thickBot="1">
      <c r="B344" s="164" t="s">
        <v>124</v>
      </c>
      <c r="C344" s="165"/>
      <c r="D344" s="165"/>
      <c r="E344" s="165"/>
      <c r="F344" s="165"/>
      <c r="G344" s="166"/>
    </row>
    <row r="345" spans="2:7" ht="14.5" thickBot="1">
      <c r="B345" s="61" t="s">
        <v>127</v>
      </c>
      <c r="C345" s="62" t="s">
        <v>117</v>
      </c>
      <c r="D345" s="62" t="s">
        <v>118</v>
      </c>
      <c r="E345" s="62" t="s">
        <v>128</v>
      </c>
      <c r="F345" s="62" t="s">
        <v>129</v>
      </c>
      <c r="G345" s="63" t="s">
        <v>120</v>
      </c>
    </row>
    <row r="346" spans="2:7">
      <c r="B346" s="66" t="s">
        <v>141</v>
      </c>
      <c r="C346" s="8" t="s">
        <v>142</v>
      </c>
      <c r="D346" s="53">
        <v>1</v>
      </c>
      <c r="E346" s="53">
        <v>0.05</v>
      </c>
      <c r="F346" s="64">
        <f>G343</f>
        <v>25025</v>
      </c>
      <c r="G346" s="65">
        <f t="shared" ref="G346:G348" si="23">D346*E346*F346</f>
        <v>1251.25</v>
      </c>
    </row>
    <row r="347" spans="2:7">
      <c r="B347" s="66" t="s">
        <v>161</v>
      </c>
      <c r="C347" s="8" t="s">
        <v>140</v>
      </c>
      <c r="D347" s="53">
        <v>1</v>
      </c>
      <c r="E347" s="53">
        <v>0.65</v>
      </c>
      <c r="F347" s="64">
        <v>15000</v>
      </c>
      <c r="G347" s="65">
        <f t="shared" si="23"/>
        <v>9750</v>
      </c>
    </row>
    <row r="348" spans="2:7">
      <c r="B348" s="66"/>
      <c r="C348" s="8"/>
      <c r="D348" s="53"/>
      <c r="E348" s="53"/>
      <c r="F348" s="64"/>
      <c r="G348" s="65">
        <f t="shared" si="23"/>
        <v>0</v>
      </c>
    </row>
    <row r="349" spans="2:7" ht="14.5" thickBot="1">
      <c r="B349" s="161" t="s">
        <v>126</v>
      </c>
      <c r="C349" s="162"/>
      <c r="D349" s="162"/>
      <c r="E349" s="162"/>
      <c r="F349" s="163"/>
      <c r="G349" s="72">
        <f>SUM(G346:G348)</f>
        <v>11001.25</v>
      </c>
    </row>
    <row r="350" spans="2:7" ht="14.5" thickBot="1">
      <c r="B350" s="164" t="s">
        <v>123</v>
      </c>
      <c r="C350" s="165"/>
      <c r="D350" s="165"/>
      <c r="E350" s="165"/>
      <c r="F350" s="165"/>
      <c r="G350" s="166"/>
    </row>
    <row r="351" spans="2:7" ht="14.5" thickBot="1">
      <c r="B351" s="61" t="s">
        <v>127</v>
      </c>
      <c r="C351" s="62" t="s">
        <v>117</v>
      </c>
      <c r="D351" s="62" t="s">
        <v>118</v>
      </c>
      <c r="E351" s="62" t="s">
        <v>128</v>
      </c>
      <c r="F351" s="62" t="s">
        <v>129</v>
      </c>
      <c r="G351" s="63" t="s">
        <v>120</v>
      </c>
    </row>
    <row r="352" spans="2:7">
      <c r="B352" s="66"/>
      <c r="C352" s="8"/>
      <c r="D352" s="8"/>
      <c r="E352" s="8"/>
      <c r="F352" s="64"/>
      <c r="G352" s="65">
        <f>D352*E352*F352</f>
        <v>0</v>
      </c>
    </row>
    <row r="353" spans="2:7" ht="14.5" thickBot="1">
      <c r="B353" s="167" t="s">
        <v>126</v>
      </c>
      <c r="C353" s="168"/>
      <c r="D353" s="168"/>
      <c r="E353" s="168"/>
      <c r="F353" s="169"/>
      <c r="G353" s="67">
        <f>SUM(G352)</f>
        <v>0</v>
      </c>
    </row>
    <row r="354" spans="2:7" ht="14.5" thickBot="1">
      <c r="B354" s="170"/>
      <c r="C354" s="171"/>
      <c r="D354" s="171"/>
      <c r="E354" s="171"/>
      <c r="F354" s="171"/>
      <c r="G354" s="172"/>
    </row>
    <row r="355" spans="2:7" ht="14.5" thickBot="1">
      <c r="B355" s="156"/>
      <c r="C355" s="157"/>
      <c r="D355" s="158" t="s">
        <v>225</v>
      </c>
      <c r="E355" s="159"/>
      <c r="F355" s="160"/>
      <c r="G355" s="68">
        <f>ROUND(G337+G343+G349+G353,0)</f>
        <v>110485</v>
      </c>
    </row>
    <row r="366" spans="2:7" ht="14.5" thickBot="1"/>
    <row r="367" spans="2:7" ht="14.5" thickBot="1">
      <c r="B367" s="179" t="s">
        <v>114</v>
      </c>
      <c r="C367" s="180"/>
      <c r="D367" s="180"/>
      <c r="E367" s="180"/>
      <c r="F367" s="180"/>
      <c r="G367" s="181"/>
    </row>
    <row r="368" spans="2:7" ht="14.5" thickBot="1">
      <c r="B368" s="179"/>
      <c r="C368" s="180"/>
      <c r="D368" s="180"/>
      <c r="E368" s="180"/>
      <c r="F368" s="180"/>
      <c r="G368" s="181"/>
    </row>
    <row r="369" spans="2:7" ht="14.5" thickBot="1">
      <c r="B369" s="170"/>
      <c r="C369" s="171"/>
      <c r="D369" s="171"/>
      <c r="E369" s="171"/>
      <c r="F369" s="171"/>
      <c r="G369" s="172"/>
    </row>
    <row r="370" spans="2:7">
      <c r="B370" s="69" t="s">
        <v>115</v>
      </c>
      <c r="C370" s="182" t="s">
        <v>17</v>
      </c>
      <c r="D370" s="182"/>
      <c r="E370" s="182"/>
      <c r="F370" s="182"/>
      <c r="G370" s="183"/>
    </row>
    <row r="371" spans="2:7">
      <c r="B371" s="74" t="s">
        <v>125</v>
      </c>
      <c r="C371" s="173" t="s">
        <v>220</v>
      </c>
      <c r="D371" s="173"/>
      <c r="E371" s="173"/>
      <c r="F371" s="173"/>
      <c r="G371" s="174"/>
    </row>
    <row r="372" spans="2:7" ht="14.5" thickBot="1">
      <c r="B372" s="71" t="s">
        <v>116</v>
      </c>
      <c r="C372" s="175" t="s">
        <v>31</v>
      </c>
      <c r="D372" s="175"/>
      <c r="E372" s="175"/>
      <c r="F372" s="175"/>
      <c r="G372" s="176"/>
    </row>
    <row r="373" spans="2:7" ht="14.5" thickBot="1">
      <c r="B373" s="156"/>
      <c r="C373" s="177"/>
      <c r="D373" s="177"/>
      <c r="E373" s="177"/>
      <c r="F373" s="177"/>
      <c r="G373" s="178"/>
    </row>
    <row r="374" spans="2:7" ht="14.5" thickBot="1">
      <c r="B374" s="164" t="s">
        <v>121</v>
      </c>
      <c r="C374" s="165"/>
      <c r="D374" s="165"/>
      <c r="E374" s="165"/>
      <c r="F374" s="165"/>
      <c r="G374" s="166"/>
    </row>
    <row r="375" spans="2:7" ht="14.5" thickBot="1">
      <c r="B375" s="61" t="s">
        <v>127</v>
      </c>
      <c r="C375" s="62" t="s">
        <v>117</v>
      </c>
      <c r="D375" s="62" t="s">
        <v>118</v>
      </c>
      <c r="E375" s="62" t="s">
        <v>128</v>
      </c>
      <c r="F375" s="62" t="s">
        <v>119</v>
      </c>
      <c r="G375" s="63" t="s">
        <v>120</v>
      </c>
    </row>
    <row r="376" spans="2:7">
      <c r="B376" s="66" t="s">
        <v>162</v>
      </c>
      <c r="C376" s="8" t="s">
        <v>163</v>
      </c>
      <c r="D376" s="53">
        <v>3.5999999999999997E-2</v>
      </c>
      <c r="E376" s="53">
        <v>1</v>
      </c>
      <c r="F376" s="64">
        <v>67900</v>
      </c>
      <c r="G376" s="65">
        <f>D376*E376*F376</f>
        <v>2444.3999999999996</v>
      </c>
    </row>
    <row r="377" spans="2:7">
      <c r="B377" s="66" t="s">
        <v>164</v>
      </c>
      <c r="C377" s="8" t="s">
        <v>163</v>
      </c>
      <c r="D377" s="53">
        <v>8.9999999999999993E-3</v>
      </c>
      <c r="E377" s="53">
        <v>1</v>
      </c>
      <c r="F377" s="64">
        <v>49900</v>
      </c>
      <c r="G377" s="65">
        <f t="shared" ref="G377:G383" si="24">D377*E377*F377</f>
        <v>449.09999999999997</v>
      </c>
    </row>
    <row r="378" spans="2:7">
      <c r="B378" s="66" t="s">
        <v>229</v>
      </c>
      <c r="C378" s="8" t="s">
        <v>31</v>
      </c>
      <c r="D378" s="53">
        <v>1</v>
      </c>
      <c r="E378" s="53">
        <v>1</v>
      </c>
      <c r="F378" s="64">
        <v>58290</v>
      </c>
      <c r="G378" s="65">
        <f t="shared" si="24"/>
        <v>58290</v>
      </c>
    </row>
    <row r="379" spans="2:7">
      <c r="B379" s="66"/>
      <c r="C379" s="8"/>
      <c r="D379" s="53"/>
      <c r="E379" s="53"/>
      <c r="F379" s="64"/>
      <c r="G379" s="65">
        <f t="shared" si="24"/>
        <v>0</v>
      </c>
    </row>
    <row r="380" spans="2:7">
      <c r="B380" s="66"/>
      <c r="C380" s="7"/>
      <c r="D380" s="7"/>
      <c r="E380" s="7"/>
      <c r="F380" s="64"/>
      <c r="G380" s="65">
        <f t="shared" si="24"/>
        <v>0</v>
      </c>
    </row>
    <row r="381" spans="2:7">
      <c r="B381" s="66"/>
      <c r="C381" s="7"/>
      <c r="D381" s="7"/>
      <c r="E381" s="7"/>
      <c r="F381" s="64"/>
      <c r="G381" s="65">
        <f t="shared" si="24"/>
        <v>0</v>
      </c>
    </row>
    <row r="382" spans="2:7">
      <c r="B382" s="66"/>
      <c r="C382" s="7"/>
      <c r="D382" s="7"/>
      <c r="E382" s="7"/>
      <c r="F382" s="64"/>
      <c r="G382" s="65">
        <f t="shared" si="24"/>
        <v>0</v>
      </c>
    </row>
    <row r="383" spans="2:7">
      <c r="B383" s="66"/>
      <c r="C383" s="7"/>
      <c r="D383" s="7"/>
      <c r="E383" s="7"/>
      <c r="F383" s="64"/>
      <c r="G383" s="65">
        <f t="shared" si="24"/>
        <v>0</v>
      </c>
    </row>
    <row r="384" spans="2:7" ht="14.5" thickBot="1">
      <c r="B384" s="161" t="s">
        <v>126</v>
      </c>
      <c r="C384" s="162"/>
      <c r="D384" s="162"/>
      <c r="E384" s="162"/>
      <c r="F384" s="163"/>
      <c r="G384" s="72">
        <f>SUM(G376:G383)</f>
        <v>61183.5</v>
      </c>
    </row>
    <row r="385" spans="2:7" ht="14.5" thickBot="1">
      <c r="B385" s="164" t="s">
        <v>122</v>
      </c>
      <c r="C385" s="165"/>
      <c r="D385" s="165"/>
      <c r="E385" s="165"/>
      <c r="F385" s="165"/>
      <c r="G385" s="166"/>
    </row>
    <row r="386" spans="2:7" ht="14.5" thickBot="1">
      <c r="B386" s="61" t="s">
        <v>127</v>
      </c>
      <c r="C386" s="62" t="s">
        <v>117</v>
      </c>
      <c r="D386" s="62" t="s">
        <v>118</v>
      </c>
      <c r="E386" s="62" t="s">
        <v>128</v>
      </c>
      <c r="F386" s="62" t="s">
        <v>130</v>
      </c>
      <c r="G386" s="63" t="s">
        <v>120</v>
      </c>
    </row>
    <row r="387" spans="2:7">
      <c r="B387" s="66" t="s">
        <v>146</v>
      </c>
      <c r="C387" s="8" t="s">
        <v>140</v>
      </c>
      <c r="D387" s="53">
        <v>3</v>
      </c>
      <c r="E387" s="53">
        <v>0.59</v>
      </c>
      <c r="F387" s="64">
        <v>9000</v>
      </c>
      <c r="G387" s="65">
        <f t="shared" ref="G387:G389" si="25">D387*E387*F387</f>
        <v>15930</v>
      </c>
    </row>
    <row r="388" spans="2:7">
      <c r="B388" s="66" t="s">
        <v>154</v>
      </c>
      <c r="C388" s="8" t="s">
        <v>140</v>
      </c>
      <c r="D388" s="53">
        <v>1</v>
      </c>
      <c r="E388" s="53">
        <v>0.59</v>
      </c>
      <c r="F388" s="64">
        <v>11500</v>
      </c>
      <c r="G388" s="65">
        <f t="shared" si="25"/>
        <v>6785</v>
      </c>
    </row>
    <row r="389" spans="2:7">
      <c r="B389" s="66"/>
      <c r="C389" s="8"/>
      <c r="D389" s="53"/>
      <c r="E389" s="53"/>
      <c r="F389" s="64"/>
      <c r="G389" s="65">
        <f t="shared" si="25"/>
        <v>0</v>
      </c>
    </row>
    <row r="390" spans="2:7" ht="14.5" thickBot="1">
      <c r="B390" s="161" t="s">
        <v>126</v>
      </c>
      <c r="C390" s="162"/>
      <c r="D390" s="162"/>
      <c r="E390" s="162"/>
      <c r="F390" s="163"/>
      <c r="G390" s="72">
        <f>SUM(G387:G389)</f>
        <v>22715</v>
      </c>
    </row>
    <row r="391" spans="2:7" ht="14.5" thickBot="1">
      <c r="B391" s="164" t="s">
        <v>124</v>
      </c>
      <c r="C391" s="165"/>
      <c r="D391" s="165"/>
      <c r="E391" s="165"/>
      <c r="F391" s="165"/>
      <c r="G391" s="166"/>
    </row>
    <row r="392" spans="2:7" ht="14.5" thickBot="1">
      <c r="B392" s="61" t="s">
        <v>127</v>
      </c>
      <c r="C392" s="62" t="s">
        <v>117</v>
      </c>
      <c r="D392" s="62" t="s">
        <v>118</v>
      </c>
      <c r="E392" s="62" t="s">
        <v>128</v>
      </c>
      <c r="F392" s="62" t="s">
        <v>129</v>
      </c>
      <c r="G392" s="63" t="s">
        <v>120</v>
      </c>
    </row>
    <row r="393" spans="2:7">
      <c r="B393" s="66" t="s">
        <v>141</v>
      </c>
      <c r="C393" s="8" t="s">
        <v>142</v>
      </c>
      <c r="D393" s="53">
        <v>1</v>
      </c>
      <c r="E393" s="53">
        <v>0.05</v>
      </c>
      <c r="F393" s="64">
        <f>G390</f>
        <v>22715</v>
      </c>
      <c r="G393" s="65">
        <f t="shared" ref="G393:G395" si="26">D393*E393*F393</f>
        <v>1135.75</v>
      </c>
    </row>
    <row r="394" spans="2:7">
      <c r="B394" s="66" t="s">
        <v>161</v>
      </c>
      <c r="C394" s="8" t="s">
        <v>140</v>
      </c>
      <c r="D394" s="53">
        <v>1</v>
      </c>
      <c r="E394" s="53">
        <v>0.59</v>
      </c>
      <c r="F394" s="64">
        <v>15000</v>
      </c>
      <c r="G394" s="65">
        <f t="shared" si="26"/>
        <v>8850</v>
      </c>
    </row>
    <row r="395" spans="2:7">
      <c r="B395" s="66"/>
      <c r="C395" s="8"/>
      <c r="D395" s="53"/>
      <c r="E395" s="53"/>
      <c r="F395" s="64"/>
      <c r="G395" s="65">
        <f t="shared" si="26"/>
        <v>0</v>
      </c>
    </row>
    <row r="396" spans="2:7" ht="14.5" thickBot="1">
      <c r="B396" s="161" t="s">
        <v>126</v>
      </c>
      <c r="C396" s="162"/>
      <c r="D396" s="162"/>
      <c r="E396" s="162"/>
      <c r="F396" s="163"/>
      <c r="G396" s="72">
        <f>SUM(G393:G395)</f>
        <v>9985.75</v>
      </c>
    </row>
    <row r="397" spans="2:7" ht="14.5" thickBot="1">
      <c r="B397" s="164" t="s">
        <v>123</v>
      </c>
      <c r="C397" s="165"/>
      <c r="D397" s="165"/>
      <c r="E397" s="165"/>
      <c r="F397" s="165"/>
      <c r="G397" s="166"/>
    </row>
    <row r="398" spans="2:7" ht="14.5" thickBot="1">
      <c r="B398" s="61" t="s">
        <v>127</v>
      </c>
      <c r="C398" s="62" t="s">
        <v>117</v>
      </c>
      <c r="D398" s="62" t="s">
        <v>118</v>
      </c>
      <c r="E398" s="62" t="s">
        <v>128</v>
      </c>
      <c r="F398" s="62" t="s">
        <v>129</v>
      </c>
      <c r="G398" s="63" t="s">
        <v>120</v>
      </c>
    </row>
    <row r="399" spans="2:7">
      <c r="B399" s="66"/>
      <c r="C399" s="8"/>
      <c r="D399" s="8"/>
      <c r="E399" s="8"/>
      <c r="F399" s="64"/>
      <c r="G399" s="65">
        <f>D399*E399*F399</f>
        <v>0</v>
      </c>
    </row>
    <row r="400" spans="2:7" ht="14.5" thickBot="1">
      <c r="B400" s="167" t="s">
        <v>126</v>
      </c>
      <c r="C400" s="168"/>
      <c r="D400" s="168"/>
      <c r="E400" s="168"/>
      <c r="F400" s="169"/>
      <c r="G400" s="67">
        <f>SUM(G399)</f>
        <v>0</v>
      </c>
    </row>
    <row r="401" spans="2:7" ht="14.5" thickBot="1">
      <c r="B401" s="170"/>
      <c r="C401" s="171"/>
      <c r="D401" s="171"/>
      <c r="E401" s="171"/>
      <c r="F401" s="171"/>
      <c r="G401" s="172"/>
    </row>
    <row r="402" spans="2:7" ht="14.5" thickBot="1">
      <c r="B402" s="156"/>
      <c r="C402" s="157"/>
      <c r="D402" s="158" t="s">
        <v>225</v>
      </c>
      <c r="E402" s="159"/>
      <c r="F402" s="160"/>
      <c r="G402" s="68">
        <f>ROUND(G384+G390+G396+G400,0)</f>
        <v>93884</v>
      </c>
    </row>
    <row r="412" spans="2:7" ht="14.5" thickBot="1"/>
    <row r="413" spans="2:7" ht="14.5" thickBot="1">
      <c r="B413" s="179" t="s">
        <v>114</v>
      </c>
      <c r="C413" s="180"/>
      <c r="D413" s="180"/>
      <c r="E413" s="180"/>
      <c r="F413" s="180"/>
      <c r="G413" s="181"/>
    </row>
    <row r="414" spans="2:7" ht="14.5" thickBot="1">
      <c r="B414" s="179"/>
      <c r="C414" s="180"/>
      <c r="D414" s="180"/>
      <c r="E414" s="180"/>
      <c r="F414" s="180"/>
      <c r="G414" s="181"/>
    </row>
    <row r="415" spans="2:7" ht="14.5" thickBot="1">
      <c r="B415" s="170"/>
      <c r="C415" s="171"/>
      <c r="D415" s="171"/>
      <c r="E415" s="171"/>
      <c r="F415" s="171"/>
      <c r="G415" s="172"/>
    </row>
    <row r="416" spans="2:7">
      <c r="B416" s="69" t="s">
        <v>115</v>
      </c>
      <c r="C416" s="182" t="s">
        <v>165</v>
      </c>
      <c r="D416" s="182"/>
      <c r="E416" s="182"/>
      <c r="F416" s="182"/>
      <c r="G416" s="183"/>
    </row>
    <row r="417" spans="2:7">
      <c r="B417" s="74" t="s">
        <v>125</v>
      </c>
      <c r="C417" s="173" t="s">
        <v>221</v>
      </c>
      <c r="D417" s="173"/>
      <c r="E417" s="173"/>
      <c r="F417" s="173"/>
      <c r="G417" s="174"/>
    </row>
    <row r="418" spans="2:7" ht="14.5" thickBot="1">
      <c r="B418" s="71" t="s">
        <v>116</v>
      </c>
      <c r="C418" s="175" t="s">
        <v>132</v>
      </c>
      <c r="D418" s="175"/>
      <c r="E418" s="175"/>
      <c r="F418" s="175"/>
      <c r="G418" s="176"/>
    </row>
    <row r="419" spans="2:7" ht="14.5" thickBot="1">
      <c r="B419" s="156"/>
      <c r="C419" s="177"/>
      <c r="D419" s="177"/>
      <c r="E419" s="177"/>
      <c r="F419" s="177"/>
      <c r="G419" s="178"/>
    </row>
    <row r="420" spans="2:7" ht="14.5" thickBot="1">
      <c r="B420" s="164" t="s">
        <v>121</v>
      </c>
      <c r="C420" s="165"/>
      <c r="D420" s="165"/>
      <c r="E420" s="165"/>
      <c r="F420" s="165"/>
      <c r="G420" s="166"/>
    </row>
    <row r="421" spans="2:7" ht="14.5" thickBot="1">
      <c r="B421" s="61" t="s">
        <v>127</v>
      </c>
      <c r="C421" s="62" t="s">
        <v>117</v>
      </c>
      <c r="D421" s="62" t="s">
        <v>118</v>
      </c>
      <c r="E421" s="62" t="s">
        <v>128</v>
      </c>
      <c r="F421" s="62" t="s">
        <v>119</v>
      </c>
      <c r="G421" s="63" t="s">
        <v>120</v>
      </c>
    </row>
    <row r="422" spans="2:7">
      <c r="B422" s="66" t="s">
        <v>162</v>
      </c>
      <c r="C422" s="8" t="s">
        <v>163</v>
      </c>
      <c r="D422" s="53">
        <v>3.7999999999999999E-2</v>
      </c>
      <c r="E422" s="100">
        <v>1</v>
      </c>
      <c r="F422" s="64">
        <v>67900</v>
      </c>
      <c r="G422" s="65">
        <f>D422*E422*F422</f>
        <v>2580.1999999999998</v>
      </c>
    </row>
    <row r="423" spans="2:7">
      <c r="B423" s="66" t="s">
        <v>223</v>
      </c>
      <c r="C423" s="8" t="s">
        <v>163</v>
      </c>
      <c r="D423" s="53">
        <v>7.0000000000000001E-3</v>
      </c>
      <c r="E423" s="100">
        <v>1</v>
      </c>
      <c r="F423" s="64">
        <v>85000</v>
      </c>
      <c r="G423" s="65">
        <f t="shared" ref="G423:G429" si="27">D423*E423*F423</f>
        <v>595</v>
      </c>
    </row>
    <row r="424" spans="2:7">
      <c r="B424" s="2" t="s">
        <v>44</v>
      </c>
      <c r="C424" s="15" t="s">
        <v>30</v>
      </c>
      <c r="D424" s="15">
        <v>1</v>
      </c>
      <c r="E424" s="101">
        <v>1</v>
      </c>
      <c r="F424" s="64">
        <v>195427</v>
      </c>
      <c r="G424" s="65">
        <f t="shared" si="27"/>
        <v>195427</v>
      </c>
    </row>
    <row r="425" spans="2:7">
      <c r="B425" s="66"/>
      <c r="C425" s="8"/>
      <c r="D425" s="53"/>
      <c r="E425" s="53"/>
      <c r="F425" s="64"/>
      <c r="G425" s="65">
        <f t="shared" si="27"/>
        <v>0</v>
      </c>
    </row>
    <row r="426" spans="2:7">
      <c r="B426" s="66"/>
      <c r="C426" s="7"/>
      <c r="D426" s="7"/>
      <c r="E426" s="7"/>
      <c r="F426" s="64"/>
      <c r="G426" s="65">
        <f t="shared" si="27"/>
        <v>0</v>
      </c>
    </row>
    <row r="427" spans="2:7">
      <c r="B427" s="66"/>
      <c r="C427" s="7"/>
      <c r="D427" s="7"/>
      <c r="E427" s="7"/>
      <c r="F427" s="64"/>
      <c r="G427" s="65">
        <f t="shared" si="27"/>
        <v>0</v>
      </c>
    </row>
    <row r="428" spans="2:7">
      <c r="B428" s="66"/>
      <c r="C428" s="7"/>
      <c r="D428" s="7"/>
      <c r="E428" s="7"/>
      <c r="F428" s="64"/>
      <c r="G428" s="65">
        <f t="shared" si="27"/>
        <v>0</v>
      </c>
    </row>
    <row r="429" spans="2:7">
      <c r="B429" s="66"/>
      <c r="C429" s="7"/>
      <c r="D429" s="7"/>
      <c r="E429" s="7"/>
      <c r="F429" s="64"/>
      <c r="G429" s="65">
        <f t="shared" si="27"/>
        <v>0</v>
      </c>
    </row>
    <row r="430" spans="2:7" ht="14.5" thickBot="1">
      <c r="B430" s="161" t="s">
        <v>126</v>
      </c>
      <c r="C430" s="162"/>
      <c r="D430" s="162"/>
      <c r="E430" s="162"/>
      <c r="F430" s="163"/>
      <c r="G430" s="72">
        <f>SUM(G422:G429)</f>
        <v>198602.2</v>
      </c>
    </row>
    <row r="431" spans="2:7" ht="14.5" thickBot="1">
      <c r="B431" s="164" t="s">
        <v>122</v>
      </c>
      <c r="C431" s="165"/>
      <c r="D431" s="165"/>
      <c r="E431" s="165"/>
      <c r="F431" s="165"/>
      <c r="G431" s="166"/>
    </row>
    <row r="432" spans="2:7" ht="14.5" thickBot="1">
      <c r="B432" s="61" t="s">
        <v>127</v>
      </c>
      <c r="C432" s="62" t="s">
        <v>117</v>
      </c>
      <c r="D432" s="62" t="s">
        <v>118</v>
      </c>
      <c r="E432" s="62" t="s">
        <v>128</v>
      </c>
      <c r="F432" s="62" t="s">
        <v>130</v>
      </c>
      <c r="G432" s="63" t="s">
        <v>120</v>
      </c>
    </row>
    <row r="433" spans="2:7">
      <c r="B433" s="66" t="s">
        <v>146</v>
      </c>
      <c r="C433" s="8" t="s">
        <v>140</v>
      </c>
      <c r="D433" s="53">
        <v>3</v>
      </c>
      <c r="E433" s="53">
        <v>1.2</v>
      </c>
      <c r="F433" s="64">
        <v>9000</v>
      </c>
      <c r="G433" s="65">
        <f t="shared" ref="G433:G435" si="28">D433*E433*F433</f>
        <v>32399.999999999996</v>
      </c>
    </row>
    <row r="434" spans="2:7">
      <c r="B434" s="66" t="s">
        <v>154</v>
      </c>
      <c r="C434" s="8" t="s">
        <v>140</v>
      </c>
      <c r="D434" s="53">
        <v>1</v>
      </c>
      <c r="E434" s="53">
        <v>1.2</v>
      </c>
      <c r="F434" s="64">
        <v>11500</v>
      </c>
      <c r="G434" s="65">
        <f t="shared" si="28"/>
        <v>13800</v>
      </c>
    </row>
    <row r="435" spans="2:7">
      <c r="B435" s="66"/>
      <c r="C435" s="8"/>
      <c r="D435" s="53"/>
      <c r="E435" s="53"/>
      <c r="F435" s="64"/>
      <c r="G435" s="65">
        <f t="shared" si="28"/>
        <v>0</v>
      </c>
    </row>
    <row r="436" spans="2:7" ht="14.5" thickBot="1">
      <c r="B436" s="161" t="s">
        <v>126</v>
      </c>
      <c r="C436" s="162"/>
      <c r="D436" s="162"/>
      <c r="E436" s="162"/>
      <c r="F436" s="163"/>
      <c r="G436" s="72">
        <f>SUM(G433:G435)</f>
        <v>46200</v>
      </c>
    </row>
    <row r="437" spans="2:7" ht="14.5" thickBot="1">
      <c r="B437" s="164" t="s">
        <v>124</v>
      </c>
      <c r="C437" s="165"/>
      <c r="D437" s="165"/>
      <c r="E437" s="165"/>
      <c r="F437" s="165"/>
      <c r="G437" s="166"/>
    </row>
    <row r="438" spans="2:7" ht="14.5" thickBot="1">
      <c r="B438" s="61" t="s">
        <v>127</v>
      </c>
      <c r="C438" s="62" t="s">
        <v>117</v>
      </c>
      <c r="D438" s="62" t="s">
        <v>118</v>
      </c>
      <c r="E438" s="62" t="s">
        <v>128</v>
      </c>
      <c r="F438" s="62" t="s">
        <v>129</v>
      </c>
      <c r="G438" s="63" t="s">
        <v>120</v>
      </c>
    </row>
    <row r="439" spans="2:7">
      <c r="B439" s="66" t="s">
        <v>141</v>
      </c>
      <c r="C439" s="8" t="s">
        <v>142</v>
      </c>
      <c r="D439" s="53">
        <v>1</v>
      </c>
      <c r="E439" s="53">
        <v>0.05</v>
      </c>
      <c r="F439" s="64">
        <f>G436</f>
        <v>46200</v>
      </c>
      <c r="G439" s="65">
        <f t="shared" ref="G439:G441" si="29">D439*E439*F439</f>
        <v>2310</v>
      </c>
    </row>
    <row r="440" spans="2:7">
      <c r="B440" s="66" t="s">
        <v>166</v>
      </c>
      <c r="C440" s="8" t="s">
        <v>140</v>
      </c>
      <c r="D440" s="53">
        <v>1</v>
      </c>
      <c r="E440" s="53">
        <v>0.35399999999999998</v>
      </c>
      <c r="F440" s="64">
        <v>12000</v>
      </c>
      <c r="G440" s="65">
        <f t="shared" si="29"/>
        <v>4248</v>
      </c>
    </row>
    <row r="441" spans="2:7">
      <c r="B441" s="66"/>
      <c r="C441" s="8"/>
      <c r="D441" s="53"/>
      <c r="E441" s="53"/>
      <c r="F441" s="64"/>
      <c r="G441" s="65">
        <f t="shared" si="29"/>
        <v>0</v>
      </c>
    </row>
    <row r="442" spans="2:7" ht="14.5" thickBot="1">
      <c r="B442" s="161" t="s">
        <v>126</v>
      </c>
      <c r="C442" s="162"/>
      <c r="D442" s="162"/>
      <c r="E442" s="162"/>
      <c r="F442" s="163"/>
      <c r="G442" s="72">
        <f>SUM(G439:G441)</f>
        <v>6558</v>
      </c>
    </row>
    <row r="443" spans="2:7" ht="14.5" thickBot="1">
      <c r="B443" s="164" t="s">
        <v>123</v>
      </c>
      <c r="C443" s="165"/>
      <c r="D443" s="165"/>
      <c r="E443" s="165"/>
      <c r="F443" s="165"/>
      <c r="G443" s="166"/>
    </row>
    <row r="444" spans="2:7" ht="14.5" thickBot="1">
      <c r="B444" s="61" t="s">
        <v>127</v>
      </c>
      <c r="C444" s="62" t="s">
        <v>117</v>
      </c>
      <c r="D444" s="62" t="s">
        <v>118</v>
      </c>
      <c r="E444" s="62" t="s">
        <v>128</v>
      </c>
      <c r="F444" s="62" t="s">
        <v>129</v>
      </c>
      <c r="G444" s="63" t="s">
        <v>120</v>
      </c>
    </row>
    <row r="445" spans="2:7">
      <c r="B445" s="66"/>
      <c r="C445" s="8"/>
      <c r="D445" s="8"/>
      <c r="E445" s="8"/>
      <c r="F445" s="64"/>
      <c r="G445" s="65">
        <f>D445*E445*F445</f>
        <v>0</v>
      </c>
    </row>
    <row r="446" spans="2:7" ht="14.5" thickBot="1">
      <c r="B446" s="167" t="s">
        <v>126</v>
      </c>
      <c r="C446" s="168"/>
      <c r="D446" s="168"/>
      <c r="E446" s="168"/>
      <c r="F446" s="169"/>
      <c r="G446" s="67">
        <f>SUM(G445)</f>
        <v>0</v>
      </c>
    </row>
    <row r="447" spans="2:7" ht="14.5" thickBot="1">
      <c r="B447" s="170"/>
      <c r="C447" s="171"/>
      <c r="D447" s="171"/>
      <c r="E447" s="171"/>
      <c r="F447" s="171"/>
      <c r="G447" s="172"/>
    </row>
    <row r="448" spans="2:7" ht="14.5" thickBot="1">
      <c r="B448" s="156"/>
      <c r="C448" s="157"/>
      <c r="D448" s="158" t="s">
        <v>225</v>
      </c>
      <c r="E448" s="159"/>
      <c r="F448" s="160"/>
      <c r="G448" s="68">
        <f>ROUND(G430+G436+G442+G446,0)</f>
        <v>251360</v>
      </c>
    </row>
    <row r="458" spans="2:7" ht="14.5" thickBot="1"/>
    <row r="459" spans="2:7" ht="14.5" thickBot="1">
      <c r="B459" s="179" t="s">
        <v>114</v>
      </c>
      <c r="C459" s="180"/>
      <c r="D459" s="180"/>
      <c r="E459" s="180"/>
      <c r="F459" s="180"/>
      <c r="G459" s="181"/>
    </row>
    <row r="460" spans="2:7" ht="14.5" thickBot="1">
      <c r="B460" s="179"/>
      <c r="C460" s="180"/>
      <c r="D460" s="180"/>
      <c r="E460" s="180"/>
      <c r="F460" s="180"/>
      <c r="G460" s="181"/>
    </row>
    <row r="461" spans="2:7" ht="14.5" thickBot="1">
      <c r="B461" s="170"/>
      <c r="C461" s="171"/>
      <c r="D461" s="171"/>
      <c r="E461" s="171"/>
      <c r="F461" s="171"/>
      <c r="G461" s="172"/>
    </row>
    <row r="462" spans="2:7">
      <c r="B462" s="69" t="s">
        <v>115</v>
      </c>
      <c r="C462" s="182" t="s">
        <v>19</v>
      </c>
      <c r="D462" s="182"/>
      <c r="E462" s="182"/>
      <c r="F462" s="182"/>
      <c r="G462" s="183"/>
    </row>
    <row r="463" spans="2:7" ht="33" customHeight="1">
      <c r="B463" s="74" t="s">
        <v>125</v>
      </c>
      <c r="C463" s="173" t="s">
        <v>32</v>
      </c>
      <c r="D463" s="173"/>
      <c r="E463" s="173"/>
      <c r="F463" s="173"/>
      <c r="G463" s="174"/>
    </row>
    <row r="464" spans="2:7" ht="14.5" thickBot="1">
      <c r="B464" s="71" t="s">
        <v>116</v>
      </c>
      <c r="C464" s="175" t="s">
        <v>132</v>
      </c>
      <c r="D464" s="175"/>
      <c r="E464" s="175"/>
      <c r="F464" s="175"/>
      <c r="G464" s="176"/>
    </row>
    <row r="465" spans="2:7" ht="14.5" thickBot="1">
      <c r="B465" s="156"/>
      <c r="C465" s="177"/>
      <c r="D465" s="177"/>
      <c r="E465" s="177"/>
      <c r="F465" s="177"/>
      <c r="G465" s="178"/>
    </row>
    <row r="466" spans="2:7" ht="14.5" thickBot="1">
      <c r="B466" s="164" t="s">
        <v>121</v>
      </c>
      <c r="C466" s="165"/>
      <c r="D466" s="165"/>
      <c r="E466" s="165"/>
      <c r="F466" s="165"/>
      <c r="G466" s="166"/>
    </row>
    <row r="467" spans="2:7" ht="14.5" thickBot="1">
      <c r="B467" s="61" t="s">
        <v>127</v>
      </c>
      <c r="C467" s="62" t="s">
        <v>117</v>
      </c>
      <c r="D467" s="62" t="s">
        <v>118</v>
      </c>
      <c r="E467" s="62" t="s">
        <v>128</v>
      </c>
      <c r="F467" s="62" t="s">
        <v>119</v>
      </c>
      <c r="G467" s="63" t="s">
        <v>120</v>
      </c>
    </row>
    <row r="468" spans="2:7">
      <c r="B468" s="66" t="s">
        <v>167</v>
      </c>
      <c r="C468" s="8" t="s">
        <v>144</v>
      </c>
      <c r="D468" s="53">
        <v>2.75</v>
      </c>
      <c r="E468" s="53">
        <v>1</v>
      </c>
      <c r="F468" s="64">
        <v>550000</v>
      </c>
      <c r="G468" s="65">
        <f>D468*E468*F468</f>
        <v>1512500</v>
      </c>
    </row>
    <row r="469" spans="2:7">
      <c r="B469" s="66" t="s">
        <v>168</v>
      </c>
      <c r="C469" s="8" t="s">
        <v>132</v>
      </c>
      <c r="D469" s="53">
        <v>1</v>
      </c>
      <c r="E469" s="53">
        <v>1</v>
      </c>
      <c r="F469" s="64">
        <v>850000</v>
      </c>
      <c r="G469" s="65">
        <f t="shared" ref="G469:G475" si="30">D469*E469*F469</f>
        <v>850000</v>
      </c>
    </row>
    <row r="470" spans="2:7">
      <c r="B470" s="66" t="s">
        <v>169</v>
      </c>
      <c r="C470" s="8" t="s">
        <v>138</v>
      </c>
      <c r="D470" s="53">
        <v>140</v>
      </c>
      <c r="E470" s="53">
        <v>1</v>
      </c>
      <c r="F470" s="64">
        <v>5500</v>
      </c>
      <c r="G470" s="65">
        <f t="shared" si="30"/>
        <v>770000</v>
      </c>
    </row>
    <row r="471" spans="2:7">
      <c r="B471" s="66" t="s">
        <v>170</v>
      </c>
      <c r="C471" s="8" t="s">
        <v>132</v>
      </c>
      <c r="D471" s="53">
        <v>7</v>
      </c>
      <c r="E471" s="53">
        <v>1</v>
      </c>
      <c r="F471" s="64">
        <v>30000</v>
      </c>
      <c r="G471" s="65">
        <f t="shared" si="30"/>
        <v>210000</v>
      </c>
    </row>
    <row r="472" spans="2:7">
      <c r="B472" s="66" t="s">
        <v>171</v>
      </c>
      <c r="C472" s="8" t="s">
        <v>138</v>
      </c>
      <c r="D472" s="8">
        <v>4.9349999999999996</v>
      </c>
      <c r="E472" s="53">
        <v>1</v>
      </c>
      <c r="F472" s="64">
        <v>16600</v>
      </c>
      <c r="G472" s="65">
        <f t="shared" si="30"/>
        <v>81921</v>
      </c>
    </row>
    <row r="473" spans="2:7">
      <c r="B473" s="66" t="s">
        <v>172</v>
      </c>
      <c r="C473" s="8" t="s">
        <v>138</v>
      </c>
      <c r="D473" s="53">
        <v>0.23280000000000001</v>
      </c>
      <c r="E473" s="53">
        <v>1</v>
      </c>
      <c r="F473" s="64">
        <v>7900</v>
      </c>
      <c r="G473" s="65">
        <f t="shared" si="30"/>
        <v>1839.1200000000001</v>
      </c>
    </row>
    <row r="474" spans="2:7">
      <c r="B474" s="66" t="s">
        <v>173</v>
      </c>
      <c r="C474" s="8" t="s">
        <v>144</v>
      </c>
      <c r="D474" s="53">
        <v>0.14000000000000001</v>
      </c>
      <c r="E474" s="53">
        <v>1</v>
      </c>
      <c r="F474" s="64">
        <v>390000</v>
      </c>
      <c r="G474" s="65">
        <f t="shared" si="30"/>
        <v>54600.000000000007</v>
      </c>
    </row>
    <row r="475" spans="2:7">
      <c r="B475" s="66" t="s">
        <v>174</v>
      </c>
      <c r="C475" s="8" t="s">
        <v>142</v>
      </c>
      <c r="D475" s="53">
        <v>1</v>
      </c>
      <c r="E475" s="53">
        <v>1</v>
      </c>
      <c r="F475" s="64">
        <v>120000</v>
      </c>
      <c r="G475" s="65">
        <f t="shared" si="30"/>
        <v>120000</v>
      </c>
    </row>
    <row r="476" spans="2:7" ht="14.5" thickBot="1">
      <c r="B476" s="161" t="s">
        <v>126</v>
      </c>
      <c r="C476" s="162"/>
      <c r="D476" s="162"/>
      <c r="E476" s="162"/>
      <c r="F476" s="163"/>
      <c r="G476" s="72">
        <f>SUM(G468:G475)</f>
        <v>3600860.12</v>
      </c>
    </row>
    <row r="477" spans="2:7" ht="14.5" thickBot="1">
      <c r="B477" s="164" t="s">
        <v>122</v>
      </c>
      <c r="C477" s="165"/>
      <c r="D477" s="165"/>
      <c r="E477" s="165"/>
      <c r="F477" s="165"/>
      <c r="G477" s="166"/>
    </row>
    <row r="478" spans="2:7" ht="14.5" thickBot="1">
      <c r="B478" s="61" t="s">
        <v>127</v>
      </c>
      <c r="C478" s="62" t="s">
        <v>117</v>
      </c>
      <c r="D478" s="62" t="s">
        <v>118</v>
      </c>
      <c r="E478" s="62" t="s">
        <v>128</v>
      </c>
      <c r="F478" s="62" t="s">
        <v>130</v>
      </c>
      <c r="G478" s="63" t="s">
        <v>120</v>
      </c>
    </row>
    <row r="479" spans="2:7">
      <c r="B479" s="66" t="s">
        <v>146</v>
      </c>
      <c r="C479" s="8" t="s">
        <v>140</v>
      </c>
      <c r="D479" s="53">
        <v>3</v>
      </c>
      <c r="E479" s="53">
        <v>20</v>
      </c>
      <c r="F479" s="64">
        <v>9000</v>
      </c>
      <c r="G479" s="65">
        <f t="shared" ref="G479:G481" si="31">D479*E479*F479</f>
        <v>540000</v>
      </c>
    </row>
    <row r="480" spans="2:7">
      <c r="B480" s="66" t="s">
        <v>154</v>
      </c>
      <c r="C480" s="8" t="s">
        <v>140</v>
      </c>
      <c r="D480" s="53">
        <v>1</v>
      </c>
      <c r="E480" s="53">
        <v>20</v>
      </c>
      <c r="F480" s="64">
        <v>11500</v>
      </c>
      <c r="G480" s="65">
        <f t="shared" si="31"/>
        <v>230000</v>
      </c>
    </row>
    <row r="481" spans="2:7">
      <c r="B481" s="66"/>
      <c r="C481" s="8"/>
      <c r="D481" s="53"/>
      <c r="E481" s="53"/>
      <c r="F481" s="64"/>
      <c r="G481" s="65">
        <f t="shared" si="31"/>
        <v>0</v>
      </c>
    </row>
    <row r="482" spans="2:7" ht="14.5" thickBot="1">
      <c r="B482" s="161" t="s">
        <v>126</v>
      </c>
      <c r="C482" s="162"/>
      <c r="D482" s="162"/>
      <c r="E482" s="162"/>
      <c r="F482" s="163"/>
      <c r="G482" s="72">
        <f>SUM(G479:G481)</f>
        <v>770000</v>
      </c>
    </row>
    <row r="483" spans="2:7" ht="14.5" thickBot="1">
      <c r="B483" s="164" t="s">
        <v>124</v>
      </c>
      <c r="C483" s="165"/>
      <c r="D483" s="165"/>
      <c r="E483" s="165"/>
      <c r="F483" s="165"/>
      <c r="G483" s="166"/>
    </row>
    <row r="484" spans="2:7" ht="14.5" thickBot="1">
      <c r="B484" s="61" t="s">
        <v>127</v>
      </c>
      <c r="C484" s="62" t="s">
        <v>117</v>
      </c>
      <c r="D484" s="62" t="s">
        <v>118</v>
      </c>
      <c r="E484" s="62" t="s">
        <v>128</v>
      </c>
      <c r="F484" s="62" t="s">
        <v>129</v>
      </c>
      <c r="G484" s="63" t="s">
        <v>120</v>
      </c>
    </row>
    <row r="485" spans="2:7">
      <c r="B485" s="66" t="s">
        <v>141</v>
      </c>
      <c r="C485" s="8" t="s">
        <v>142</v>
      </c>
      <c r="D485" s="53">
        <v>1</v>
      </c>
      <c r="E485" s="53">
        <v>0.05</v>
      </c>
      <c r="F485" s="64">
        <f>G482</f>
        <v>770000</v>
      </c>
      <c r="G485" s="65">
        <f t="shared" ref="G485:G487" si="32">D485*E485*F485</f>
        <v>38500</v>
      </c>
    </row>
    <row r="486" spans="2:7">
      <c r="B486" s="66" t="s">
        <v>175</v>
      </c>
      <c r="C486" s="8" t="s">
        <v>140</v>
      </c>
      <c r="D486" s="53">
        <v>1</v>
      </c>
      <c r="E486" s="53">
        <v>6</v>
      </c>
      <c r="F486" s="64">
        <v>12000</v>
      </c>
      <c r="G486" s="65">
        <f t="shared" si="32"/>
        <v>72000</v>
      </c>
    </row>
    <row r="487" spans="2:7">
      <c r="B487" s="66"/>
      <c r="C487" s="8"/>
      <c r="D487" s="53"/>
      <c r="E487" s="53"/>
      <c r="F487" s="64"/>
      <c r="G487" s="65">
        <f t="shared" si="32"/>
        <v>0</v>
      </c>
    </row>
    <row r="488" spans="2:7" ht="14.5" thickBot="1">
      <c r="B488" s="161" t="s">
        <v>126</v>
      </c>
      <c r="C488" s="162"/>
      <c r="D488" s="162"/>
      <c r="E488" s="162"/>
      <c r="F488" s="163"/>
      <c r="G488" s="72">
        <f>SUM(G485:G487)</f>
        <v>110500</v>
      </c>
    </row>
    <row r="489" spans="2:7" ht="14.5" thickBot="1">
      <c r="B489" s="164" t="s">
        <v>123</v>
      </c>
      <c r="C489" s="165"/>
      <c r="D489" s="165"/>
      <c r="E489" s="165"/>
      <c r="F489" s="165"/>
      <c r="G489" s="166"/>
    </row>
    <row r="490" spans="2:7" ht="14.5" thickBot="1">
      <c r="B490" s="61" t="s">
        <v>127</v>
      </c>
      <c r="C490" s="62" t="s">
        <v>117</v>
      </c>
      <c r="D490" s="62" t="s">
        <v>118</v>
      </c>
      <c r="E490" s="62" t="s">
        <v>128</v>
      </c>
      <c r="F490" s="62" t="s">
        <v>129</v>
      </c>
      <c r="G490" s="63" t="s">
        <v>120</v>
      </c>
    </row>
    <row r="491" spans="2:7">
      <c r="B491" s="66"/>
      <c r="C491" s="8"/>
      <c r="D491" s="8"/>
      <c r="E491" s="8"/>
      <c r="F491" s="64"/>
      <c r="G491" s="65">
        <f>D491*E491*F491</f>
        <v>0</v>
      </c>
    </row>
    <row r="492" spans="2:7" ht="14.5" thickBot="1">
      <c r="B492" s="167" t="s">
        <v>126</v>
      </c>
      <c r="C492" s="168"/>
      <c r="D492" s="168"/>
      <c r="E492" s="168"/>
      <c r="F492" s="169"/>
      <c r="G492" s="67">
        <f>SUM(G491)</f>
        <v>0</v>
      </c>
    </row>
    <row r="493" spans="2:7" ht="14.5" thickBot="1">
      <c r="B493" s="170"/>
      <c r="C493" s="171"/>
      <c r="D493" s="171"/>
      <c r="E493" s="171"/>
      <c r="F493" s="171"/>
      <c r="G493" s="172"/>
    </row>
    <row r="494" spans="2:7" ht="14.5" thickBot="1">
      <c r="B494" s="156"/>
      <c r="C494" s="157"/>
      <c r="D494" s="158" t="s">
        <v>225</v>
      </c>
      <c r="E494" s="159"/>
      <c r="F494" s="160"/>
      <c r="G494" s="68">
        <f>ROUND(G476+G482+G488+G492,0)</f>
        <v>4481360</v>
      </c>
    </row>
    <row r="503" spans="2:7" ht="14.5" thickBot="1"/>
    <row r="504" spans="2:7" ht="14.5" thickBot="1">
      <c r="B504" s="179" t="s">
        <v>114</v>
      </c>
      <c r="C504" s="180"/>
      <c r="D504" s="180"/>
      <c r="E504" s="180"/>
      <c r="F504" s="180"/>
      <c r="G504" s="181"/>
    </row>
    <row r="505" spans="2:7" ht="14.5" thickBot="1">
      <c r="B505" s="179"/>
      <c r="C505" s="180"/>
      <c r="D505" s="180"/>
      <c r="E505" s="180"/>
      <c r="F505" s="180"/>
      <c r="G505" s="181"/>
    </row>
    <row r="506" spans="2:7" ht="14.5" thickBot="1">
      <c r="B506" s="170"/>
      <c r="C506" s="171"/>
      <c r="D506" s="171"/>
      <c r="E506" s="171"/>
      <c r="F506" s="171"/>
      <c r="G506" s="172"/>
    </row>
    <row r="507" spans="2:7">
      <c r="B507" s="69" t="s">
        <v>115</v>
      </c>
      <c r="C507" s="182" t="s">
        <v>20</v>
      </c>
      <c r="D507" s="182"/>
      <c r="E507" s="182"/>
      <c r="F507" s="182"/>
      <c r="G507" s="183"/>
    </row>
    <row r="508" spans="2:7" ht="58.9" customHeight="1">
      <c r="B508" s="74" t="s">
        <v>125</v>
      </c>
      <c r="C508" s="173" t="s">
        <v>50</v>
      </c>
      <c r="D508" s="173"/>
      <c r="E508" s="173"/>
      <c r="F508" s="173"/>
      <c r="G508" s="174"/>
    </row>
    <row r="509" spans="2:7" ht="14.5" thickBot="1">
      <c r="B509" s="71" t="s">
        <v>116</v>
      </c>
      <c r="C509" s="175" t="s">
        <v>132</v>
      </c>
      <c r="D509" s="175"/>
      <c r="E509" s="175"/>
      <c r="F509" s="175"/>
      <c r="G509" s="176"/>
    </row>
    <row r="510" spans="2:7" ht="14.5" thickBot="1">
      <c r="B510" s="156"/>
      <c r="C510" s="177"/>
      <c r="D510" s="177"/>
      <c r="E510" s="177"/>
      <c r="F510" s="177"/>
      <c r="G510" s="178"/>
    </row>
    <row r="511" spans="2:7" ht="14.5" thickBot="1">
      <c r="B511" s="164" t="s">
        <v>121</v>
      </c>
      <c r="C511" s="165"/>
      <c r="D511" s="165"/>
      <c r="E511" s="165"/>
      <c r="F511" s="165"/>
      <c r="G511" s="166"/>
    </row>
    <row r="512" spans="2:7" ht="14.5" thickBot="1">
      <c r="B512" s="61" t="s">
        <v>127</v>
      </c>
      <c r="C512" s="62" t="s">
        <v>117</v>
      </c>
      <c r="D512" s="62" t="s">
        <v>118</v>
      </c>
      <c r="E512" s="62" t="s">
        <v>128</v>
      </c>
      <c r="F512" s="62" t="s">
        <v>119</v>
      </c>
      <c r="G512" s="63" t="s">
        <v>120</v>
      </c>
    </row>
    <row r="513" spans="2:7">
      <c r="B513" s="66" t="s">
        <v>167</v>
      </c>
      <c r="C513" s="8" t="s">
        <v>144</v>
      </c>
      <c r="D513" s="53">
        <v>0.5</v>
      </c>
      <c r="E513" s="53">
        <v>1</v>
      </c>
      <c r="F513" s="64">
        <v>550000</v>
      </c>
      <c r="G513" s="65">
        <f>D513*E513*F513</f>
        <v>275000</v>
      </c>
    </row>
    <row r="514" spans="2:7">
      <c r="B514" s="66" t="s">
        <v>169</v>
      </c>
      <c r="C514" s="8" t="s">
        <v>138</v>
      </c>
      <c r="D514" s="53">
        <v>20</v>
      </c>
      <c r="E514" s="53">
        <v>1</v>
      </c>
      <c r="F514" s="64">
        <v>5500</v>
      </c>
      <c r="G514" s="65">
        <f t="shared" ref="G514:G520" si="33">D514*E514*F514</f>
        <v>110000</v>
      </c>
    </row>
    <row r="515" spans="2:7">
      <c r="B515" s="66" t="s">
        <v>176</v>
      </c>
      <c r="C515" s="8" t="s">
        <v>31</v>
      </c>
      <c r="D515" s="53">
        <v>2.4</v>
      </c>
      <c r="E515" s="53">
        <v>1</v>
      </c>
      <c r="F515" s="64">
        <v>45000</v>
      </c>
      <c r="G515" s="65">
        <f t="shared" si="33"/>
        <v>108000</v>
      </c>
    </row>
    <row r="516" spans="2:7">
      <c r="B516" s="66" t="s">
        <v>171</v>
      </c>
      <c r="C516" s="8" t="s">
        <v>138</v>
      </c>
      <c r="D516" s="53">
        <v>1.1048</v>
      </c>
      <c r="E516" s="53">
        <v>1</v>
      </c>
      <c r="F516" s="64">
        <v>16600</v>
      </c>
      <c r="G516" s="65">
        <f t="shared" si="33"/>
        <v>18339.68</v>
      </c>
    </row>
    <row r="517" spans="2:7">
      <c r="B517" s="66" t="s">
        <v>177</v>
      </c>
      <c r="C517" s="8" t="s">
        <v>132</v>
      </c>
      <c r="D517" s="53">
        <v>2</v>
      </c>
      <c r="E517" s="53">
        <v>1</v>
      </c>
      <c r="F517" s="64">
        <v>15000</v>
      </c>
      <c r="G517" s="65">
        <f t="shared" si="33"/>
        <v>30000</v>
      </c>
    </row>
    <row r="518" spans="2:7">
      <c r="B518" s="66" t="s">
        <v>178</v>
      </c>
      <c r="C518" s="8" t="s">
        <v>142</v>
      </c>
      <c r="D518" s="53">
        <v>1</v>
      </c>
      <c r="E518" s="53">
        <v>1</v>
      </c>
      <c r="F518" s="64">
        <v>85000</v>
      </c>
      <c r="G518" s="65">
        <f t="shared" si="33"/>
        <v>85000</v>
      </c>
    </row>
    <row r="519" spans="2:7">
      <c r="B519" s="66" t="s">
        <v>172</v>
      </c>
      <c r="C519" s="8" t="s">
        <v>138</v>
      </c>
      <c r="D519" s="53">
        <v>0.1</v>
      </c>
      <c r="E519" s="53">
        <v>1</v>
      </c>
      <c r="F519" s="64">
        <v>7900</v>
      </c>
      <c r="G519" s="65">
        <f t="shared" si="33"/>
        <v>790</v>
      </c>
    </row>
    <row r="520" spans="2:7">
      <c r="B520" s="66"/>
      <c r="C520" s="7"/>
      <c r="D520" s="7"/>
      <c r="E520" s="7"/>
      <c r="F520" s="64"/>
      <c r="G520" s="65">
        <f t="shared" si="33"/>
        <v>0</v>
      </c>
    </row>
    <row r="521" spans="2:7" ht="14.5" thickBot="1">
      <c r="B521" s="161" t="s">
        <v>126</v>
      </c>
      <c r="C521" s="162"/>
      <c r="D521" s="162"/>
      <c r="E521" s="162"/>
      <c r="F521" s="163"/>
      <c r="G521" s="72">
        <f>SUM(G513:G520)</f>
        <v>627129.67999999993</v>
      </c>
    </row>
    <row r="522" spans="2:7" ht="14.5" thickBot="1">
      <c r="B522" s="164" t="s">
        <v>122</v>
      </c>
      <c r="C522" s="165"/>
      <c r="D522" s="165"/>
      <c r="E522" s="165"/>
      <c r="F522" s="165"/>
      <c r="G522" s="166"/>
    </row>
    <row r="523" spans="2:7" ht="14.5" thickBot="1">
      <c r="B523" s="61" t="s">
        <v>127</v>
      </c>
      <c r="C523" s="62" t="s">
        <v>117</v>
      </c>
      <c r="D523" s="62" t="s">
        <v>118</v>
      </c>
      <c r="E523" s="62" t="s">
        <v>128</v>
      </c>
      <c r="F523" s="62" t="s">
        <v>130</v>
      </c>
      <c r="G523" s="63" t="s">
        <v>120</v>
      </c>
    </row>
    <row r="524" spans="2:7">
      <c r="B524" s="66" t="s">
        <v>146</v>
      </c>
      <c r="C524" s="8" t="s">
        <v>140</v>
      </c>
      <c r="D524" s="53">
        <v>3</v>
      </c>
      <c r="E524" s="53">
        <v>4.5</v>
      </c>
      <c r="F524" s="64">
        <v>9000</v>
      </c>
      <c r="G524" s="65">
        <f t="shared" ref="G524:G526" si="34">D524*E524*F524</f>
        <v>121500</v>
      </c>
    </row>
    <row r="525" spans="2:7">
      <c r="B525" s="66" t="s">
        <v>154</v>
      </c>
      <c r="C525" s="8" t="s">
        <v>140</v>
      </c>
      <c r="D525" s="53">
        <v>1</v>
      </c>
      <c r="E525" s="53">
        <v>4.5</v>
      </c>
      <c r="F525" s="64">
        <v>11500</v>
      </c>
      <c r="G525" s="65">
        <f t="shared" si="34"/>
        <v>51750</v>
      </c>
    </row>
    <row r="526" spans="2:7">
      <c r="B526" s="66"/>
      <c r="C526" s="8"/>
      <c r="D526" s="53"/>
      <c r="E526" s="53"/>
      <c r="F526" s="64"/>
      <c r="G526" s="65">
        <f t="shared" si="34"/>
        <v>0</v>
      </c>
    </row>
    <row r="527" spans="2:7" ht="14.5" thickBot="1">
      <c r="B527" s="161" t="s">
        <v>126</v>
      </c>
      <c r="C527" s="162"/>
      <c r="D527" s="162"/>
      <c r="E527" s="162"/>
      <c r="F527" s="163"/>
      <c r="G527" s="72">
        <f>SUM(G524:G526)</f>
        <v>173250</v>
      </c>
    </row>
    <row r="528" spans="2:7" ht="14.5" thickBot="1">
      <c r="B528" s="164" t="s">
        <v>124</v>
      </c>
      <c r="C528" s="165"/>
      <c r="D528" s="165"/>
      <c r="E528" s="165"/>
      <c r="F528" s="165"/>
      <c r="G528" s="166"/>
    </row>
    <row r="529" spans="2:7" ht="14.5" thickBot="1">
      <c r="B529" s="61" t="s">
        <v>127</v>
      </c>
      <c r="C529" s="62" t="s">
        <v>117</v>
      </c>
      <c r="D529" s="62" t="s">
        <v>118</v>
      </c>
      <c r="E529" s="62" t="s">
        <v>128</v>
      </c>
      <c r="F529" s="62" t="s">
        <v>129</v>
      </c>
      <c r="G529" s="63" t="s">
        <v>120</v>
      </c>
    </row>
    <row r="530" spans="2:7">
      <c r="B530" s="66" t="s">
        <v>141</v>
      </c>
      <c r="C530" s="8" t="s">
        <v>142</v>
      </c>
      <c r="D530" s="53">
        <v>1</v>
      </c>
      <c r="E530" s="53">
        <v>0.05</v>
      </c>
      <c r="F530" s="64">
        <f>G527</f>
        <v>173250</v>
      </c>
      <c r="G530" s="65">
        <f t="shared" ref="G530:G532" si="35">D530*E530*F530</f>
        <v>8662.5</v>
      </c>
    </row>
    <row r="531" spans="2:7">
      <c r="B531" s="66" t="s">
        <v>175</v>
      </c>
      <c r="C531" s="8" t="s">
        <v>140</v>
      </c>
      <c r="D531" s="53">
        <v>1</v>
      </c>
      <c r="E531" s="53">
        <v>1.5</v>
      </c>
      <c r="F531" s="64">
        <v>12000</v>
      </c>
      <c r="G531" s="65">
        <f t="shared" si="35"/>
        <v>18000</v>
      </c>
    </row>
    <row r="532" spans="2:7">
      <c r="B532" s="66"/>
      <c r="C532" s="8"/>
      <c r="D532" s="53"/>
      <c r="E532" s="53"/>
      <c r="F532" s="64"/>
      <c r="G532" s="65">
        <f t="shared" si="35"/>
        <v>0</v>
      </c>
    </row>
    <row r="533" spans="2:7" ht="14.5" thickBot="1">
      <c r="B533" s="161" t="s">
        <v>126</v>
      </c>
      <c r="C533" s="162"/>
      <c r="D533" s="162"/>
      <c r="E533" s="162"/>
      <c r="F533" s="163"/>
      <c r="G533" s="72">
        <f>SUM(G530:G532)</f>
        <v>26662.5</v>
      </c>
    </row>
    <row r="534" spans="2:7" ht="14.5" thickBot="1">
      <c r="B534" s="164" t="s">
        <v>123</v>
      </c>
      <c r="C534" s="165"/>
      <c r="D534" s="165"/>
      <c r="E534" s="165"/>
      <c r="F534" s="165"/>
      <c r="G534" s="166"/>
    </row>
    <row r="535" spans="2:7" ht="14.5" thickBot="1">
      <c r="B535" s="61" t="s">
        <v>127</v>
      </c>
      <c r="C535" s="62" t="s">
        <v>117</v>
      </c>
      <c r="D535" s="62" t="s">
        <v>118</v>
      </c>
      <c r="E535" s="62" t="s">
        <v>128</v>
      </c>
      <c r="F535" s="62" t="s">
        <v>129</v>
      </c>
      <c r="G535" s="63" t="s">
        <v>120</v>
      </c>
    </row>
    <row r="536" spans="2:7">
      <c r="B536" s="66"/>
      <c r="C536" s="8"/>
      <c r="D536" s="8"/>
      <c r="E536" s="8"/>
      <c r="F536" s="64"/>
      <c r="G536" s="65">
        <f>D536*E536*F536</f>
        <v>0</v>
      </c>
    </row>
    <row r="537" spans="2:7" ht="14.5" thickBot="1">
      <c r="B537" s="167" t="s">
        <v>126</v>
      </c>
      <c r="C537" s="168"/>
      <c r="D537" s="168"/>
      <c r="E537" s="168"/>
      <c r="F537" s="169"/>
      <c r="G537" s="67">
        <f>SUM(G536)</f>
        <v>0</v>
      </c>
    </row>
    <row r="538" spans="2:7" ht="14.5" thickBot="1">
      <c r="B538" s="170"/>
      <c r="C538" s="171"/>
      <c r="D538" s="171"/>
      <c r="E538" s="171"/>
      <c r="F538" s="171"/>
      <c r="G538" s="172"/>
    </row>
    <row r="539" spans="2:7" ht="14.5" thickBot="1">
      <c r="B539" s="156"/>
      <c r="C539" s="157"/>
      <c r="D539" s="158" t="s">
        <v>225</v>
      </c>
      <c r="E539" s="159"/>
      <c r="F539" s="160"/>
      <c r="G539" s="68">
        <f>ROUND(G521+G527+G533+G537,0)</f>
        <v>827042</v>
      </c>
    </row>
    <row r="546" spans="2:7" ht="14.5" thickBot="1"/>
    <row r="547" spans="2:7" ht="14.5" thickBot="1">
      <c r="B547" s="179" t="s">
        <v>114</v>
      </c>
      <c r="C547" s="180"/>
      <c r="D547" s="180"/>
      <c r="E547" s="180"/>
      <c r="F547" s="180"/>
      <c r="G547" s="181"/>
    </row>
    <row r="548" spans="2:7" ht="14.5" thickBot="1">
      <c r="B548" s="179"/>
      <c r="C548" s="180"/>
      <c r="D548" s="180"/>
      <c r="E548" s="180"/>
      <c r="F548" s="180"/>
      <c r="G548" s="181"/>
    </row>
    <row r="549" spans="2:7" ht="14.5" thickBot="1">
      <c r="B549" s="170"/>
      <c r="C549" s="171"/>
      <c r="D549" s="171"/>
      <c r="E549" s="171"/>
      <c r="F549" s="171"/>
      <c r="G549" s="172"/>
    </row>
    <row r="550" spans="2:7">
      <c r="B550" s="69" t="s">
        <v>115</v>
      </c>
      <c r="C550" s="182" t="s">
        <v>21</v>
      </c>
      <c r="D550" s="182"/>
      <c r="E550" s="182"/>
      <c r="F550" s="182"/>
      <c r="G550" s="183"/>
    </row>
    <row r="551" spans="2:7" ht="29.5" customHeight="1">
      <c r="B551" s="74" t="s">
        <v>125</v>
      </c>
      <c r="C551" s="173" t="s">
        <v>49</v>
      </c>
      <c r="D551" s="173"/>
      <c r="E551" s="173"/>
      <c r="F551" s="173"/>
      <c r="G551" s="174"/>
    </row>
    <row r="552" spans="2:7" ht="14.5" thickBot="1">
      <c r="B552" s="71" t="s">
        <v>116</v>
      </c>
      <c r="C552" s="175" t="s">
        <v>132</v>
      </c>
      <c r="D552" s="175"/>
      <c r="E552" s="175"/>
      <c r="F552" s="175"/>
      <c r="G552" s="176"/>
    </row>
    <row r="553" spans="2:7" ht="14.5" thickBot="1">
      <c r="B553" s="156"/>
      <c r="C553" s="177"/>
      <c r="D553" s="177"/>
      <c r="E553" s="177"/>
      <c r="F553" s="177"/>
      <c r="G553" s="178"/>
    </row>
    <row r="554" spans="2:7" ht="14.5" thickBot="1">
      <c r="B554" s="164" t="s">
        <v>121</v>
      </c>
      <c r="C554" s="165"/>
      <c r="D554" s="165"/>
      <c r="E554" s="165"/>
      <c r="F554" s="165"/>
      <c r="G554" s="166"/>
    </row>
    <row r="555" spans="2:7" ht="14.5" thickBot="1">
      <c r="B555" s="61" t="s">
        <v>127</v>
      </c>
      <c r="C555" s="62" t="s">
        <v>117</v>
      </c>
      <c r="D555" s="62" t="s">
        <v>118</v>
      </c>
      <c r="E555" s="62" t="s">
        <v>128</v>
      </c>
      <c r="F555" s="62" t="s">
        <v>119</v>
      </c>
      <c r="G555" s="63" t="s">
        <v>120</v>
      </c>
    </row>
    <row r="556" spans="2:7">
      <c r="B556" s="66" t="s">
        <v>167</v>
      </c>
      <c r="C556" s="8" t="s">
        <v>144</v>
      </c>
      <c r="D556" s="53">
        <v>7.0000000000000007E-2</v>
      </c>
      <c r="E556" s="53">
        <v>1</v>
      </c>
      <c r="F556" s="64">
        <v>550000</v>
      </c>
      <c r="G556" s="65">
        <f>D556*E556*F556</f>
        <v>38500.000000000007</v>
      </c>
    </row>
    <row r="557" spans="2:7">
      <c r="B557" s="66" t="s">
        <v>173</v>
      </c>
      <c r="C557" s="8" t="s">
        <v>144</v>
      </c>
      <c r="D557" s="53">
        <v>0.23</v>
      </c>
      <c r="E557" s="53">
        <v>1</v>
      </c>
      <c r="F557" s="64">
        <v>390000</v>
      </c>
      <c r="G557" s="65">
        <f t="shared" ref="G557:G563" si="36">D557*E557*F557</f>
        <v>89700</v>
      </c>
    </row>
    <row r="558" spans="2:7">
      <c r="B558" s="66" t="s">
        <v>171</v>
      </c>
      <c r="C558" s="8" t="s">
        <v>138</v>
      </c>
      <c r="D558" s="53">
        <v>2.1092</v>
      </c>
      <c r="E558" s="53">
        <v>1</v>
      </c>
      <c r="F558" s="64">
        <v>16600</v>
      </c>
      <c r="G558" s="65">
        <f t="shared" si="36"/>
        <v>35012.720000000001</v>
      </c>
    </row>
    <row r="559" spans="2:7">
      <c r="B559" s="66" t="s">
        <v>179</v>
      </c>
      <c r="C559" s="8" t="s">
        <v>142</v>
      </c>
      <c r="D559" s="53">
        <v>1</v>
      </c>
      <c r="E559" s="53">
        <v>1</v>
      </c>
      <c r="F559" s="64">
        <f>20008.1245652562+0.185</f>
        <v>20008.309565256201</v>
      </c>
      <c r="G559" s="65">
        <f t="shared" si="36"/>
        <v>20008.309565256201</v>
      </c>
    </row>
    <row r="560" spans="2:7">
      <c r="B560" s="66"/>
      <c r="C560" s="7"/>
      <c r="D560" s="7"/>
      <c r="E560" s="7"/>
      <c r="F560" s="64"/>
      <c r="G560" s="65">
        <f t="shared" si="36"/>
        <v>0</v>
      </c>
    </row>
    <row r="561" spans="2:9">
      <c r="B561" s="66"/>
      <c r="C561" s="7"/>
      <c r="D561" s="7"/>
      <c r="E561" s="7"/>
      <c r="F561" s="64"/>
      <c r="G561" s="65">
        <f t="shared" si="36"/>
        <v>0</v>
      </c>
    </row>
    <row r="562" spans="2:9">
      <c r="B562" s="66"/>
      <c r="C562" s="7"/>
      <c r="D562" s="7"/>
      <c r="E562" s="7"/>
      <c r="F562" s="64"/>
      <c r="G562" s="65">
        <f t="shared" si="36"/>
        <v>0</v>
      </c>
    </row>
    <row r="563" spans="2:9">
      <c r="B563" s="66"/>
      <c r="C563" s="7"/>
      <c r="D563" s="7"/>
      <c r="E563" s="7"/>
      <c r="F563" s="64"/>
      <c r="G563" s="65">
        <f t="shared" si="36"/>
        <v>0</v>
      </c>
      <c r="I563" s="94"/>
    </row>
    <row r="564" spans="2:9" ht="14.5" thickBot="1">
      <c r="B564" s="161" t="s">
        <v>126</v>
      </c>
      <c r="C564" s="162"/>
      <c r="D564" s="162"/>
      <c r="E564" s="162"/>
      <c r="F564" s="163"/>
      <c r="G564" s="72">
        <f>SUM(G556:G563)</f>
        <v>183221.02956525621</v>
      </c>
    </row>
    <row r="565" spans="2:9" ht="14.5" thickBot="1">
      <c r="B565" s="164" t="s">
        <v>122</v>
      </c>
      <c r="C565" s="165"/>
      <c r="D565" s="165"/>
      <c r="E565" s="165"/>
      <c r="F565" s="165"/>
      <c r="G565" s="166"/>
    </row>
    <row r="566" spans="2:9" ht="14.5" thickBot="1">
      <c r="B566" s="61" t="s">
        <v>127</v>
      </c>
      <c r="C566" s="62" t="s">
        <v>117</v>
      </c>
      <c r="D566" s="62" t="s">
        <v>118</v>
      </c>
      <c r="E566" s="62" t="s">
        <v>128</v>
      </c>
      <c r="F566" s="62" t="s">
        <v>130</v>
      </c>
      <c r="G566" s="63" t="s">
        <v>120</v>
      </c>
    </row>
    <row r="567" spans="2:9">
      <c r="B567" s="66" t="s">
        <v>146</v>
      </c>
      <c r="C567" s="8" t="s">
        <v>140</v>
      </c>
      <c r="D567" s="53">
        <v>3</v>
      </c>
      <c r="E567" s="53">
        <v>3.5</v>
      </c>
      <c r="F567" s="64">
        <v>9000</v>
      </c>
      <c r="G567" s="65">
        <f t="shared" ref="G567:G569" si="37">D567*E567*F567</f>
        <v>94500</v>
      </c>
    </row>
    <row r="568" spans="2:9">
      <c r="B568" s="66" t="s">
        <v>154</v>
      </c>
      <c r="C568" s="8" t="s">
        <v>140</v>
      </c>
      <c r="D568" s="53">
        <v>1</v>
      </c>
      <c r="E568" s="53">
        <v>3.5</v>
      </c>
      <c r="F568" s="64">
        <v>11500</v>
      </c>
      <c r="G568" s="65">
        <f t="shared" si="37"/>
        <v>40250</v>
      </c>
    </row>
    <row r="569" spans="2:9">
      <c r="B569" s="66"/>
      <c r="C569" s="8"/>
      <c r="D569" s="53"/>
      <c r="E569" s="53"/>
      <c r="F569" s="64"/>
      <c r="G569" s="65">
        <f t="shared" si="37"/>
        <v>0</v>
      </c>
    </row>
    <row r="570" spans="2:9" ht="14.5" thickBot="1">
      <c r="B570" s="161" t="s">
        <v>126</v>
      </c>
      <c r="C570" s="162"/>
      <c r="D570" s="162"/>
      <c r="E570" s="162"/>
      <c r="F570" s="163"/>
      <c r="G570" s="72">
        <f>SUM(G567:G569)</f>
        <v>134750</v>
      </c>
    </row>
    <row r="571" spans="2:9" ht="14.5" thickBot="1">
      <c r="B571" s="164" t="s">
        <v>124</v>
      </c>
      <c r="C571" s="165"/>
      <c r="D571" s="165"/>
      <c r="E571" s="165"/>
      <c r="F571" s="165"/>
      <c r="G571" s="166"/>
    </row>
    <row r="572" spans="2:9" ht="14.5" thickBot="1">
      <c r="B572" s="61" t="s">
        <v>127</v>
      </c>
      <c r="C572" s="62" t="s">
        <v>117</v>
      </c>
      <c r="D572" s="62" t="s">
        <v>118</v>
      </c>
      <c r="E572" s="62" t="s">
        <v>128</v>
      </c>
      <c r="F572" s="62" t="s">
        <v>129</v>
      </c>
      <c r="G572" s="63" t="s">
        <v>120</v>
      </c>
    </row>
    <row r="573" spans="2:9">
      <c r="B573" s="66" t="s">
        <v>141</v>
      </c>
      <c r="C573" s="8" t="s">
        <v>142</v>
      </c>
      <c r="D573" s="53">
        <v>1</v>
      </c>
      <c r="E573" s="53">
        <v>0.05</v>
      </c>
      <c r="F573" s="64">
        <f>G570</f>
        <v>134750</v>
      </c>
      <c r="G573" s="65">
        <f t="shared" ref="G573:G575" si="38">D573*E573*F573</f>
        <v>6737.5</v>
      </c>
    </row>
    <row r="574" spans="2:9">
      <c r="B574" s="66" t="s">
        <v>180</v>
      </c>
      <c r="C574" s="8" t="s">
        <v>140</v>
      </c>
      <c r="D574" s="53">
        <v>1</v>
      </c>
      <c r="E574" s="53">
        <v>4</v>
      </c>
      <c r="F574" s="64">
        <v>12000</v>
      </c>
      <c r="G574" s="65">
        <f t="shared" si="38"/>
        <v>48000</v>
      </c>
    </row>
    <row r="575" spans="2:9">
      <c r="B575" s="66"/>
      <c r="C575" s="8"/>
      <c r="D575" s="53"/>
      <c r="E575" s="53"/>
      <c r="F575" s="64"/>
      <c r="G575" s="65">
        <f t="shared" si="38"/>
        <v>0</v>
      </c>
    </row>
    <row r="576" spans="2:9" ht="14.5" thickBot="1">
      <c r="B576" s="161" t="s">
        <v>126</v>
      </c>
      <c r="C576" s="162"/>
      <c r="D576" s="162"/>
      <c r="E576" s="162"/>
      <c r="F576" s="163"/>
      <c r="G576" s="72">
        <f>SUM(G573:G575)</f>
        <v>54737.5</v>
      </c>
    </row>
    <row r="577" spans="2:7" ht="14.5" thickBot="1">
      <c r="B577" s="164" t="s">
        <v>123</v>
      </c>
      <c r="C577" s="165"/>
      <c r="D577" s="165"/>
      <c r="E577" s="165"/>
      <c r="F577" s="165"/>
      <c r="G577" s="166"/>
    </row>
    <row r="578" spans="2:7" ht="14.5" thickBot="1">
      <c r="B578" s="61" t="s">
        <v>127</v>
      </c>
      <c r="C578" s="62" t="s">
        <v>117</v>
      </c>
      <c r="D578" s="62" t="s">
        <v>118</v>
      </c>
      <c r="E578" s="62" t="s">
        <v>128</v>
      </c>
      <c r="F578" s="62" t="s">
        <v>129</v>
      </c>
      <c r="G578" s="63" t="s">
        <v>120</v>
      </c>
    </row>
    <row r="579" spans="2:7">
      <c r="B579" s="66"/>
      <c r="C579" s="8"/>
      <c r="D579" s="8"/>
      <c r="E579" s="8"/>
      <c r="F579" s="64"/>
      <c r="G579" s="65">
        <f>D579*E579*F579</f>
        <v>0</v>
      </c>
    </row>
    <row r="580" spans="2:7" ht="14.5" thickBot="1">
      <c r="B580" s="167" t="s">
        <v>126</v>
      </c>
      <c r="C580" s="168"/>
      <c r="D580" s="168"/>
      <c r="E580" s="168"/>
      <c r="F580" s="169"/>
      <c r="G580" s="67">
        <f>SUM(G579)</f>
        <v>0</v>
      </c>
    </row>
    <row r="581" spans="2:7" ht="14.5" thickBot="1">
      <c r="B581" s="170"/>
      <c r="C581" s="171"/>
      <c r="D581" s="171"/>
      <c r="E581" s="171"/>
      <c r="F581" s="171"/>
      <c r="G581" s="172"/>
    </row>
    <row r="582" spans="2:7" ht="14.5" thickBot="1">
      <c r="B582" s="156"/>
      <c r="C582" s="157"/>
      <c r="D582" s="158" t="s">
        <v>225</v>
      </c>
      <c r="E582" s="159"/>
      <c r="F582" s="160"/>
      <c r="G582" s="68">
        <f>ROUND(G564+G570+G576+G580,0)-0.5</f>
        <v>372708.5</v>
      </c>
    </row>
  </sheetData>
  <mergeCells count="234">
    <mergeCell ref="B2:G2"/>
    <mergeCell ref="B3:G3"/>
    <mergeCell ref="B4:G4"/>
    <mergeCell ref="C5:G5"/>
    <mergeCell ref="C6:G6"/>
    <mergeCell ref="C7:G7"/>
    <mergeCell ref="B39:F39"/>
    <mergeCell ref="B36:G36"/>
    <mergeCell ref="B53:G53"/>
    <mergeCell ref="B8:G8"/>
    <mergeCell ref="B40:G40"/>
    <mergeCell ref="B41:C41"/>
    <mergeCell ref="D41:F41"/>
    <mergeCell ref="B9:G9"/>
    <mergeCell ref="B21:G21"/>
    <mergeCell ref="B20:F20"/>
    <mergeCell ref="B27:F27"/>
    <mergeCell ref="B28:G28"/>
    <mergeCell ref="B35:F35"/>
    <mergeCell ref="C57:G57"/>
    <mergeCell ref="C58:G58"/>
    <mergeCell ref="B59:G59"/>
    <mergeCell ref="B60:G60"/>
    <mergeCell ref="B66:F66"/>
    <mergeCell ref="B67:G67"/>
    <mergeCell ref="B54:G54"/>
    <mergeCell ref="B55:G55"/>
    <mergeCell ref="C56:G56"/>
    <mergeCell ref="B84:C84"/>
    <mergeCell ref="D84:F84"/>
    <mergeCell ref="B95:G95"/>
    <mergeCell ref="B96:G96"/>
    <mergeCell ref="B97:G97"/>
    <mergeCell ref="C98:G98"/>
    <mergeCell ref="B72:F72"/>
    <mergeCell ref="B73:G73"/>
    <mergeCell ref="B78:F78"/>
    <mergeCell ref="B79:G79"/>
    <mergeCell ref="B82:F82"/>
    <mergeCell ref="B83:G83"/>
    <mergeCell ref="B118:F118"/>
    <mergeCell ref="B119:G119"/>
    <mergeCell ref="B124:F124"/>
    <mergeCell ref="B125:G125"/>
    <mergeCell ref="B128:F128"/>
    <mergeCell ref="B129:G129"/>
    <mergeCell ref="C99:G99"/>
    <mergeCell ref="C100:G100"/>
    <mergeCell ref="B101:G101"/>
    <mergeCell ref="B102:G102"/>
    <mergeCell ref="B112:F112"/>
    <mergeCell ref="B113:G113"/>
    <mergeCell ref="C144:G144"/>
    <mergeCell ref="C145:G145"/>
    <mergeCell ref="B146:G146"/>
    <mergeCell ref="B147:G147"/>
    <mergeCell ref="B157:F157"/>
    <mergeCell ref="B158:G158"/>
    <mergeCell ref="B130:C130"/>
    <mergeCell ref="D130:F130"/>
    <mergeCell ref="B140:G140"/>
    <mergeCell ref="B141:G141"/>
    <mergeCell ref="B142:G142"/>
    <mergeCell ref="C143:G143"/>
    <mergeCell ref="B175:C175"/>
    <mergeCell ref="D175:F175"/>
    <mergeCell ref="B187:G187"/>
    <mergeCell ref="B188:G188"/>
    <mergeCell ref="B189:G189"/>
    <mergeCell ref="C190:G190"/>
    <mergeCell ref="B163:F163"/>
    <mergeCell ref="B164:G164"/>
    <mergeCell ref="B169:F169"/>
    <mergeCell ref="B170:G170"/>
    <mergeCell ref="B173:F173"/>
    <mergeCell ref="B174:G174"/>
    <mergeCell ref="B210:F210"/>
    <mergeCell ref="B211:G211"/>
    <mergeCell ref="B216:F216"/>
    <mergeCell ref="B217:G217"/>
    <mergeCell ref="B220:F220"/>
    <mergeCell ref="B221:G221"/>
    <mergeCell ref="C191:G191"/>
    <mergeCell ref="C192:G192"/>
    <mergeCell ref="B193:G193"/>
    <mergeCell ref="B194:G194"/>
    <mergeCell ref="B204:F204"/>
    <mergeCell ref="B205:G205"/>
    <mergeCell ref="C236:G236"/>
    <mergeCell ref="C237:G237"/>
    <mergeCell ref="B238:G238"/>
    <mergeCell ref="B239:G239"/>
    <mergeCell ref="B249:F249"/>
    <mergeCell ref="B250:G250"/>
    <mergeCell ref="B222:C222"/>
    <mergeCell ref="D222:F222"/>
    <mergeCell ref="B232:G232"/>
    <mergeCell ref="B233:G233"/>
    <mergeCell ref="B234:G234"/>
    <mergeCell ref="C235:G235"/>
    <mergeCell ref="B267:C267"/>
    <mergeCell ref="D267:F267"/>
    <mergeCell ref="B276:G276"/>
    <mergeCell ref="B277:G277"/>
    <mergeCell ref="B278:G278"/>
    <mergeCell ref="C279:G279"/>
    <mergeCell ref="B255:F255"/>
    <mergeCell ref="B256:G256"/>
    <mergeCell ref="B261:F261"/>
    <mergeCell ref="B262:G262"/>
    <mergeCell ref="B265:F265"/>
    <mergeCell ref="B266:G266"/>
    <mergeCell ref="B299:F299"/>
    <mergeCell ref="B300:G300"/>
    <mergeCell ref="B305:F305"/>
    <mergeCell ref="B306:G306"/>
    <mergeCell ref="B309:F309"/>
    <mergeCell ref="B310:G310"/>
    <mergeCell ref="C280:G280"/>
    <mergeCell ref="C281:G281"/>
    <mergeCell ref="B282:G282"/>
    <mergeCell ref="B283:G283"/>
    <mergeCell ref="B293:F293"/>
    <mergeCell ref="B294:G294"/>
    <mergeCell ref="C324:G324"/>
    <mergeCell ref="C325:G325"/>
    <mergeCell ref="B326:G326"/>
    <mergeCell ref="B327:G327"/>
    <mergeCell ref="B337:F337"/>
    <mergeCell ref="B338:G338"/>
    <mergeCell ref="B311:C311"/>
    <mergeCell ref="D311:F311"/>
    <mergeCell ref="B320:G320"/>
    <mergeCell ref="B321:G321"/>
    <mergeCell ref="B322:G322"/>
    <mergeCell ref="C323:G323"/>
    <mergeCell ref="B355:C355"/>
    <mergeCell ref="D355:F355"/>
    <mergeCell ref="B367:G367"/>
    <mergeCell ref="B368:G368"/>
    <mergeCell ref="B369:G369"/>
    <mergeCell ref="C370:G370"/>
    <mergeCell ref="B343:F343"/>
    <mergeCell ref="B344:G344"/>
    <mergeCell ref="B349:F349"/>
    <mergeCell ref="B350:G350"/>
    <mergeCell ref="B353:F353"/>
    <mergeCell ref="B354:G354"/>
    <mergeCell ref="B390:F390"/>
    <mergeCell ref="B391:G391"/>
    <mergeCell ref="B396:F396"/>
    <mergeCell ref="B397:G397"/>
    <mergeCell ref="B400:F400"/>
    <mergeCell ref="B401:G401"/>
    <mergeCell ref="C371:G371"/>
    <mergeCell ref="C372:G372"/>
    <mergeCell ref="B373:G373"/>
    <mergeCell ref="B374:G374"/>
    <mergeCell ref="B384:F384"/>
    <mergeCell ref="B385:G385"/>
    <mergeCell ref="C417:G417"/>
    <mergeCell ref="C418:G418"/>
    <mergeCell ref="B419:G419"/>
    <mergeCell ref="B420:G420"/>
    <mergeCell ref="B430:F430"/>
    <mergeCell ref="B431:G431"/>
    <mergeCell ref="B402:C402"/>
    <mergeCell ref="D402:F402"/>
    <mergeCell ref="B413:G413"/>
    <mergeCell ref="B414:G414"/>
    <mergeCell ref="B415:G415"/>
    <mergeCell ref="C416:G416"/>
    <mergeCell ref="B448:C448"/>
    <mergeCell ref="D448:F448"/>
    <mergeCell ref="B459:G459"/>
    <mergeCell ref="B460:G460"/>
    <mergeCell ref="B461:G461"/>
    <mergeCell ref="C462:G462"/>
    <mergeCell ref="B436:F436"/>
    <mergeCell ref="B437:G437"/>
    <mergeCell ref="B442:F442"/>
    <mergeCell ref="B443:G443"/>
    <mergeCell ref="B446:F446"/>
    <mergeCell ref="B447:G447"/>
    <mergeCell ref="B482:F482"/>
    <mergeCell ref="B483:G483"/>
    <mergeCell ref="B488:F488"/>
    <mergeCell ref="B489:G489"/>
    <mergeCell ref="B492:F492"/>
    <mergeCell ref="B493:G493"/>
    <mergeCell ref="C463:G463"/>
    <mergeCell ref="C464:G464"/>
    <mergeCell ref="B465:G465"/>
    <mergeCell ref="B466:G466"/>
    <mergeCell ref="B476:F476"/>
    <mergeCell ref="B477:G477"/>
    <mergeCell ref="C508:G508"/>
    <mergeCell ref="C509:G509"/>
    <mergeCell ref="B510:G510"/>
    <mergeCell ref="B511:G511"/>
    <mergeCell ref="B521:F521"/>
    <mergeCell ref="B522:G522"/>
    <mergeCell ref="B494:C494"/>
    <mergeCell ref="D494:F494"/>
    <mergeCell ref="B504:G504"/>
    <mergeCell ref="B505:G505"/>
    <mergeCell ref="B506:G506"/>
    <mergeCell ref="C507:G507"/>
    <mergeCell ref="B539:C539"/>
    <mergeCell ref="D539:F539"/>
    <mergeCell ref="B547:G547"/>
    <mergeCell ref="B548:G548"/>
    <mergeCell ref="B549:G549"/>
    <mergeCell ref="C550:G550"/>
    <mergeCell ref="B527:F527"/>
    <mergeCell ref="B528:G528"/>
    <mergeCell ref="B533:F533"/>
    <mergeCell ref="B534:G534"/>
    <mergeCell ref="B537:F537"/>
    <mergeCell ref="B538:G538"/>
    <mergeCell ref="B582:C582"/>
    <mergeCell ref="D582:F582"/>
    <mergeCell ref="B570:F570"/>
    <mergeCell ref="B571:G571"/>
    <mergeCell ref="B576:F576"/>
    <mergeCell ref="B577:G577"/>
    <mergeCell ref="B580:F580"/>
    <mergeCell ref="B581:G581"/>
    <mergeCell ref="C551:G551"/>
    <mergeCell ref="C552:G552"/>
    <mergeCell ref="B553:G553"/>
    <mergeCell ref="B554:G554"/>
    <mergeCell ref="B564:F564"/>
    <mergeCell ref="B565:G565"/>
  </mergeCells>
  <pageMargins left="0.70866141732283472" right="0.70866141732283472" top="1.7322834645669292" bottom="1.1417322834645669" header="0.31496062992125984" footer="0.31496062992125984"/>
  <pageSetup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61E4-A0A2-432A-95DD-480FB28E9DD5}">
  <dimension ref="B1:I365"/>
  <sheetViews>
    <sheetView topLeftCell="A347" workbookViewId="0">
      <selection activeCell="E59" sqref="E59"/>
    </sheetView>
  </sheetViews>
  <sheetFormatPr baseColWidth="10" defaultColWidth="9.1640625" defaultRowHeight="14"/>
  <cols>
    <col min="2" max="2" width="14.83203125" customWidth="1"/>
    <col min="3" max="3" width="31" customWidth="1"/>
    <col min="4" max="4" width="53.25" customWidth="1"/>
    <col min="5" max="5" width="20" bestFit="1" customWidth="1"/>
    <col min="9" max="9" width="11.25" customWidth="1"/>
  </cols>
  <sheetData>
    <row r="1" spans="2:9" ht="14.5" thickBot="1"/>
    <row r="2" spans="2:9" ht="14.5" thickBot="1">
      <c r="B2" s="179" t="s">
        <v>181</v>
      </c>
      <c r="C2" s="203"/>
      <c r="D2" s="180"/>
      <c r="E2" s="180"/>
      <c r="F2" s="180"/>
      <c r="G2" s="180"/>
      <c r="H2" s="180"/>
      <c r="I2" s="181"/>
    </row>
    <row r="3" spans="2:9" ht="14.5" thickBot="1">
      <c r="B3" s="179"/>
      <c r="C3" s="203"/>
      <c r="D3" s="180"/>
      <c r="E3" s="180"/>
      <c r="F3" s="180"/>
      <c r="G3" s="180"/>
      <c r="H3" s="180"/>
      <c r="I3" s="181"/>
    </row>
    <row r="4" spans="2:9" ht="14.5" thickBot="1">
      <c r="B4" s="191"/>
      <c r="C4" s="192"/>
      <c r="D4" s="192"/>
      <c r="E4" s="192"/>
      <c r="F4" s="192"/>
      <c r="G4" s="192"/>
      <c r="H4" s="192"/>
      <c r="I4" s="193"/>
    </row>
    <row r="5" spans="2:9">
      <c r="B5" s="79" t="s">
        <v>115</v>
      </c>
      <c r="C5" s="194" t="s">
        <v>0</v>
      </c>
      <c r="D5" s="195"/>
      <c r="E5" s="195"/>
      <c r="F5" s="195"/>
      <c r="G5" s="195"/>
      <c r="H5" s="195"/>
      <c r="I5" s="196"/>
    </row>
    <row r="6" spans="2:9">
      <c r="B6" s="79" t="s">
        <v>182</v>
      </c>
      <c r="C6" s="197" t="s">
        <v>2</v>
      </c>
      <c r="D6" s="198"/>
      <c r="E6" s="198"/>
      <c r="F6" s="198"/>
      <c r="G6" s="198"/>
      <c r="H6" s="198"/>
      <c r="I6" s="199"/>
    </row>
    <row r="7" spans="2:9" ht="14.5" thickBot="1">
      <c r="B7" s="80" t="s">
        <v>116</v>
      </c>
      <c r="C7" s="200" t="s">
        <v>31</v>
      </c>
      <c r="D7" s="201"/>
      <c r="E7" s="201"/>
      <c r="F7" s="201"/>
      <c r="G7" s="201"/>
      <c r="H7" s="201"/>
      <c r="I7" s="202"/>
    </row>
    <row r="8" spans="2:9" ht="14.5" thickBot="1">
      <c r="B8" s="188"/>
      <c r="C8" s="189"/>
      <c r="D8" s="189"/>
      <c r="E8" s="189"/>
      <c r="F8" s="189"/>
      <c r="G8" s="189"/>
      <c r="H8" s="189"/>
      <c r="I8" s="190"/>
    </row>
    <row r="9" spans="2:9" ht="14.5" thickBot="1">
      <c r="B9" s="206" t="s">
        <v>183</v>
      </c>
      <c r="C9" s="207"/>
      <c r="D9" s="81" t="s">
        <v>190</v>
      </c>
      <c r="E9" s="81" t="s">
        <v>184</v>
      </c>
      <c r="F9" s="81"/>
      <c r="G9" s="81"/>
      <c r="H9" s="81" t="s">
        <v>187</v>
      </c>
      <c r="I9" s="81" t="s">
        <v>188</v>
      </c>
    </row>
    <row r="10" spans="2:9">
      <c r="B10" s="208" t="s">
        <v>191</v>
      </c>
      <c r="C10" s="209"/>
      <c r="D10" s="84" t="s">
        <v>194</v>
      </c>
      <c r="E10" s="76">
        <v>71.150000000000006</v>
      </c>
      <c r="F10" s="76"/>
      <c r="G10" s="76"/>
      <c r="H10" s="76">
        <v>1</v>
      </c>
      <c r="I10" s="76">
        <f>E10*H10</f>
        <v>71.150000000000006</v>
      </c>
    </row>
    <row r="11" spans="2:9">
      <c r="B11" s="204" t="s">
        <v>192</v>
      </c>
      <c r="C11" s="205"/>
      <c r="D11" s="85" t="s">
        <v>193</v>
      </c>
      <c r="E11" s="85">
        <v>103.97</v>
      </c>
      <c r="F11" s="77"/>
      <c r="G11" s="77"/>
      <c r="H11" s="76">
        <v>1</v>
      </c>
      <c r="I11" s="76">
        <f t="shared" ref="I11:I19" si="0">E11*H11</f>
        <v>103.97</v>
      </c>
    </row>
    <row r="12" spans="2:9">
      <c r="B12" s="204" t="s">
        <v>192</v>
      </c>
      <c r="C12" s="205"/>
      <c r="D12" s="85" t="s">
        <v>195</v>
      </c>
      <c r="E12" s="85">
        <v>65.66</v>
      </c>
      <c r="F12" s="77"/>
      <c r="G12" s="77"/>
      <c r="H12" s="76">
        <v>1</v>
      </c>
      <c r="I12" s="76">
        <f t="shared" si="0"/>
        <v>65.66</v>
      </c>
    </row>
    <row r="13" spans="2:9">
      <c r="B13" s="204" t="s">
        <v>196</v>
      </c>
      <c r="C13" s="205"/>
      <c r="D13" s="85" t="s">
        <v>197</v>
      </c>
      <c r="E13" s="85">
        <v>104.35</v>
      </c>
      <c r="F13" s="77"/>
      <c r="G13" s="77"/>
      <c r="H13" s="76">
        <v>1</v>
      </c>
      <c r="I13" s="76">
        <f t="shared" si="0"/>
        <v>104.35</v>
      </c>
    </row>
    <row r="14" spans="2:9">
      <c r="B14" s="204" t="s">
        <v>196</v>
      </c>
      <c r="C14" s="205"/>
      <c r="D14" s="85" t="s">
        <v>198</v>
      </c>
      <c r="E14" s="85">
        <v>65.63</v>
      </c>
      <c r="F14" s="77"/>
      <c r="G14" s="77"/>
      <c r="H14" s="76">
        <v>1</v>
      </c>
      <c r="I14" s="76">
        <f t="shared" si="0"/>
        <v>65.63</v>
      </c>
    </row>
    <row r="15" spans="2:9">
      <c r="B15" s="204" t="s">
        <v>196</v>
      </c>
      <c r="C15" s="205"/>
      <c r="D15" s="85" t="s">
        <v>199</v>
      </c>
      <c r="E15" s="85">
        <v>109.65</v>
      </c>
      <c r="F15" s="77"/>
      <c r="G15" s="77"/>
      <c r="H15" s="76">
        <v>1</v>
      </c>
      <c r="I15" s="76">
        <f t="shared" si="0"/>
        <v>109.65</v>
      </c>
    </row>
    <row r="16" spans="2:9">
      <c r="B16" s="204" t="s">
        <v>200</v>
      </c>
      <c r="C16" s="205"/>
      <c r="D16" s="85" t="s">
        <v>201</v>
      </c>
      <c r="E16" s="85">
        <v>33.479999999999997</v>
      </c>
      <c r="F16" s="77"/>
      <c r="G16" s="77"/>
      <c r="H16" s="76">
        <v>1</v>
      </c>
      <c r="I16" s="76">
        <f t="shared" si="0"/>
        <v>33.479999999999997</v>
      </c>
    </row>
    <row r="17" spans="2:9">
      <c r="B17" s="204" t="s">
        <v>202</v>
      </c>
      <c r="C17" s="205"/>
      <c r="D17" s="85" t="s">
        <v>203</v>
      </c>
      <c r="E17" s="85">
        <v>52.25</v>
      </c>
      <c r="F17" s="77"/>
      <c r="G17" s="77"/>
      <c r="H17" s="76">
        <v>1</v>
      </c>
      <c r="I17" s="76">
        <f t="shared" si="0"/>
        <v>52.25</v>
      </c>
    </row>
    <row r="18" spans="2:9">
      <c r="B18" s="204" t="s">
        <v>204</v>
      </c>
      <c r="C18" s="205"/>
      <c r="D18" s="85" t="s">
        <v>205</v>
      </c>
      <c r="E18" s="85">
        <v>46.56</v>
      </c>
      <c r="F18" s="77"/>
      <c r="G18" s="77"/>
      <c r="H18" s="76">
        <v>1</v>
      </c>
      <c r="I18" s="76">
        <f t="shared" si="0"/>
        <v>46.56</v>
      </c>
    </row>
    <row r="19" spans="2:9" ht="14.5" thickBot="1">
      <c r="B19" s="204" t="s">
        <v>206</v>
      </c>
      <c r="C19" s="205"/>
      <c r="D19" s="86" t="s">
        <v>207</v>
      </c>
      <c r="E19" s="87">
        <v>6</v>
      </c>
      <c r="F19" s="78"/>
      <c r="G19" s="78"/>
      <c r="H19" s="87">
        <v>75</v>
      </c>
      <c r="I19" s="76">
        <f t="shared" si="0"/>
        <v>450</v>
      </c>
    </row>
    <row r="20" spans="2:9" ht="14.5" thickBot="1">
      <c r="B20" s="170"/>
      <c r="C20" s="171"/>
      <c r="D20" s="171"/>
      <c r="E20" s="171"/>
      <c r="F20" s="172"/>
      <c r="G20" s="206" t="s">
        <v>189</v>
      </c>
      <c r="H20" s="207"/>
      <c r="I20" s="82">
        <f>ROUND(SUM(I10:I19),2)</f>
        <v>1102.7</v>
      </c>
    </row>
    <row r="24" spans="2:9" ht="14.5" thickBot="1"/>
    <row r="25" spans="2:9" ht="14.5" thickBot="1">
      <c r="B25" s="179" t="s">
        <v>181</v>
      </c>
      <c r="C25" s="203"/>
      <c r="D25" s="180"/>
      <c r="E25" s="180"/>
      <c r="F25" s="180"/>
      <c r="G25" s="180"/>
      <c r="H25" s="180"/>
      <c r="I25" s="181"/>
    </row>
    <row r="26" spans="2:9" ht="14.5" thickBot="1">
      <c r="B26" s="179"/>
      <c r="C26" s="203"/>
      <c r="D26" s="180"/>
      <c r="E26" s="180"/>
      <c r="F26" s="180"/>
      <c r="G26" s="180"/>
      <c r="H26" s="180"/>
      <c r="I26" s="181"/>
    </row>
    <row r="27" spans="2:9" ht="14.5" thickBot="1">
      <c r="B27" s="191"/>
      <c r="C27" s="192"/>
      <c r="D27" s="192"/>
      <c r="E27" s="192"/>
      <c r="F27" s="192"/>
      <c r="G27" s="192"/>
      <c r="H27" s="192"/>
      <c r="I27" s="193"/>
    </row>
    <row r="28" spans="2:9">
      <c r="B28" s="79" t="s">
        <v>115</v>
      </c>
      <c r="C28" s="194" t="s">
        <v>4</v>
      </c>
      <c r="D28" s="195"/>
      <c r="E28" s="195"/>
      <c r="F28" s="195"/>
      <c r="G28" s="195"/>
      <c r="H28" s="195"/>
      <c r="I28" s="196"/>
    </row>
    <row r="29" spans="2:9">
      <c r="B29" s="79" t="s">
        <v>182</v>
      </c>
      <c r="C29" s="197" t="s">
        <v>5</v>
      </c>
      <c r="D29" s="198"/>
      <c r="E29" s="198"/>
      <c r="F29" s="198"/>
      <c r="G29" s="198"/>
      <c r="H29" s="198"/>
      <c r="I29" s="199"/>
    </row>
    <row r="30" spans="2:9" ht="14.5" thickBot="1">
      <c r="B30" s="80" t="s">
        <v>116</v>
      </c>
      <c r="C30" s="200" t="s">
        <v>144</v>
      </c>
      <c r="D30" s="201"/>
      <c r="E30" s="201"/>
      <c r="F30" s="201"/>
      <c r="G30" s="201"/>
      <c r="H30" s="201"/>
      <c r="I30" s="202"/>
    </row>
    <row r="31" spans="2:9" ht="14.5" thickBot="1">
      <c r="B31" s="188"/>
      <c r="C31" s="189"/>
      <c r="D31" s="189"/>
      <c r="E31" s="189"/>
      <c r="F31" s="189"/>
      <c r="G31" s="189"/>
      <c r="H31" s="189"/>
      <c r="I31" s="190"/>
    </row>
    <row r="32" spans="2:9" ht="14.5" thickBot="1">
      <c r="B32" s="206" t="s">
        <v>183</v>
      </c>
      <c r="C32" s="207"/>
      <c r="D32" s="81" t="s">
        <v>190</v>
      </c>
      <c r="E32" s="81" t="s">
        <v>208</v>
      </c>
      <c r="F32" s="81"/>
      <c r="G32" s="81"/>
      <c r="H32" s="81" t="s">
        <v>187</v>
      </c>
      <c r="I32" s="81" t="s">
        <v>188</v>
      </c>
    </row>
    <row r="33" spans="2:9">
      <c r="B33" s="208" t="s">
        <v>191</v>
      </c>
      <c r="C33" s="209"/>
      <c r="D33" s="84" t="s">
        <v>194</v>
      </c>
      <c r="E33" s="76">
        <v>114.25971599999819</v>
      </c>
      <c r="F33" s="76"/>
      <c r="G33" s="76"/>
      <c r="H33" s="76">
        <v>1</v>
      </c>
      <c r="I33" s="76">
        <f>E33*H33</f>
        <v>114.25971599999819</v>
      </c>
    </row>
    <row r="34" spans="2:9">
      <c r="B34" s="204" t="s">
        <v>192</v>
      </c>
      <c r="C34" s="205"/>
      <c r="D34" s="85" t="s">
        <v>193</v>
      </c>
      <c r="E34" s="88">
        <v>135.53830430399807</v>
      </c>
      <c r="F34" s="77"/>
      <c r="G34" s="77"/>
      <c r="H34" s="76">
        <v>1</v>
      </c>
      <c r="I34" s="76">
        <f t="shared" ref="I34:I42" si="1">E34*H34</f>
        <v>135.53830430399807</v>
      </c>
    </row>
    <row r="35" spans="2:9">
      <c r="B35" s="204" t="s">
        <v>192</v>
      </c>
      <c r="C35" s="205"/>
      <c r="D35" s="85" t="s">
        <v>195</v>
      </c>
      <c r="E35" s="88">
        <v>72.715100735999314</v>
      </c>
      <c r="F35" s="77"/>
      <c r="G35" s="77"/>
      <c r="H35" s="76">
        <v>1</v>
      </c>
      <c r="I35" s="76">
        <f t="shared" si="1"/>
        <v>72.715100735999314</v>
      </c>
    </row>
    <row r="36" spans="2:9">
      <c r="B36" s="204" t="s">
        <v>196</v>
      </c>
      <c r="C36" s="205"/>
      <c r="D36" s="85" t="s">
        <v>197</v>
      </c>
      <c r="E36" s="88">
        <v>132.82201809600838</v>
      </c>
      <c r="F36" s="77"/>
      <c r="G36" s="77"/>
      <c r="H36" s="76">
        <v>1</v>
      </c>
      <c r="I36" s="76">
        <f t="shared" si="1"/>
        <v>132.82201809600838</v>
      </c>
    </row>
    <row r="37" spans="2:9">
      <c r="B37" s="204" t="s">
        <v>196</v>
      </c>
      <c r="C37" s="205"/>
      <c r="D37" s="85" t="s">
        <v>198</v>
      </c>
      <c r="E37" s="88">
        <v>83.958790604003127</v>
      </c>
      <c r="F37" s="77"/>
      <c r="G37" s="77"/>
      <c r="H37" s="76">
        <v>1</v>
      </c>
      <c r="I37" s="76">
        <f t="shared" si="1"/>
        <v>83.958790604003127</v>
      </c>
    </row>
    <row r="38" spans="2:9">
      <c r="B38" s="204" t="s">
        <v>196</v>
      </c>
      <c r="C38" s="205"/>
      <c r="D38" s="85" t="s">
        <v>199</v>
      </c>
      <c r="E38" s="88">
        <v>206.15937710001043</v>
      </c>
      <c r="F38" s="77"/>
      <c r="G38" s="77"/>
      <c r="H38" s="76">
        <v>1</v>
      </c>
      <c r="I38" s="76">
        <f t="shared" si="1"/>
        <v>206.15937710001043</v>
      </c>
    </row>
    <row r="39" spans="2:9">
      <c r="B39" s="204" t="s">
        <v>200</v>
      </c>
      <c r="C39" s="205"/>
      <c r="D39" s="85" t="s">
        <v>201</v>
      </c>
      <c r="E39" s="88">
        <v>42.527110707999682</v>
      </c>
      <c r="F39" s="77"/>
      <c r="G39" s="77"/>
      <c r="H39" s="76">
        <v>1</v>
      </c>
      <c r="I39" s="76">
        <f t="shared" si="1"/>
        <v>42.527110707999682</v>
      </c>
    </row>
    <row r="40" spans="2:9">
      <c r="B40" s="204" t="s">
        <v>202</v>
      </c>
      <c r="C40" s="205"/>
      <c r="D40" s="85" t="s">
        <v>203</v>
      </c>
      <c r="E40" s="88">
        <v>60.509813503998103</v>
      </c>
      <c r="F40" s="77"/>
      <c r="G40" s="77"/>
      <c r="H40" s="76">
        <v>1</v>
      </c>
      <c r="I40" s="76">
        <f t="shared" si="1"/>
        <v>60.509813503998103</v>
      </c>
    </row>
    <row r="41" spans="2:9">
      <c r="B41" s="204" t="s">
        <v>204</v>
      </c>
      <c r="C41" s="205"/>
      <c r="D41" s="85" t="s">
        <v>205</v>
      </c>
      <c r="E41" s="88">
        <v>32.62792780800018</v>
      </c>
      <c r="F41" s="77"/>
      <c r="G41" s="77"/>
      <c r="H41" s="76">
        <v>1</v>
      </c>
      <c r="I41" s="76">
        <f t="shared" si="1"/>
        <v>32.62792780800018</v>
      </c>
    </row>
    <row r="42" spans="2:9" ht="14.5" thickBot="1">
      <c r="B42" s="204" t="s">
        <v>206</v>
      </c>
      <c r="C42" s="205"/>
      <c r="D42" s="86" t="s">
        <v>207</v>
      </c>
      <c r="E42" s="87">
        <v>324.45650901214486</v>
      </c>
      <c r="F42" s="78"/>
      <c r="G42" s="78"/>
      <c r="H42" s="87">
        <v>1</v>
      </c>
      <c r="I42" s="76">
        <f t="shared" si="1"/>
        <v>324.45650901214486</v>
      </c>
    </row>
    <row r="43" spans="2:9" ht="14.5" thickBot="1">
      <c r="B43" s="170"/>
      <c r="C43" s="171"/>
      <c r="D43" s="171"/>
      <c r="E43" s="171"/>
      <c r="F43" s="172"/>
      <c r="G43" s="206" t="s">
        <v>189</v>
      </c>
      <c r="H43" s="207"/>
      <c r="I43" s="82">
        <f>ROUND(SUM(I33:I42),2)</f>
        <v>1205.57</v>
      </c>
    </row>
    <row r="47" spans="2:9" ht="14.5" thickBot="1"/>
    <row r="48" spans="2:9" ht="14.5" thickBot="1">
      <c r="B48" s="179" t="s">
        <v>181</v>
      </c>
      <c r="C48" s="203"/>
      <c r="D48" s="180"/>
      <c r="E48" s="180"/>
      <c r="F48" s="180"/>
      <c r="G48" s="180"/>
      <c r="H48" s="180"/>
      <c r="I48" s="181"/>
    </row>
    <row r="49" spans="2:9" ht="14.5" thickBot="1">
      <c r="B49" s="179"/>
      <c r="C49" s="203"/>
      <c r="D49" s="180"/>
      <c r="E49" s="180"/>
      <c r="F49" s="180"/>
      <c r="G49" s="180"/>
      <c r="H49" s="180"/>
      <c r="I49" s="181"/>
    </row>
    <row r="50" spans="2:9" ht="14.5" thickBot="1">
      <c r="B50" s="191"/>
      <c r="C50" s="192"/>
      <c r="D50" s="192"/>
      <c r="E50" s="192"/>
      <c r="F50" s="192"/>
      <c r="G50" s="192"/>
      <c r="H50" s="192"/>
      <c r="I50" s="193"/>
    </row>
    <row r="51" spans="2:9">
      <c r="B51" s="79" t="s">
        <v>115</v>
      </c>
      <c r="C51" s="194" t="s">
        <v>6</v>
      </c>
      <c r="D51" s="195"/>
      <c r="E51" s="195"/>
      <c r="F51" s="195"/>
      <c r="G51" s="195"/>
      <c r="H51" s="195"/>
      <c r="I51" s="196"/>
    </row>
    <row r="52" spans="2:9" ht="28.9" customHeight="1">
      <c r="B52" s="89" t="s">
        <v>182</v>
      </c>
      <c r="C52" s="210" t="s">
        <v>7</v>
      </c>
      <c r="D52" s="211"/>
      <c r="E52" s="211"/>
      <c r="F52" s="211"/>
      <c r="G52" s="211"/>
      <c r="H52" s="211"/>
      <c r="I52" s="212"/>
    </row>
    <row r="53" spans="2:9" ht="14.5" thickBot="1">
      <c r="B53" s="80" t="s">
        <v>116</v>
      </c>
      <c r="C53" s="200" t="s">
        <v>148</v>
      </c>
      <c r="D53" s="201"/>
      <c r="E53" s="201"/>
      <c r="F53" s="201"/>
      <c r="G53" s="201"/>
      <c r="H53" s="201"/>
      <c r="I53" s="202"/>
    </row>
    <row r="54" spans="2:9" ht="14.5" thickBot="1">
      <c r="B54" s="188"/>
      <c r="C54" s="189"/>
      <c r="D54" s="189"/>
      <c r="E54" s="189"/>
      <c r="F54" s="189"/>
      <c r="G54" s="189"/>
      <c r="H54" s="189"/>
      <c r="I54" s="190"/>
    </row>
    <row r="55" spans="2:9" ht="14.5" thickBot="1">
      <c r="B55" s="206" t="s">
        <v>183</v>
      </c>
      <c r="C55" s="207"/>
      <c r="D55" s="81" t="s">
        <v>190</v>
      </c>
      <c r="E55" s="81" t="s">
        <v>209</v>
      </c>
      <c r="F55" s="81" t="s">
        <v>185</v>
      </c>
      <c r="G55" s="81" t="s">
        <v>186</v>
      </c>
      <c r="H55" s="81" t="s">
        <v>187</v>
      </c>
      <c r="I55" s="81" t="s">
        <v>188</v>
      </c>
    </row>
    <row r="56" spans="2:9">
      <c r="B56" s="208" t="s">
        <v>191</v>
      </c>
      <c r="C56" s="209"/>
      <c r="D56" s="84" t="s">
        <v>194</v>
      </c>
      <c r="E56" s="76">
        <v>174.05979714285388</v>
      </c>
      <c r="F56" s="76"/>
      <c r="G56" s="76"/>
      <c r="H56" s="76">
        <v>1</v>
      </c>
      <c r="I56" s="76">
        <f>E56*H56</f>
        <v>174.05979714285388</v>
      </c>
    </row>
    <row r="57" spans="2:9">
      <c r="B57" s="204" t="s">
        <v>196</v>
      </c>
      <c r="C57" s="205"/>
      <c r="D57" s="85" t="s">
        <v>199</v>
      </c>
      <c r="E57" s="88">
        <v>170.36</v>
      </c>
      <c r="F57" s="77"/>
      <c r="G57" s="77"/>
      <c r="H57" s="76">
        <v>1</v>
      </c>
      <c r="I57" s="76">
        <f t="shared" ref="I57:I58" si="2">E57*H57</f>
        <v>170.36</v>
      </c>
    </row>
    <row r="58" spans="2:9">
      <c r="B58" s="204" t="s">
        <v>196</v>
      </c>
      <c r="C58" s="205"/>
      <c r="D58" s="85" t="s">
        <v>198</v>
      </c>
      <c r="E58" s="88">
        <v>81</v>
      </c>
      <c r="F58" s="77"/>
      <c r="G58" s="77"/>
      <c r="H58" s="76">
        <v>1</v>
      </c>
      <c r="I58" s="76">
        <f t="shared" si="2"/>
        <v>81</v>
      </c>
    </row>
    <row r="59" spans="2:9">
      <c r="B59" s="204"/>
      <c r="C59" s="205"/>
      <c r="D59" s="85"/>
      <c r="E59" s="88"/>
      <c r="F59" s="77"/>
      <c r="G59" s="77"/>
      <c r="H59" s="76"/>
      <c r="I59" s="76"/>
    </row>
    <row r="60" spans="2:9">
      <c r="B60" s="204"/>
      <c r="C60" s="205"/>
      <c r="D60" s="85"/>
      <c r="E60" s="88"/>
      <c r="F60" s="77"/>
      <c r="G60" s="77"/>
      <c r="H60" s="76"/>
      <c r="I60" s="76"/>
    </row>
    <row r="61" spans="2:9">
      <c r="B61" s="204"/>
      <c r="C61" s="205"/>
      <c r="D61" s="85"/>
      <c r="E61" s="88"/>
      <c r="F61" s="77"/>
      <c r="G61" s="77"/>
      <c r="H61" s="76"/>
      <c r="I61" s="76"/>
    </row>
    <row r="62" spans="2:9">
      <c r="B62" s="204"/>
      <c r="C62" s="205"/>
      <c r="D62" s="85"/>
      <c r="E62" s="88"/>
      <c r="F62" s="77"/>
      <c r="G62" s="77"/>
      <c r="H62" s="76"/>
      <c r="I62" s="76"/>
    </row>
    <row r="63" spans="2:9">
      <c r="B63" s="204"/>
      <c r="C63" s="205"/>
      <c r="D63" s="85"/>
      <c r="E63" s="88"/>
      <c r="F63" s="77"/>
      <c r="G63" s="77"/>
      <c r="H63" s="76"/>
      <c r="I63" s="76"/>
    </row>
    <row r="64" spans="2:9">
      <c r="B64" s="204"/>
      <c r="C64" s="205"/>
      <c r="D64" s="85"/>
      <c r="E64" s="88"/>
      <c r="F64" s="77"/>
      <c r="G64" s="77"/>
      <c r="H64" s="76"/>
      <c r="I64" s="76"/>
    </row>
    <row r="65" spans="2:9" ht="14.5" thickBot="1">
      <c r="B65" s="204"/>
      <c r="C65" s="205"/>
      <c r="D65" s="86"/>
      <c r="E65" s="87"/>
      <c r="F65" s="78"/>
      <c r="G65" s="78"/>
      <c r="H65" s="87"/>
      <c r="I65" s="76"/>
    </row>
    <row r="66" spans="2:9" ht="14.5" thickBot="1">
      <c r="B66" s="170"/>
      <c r="C66" s="171"/>
      <c r="D66" s="171"/>
      <c r="E66" s="171"/>
      <c r="F66" s="172"/>
      <c r="G66" s="206" t="s">
        <v>189</v>
      </c>
      <c r="H66" s="207"/>
      <c r="I66" s="82">
        <f>ROUND(SUM(I56:I65),2)</f>
        <v>425.42</v>
      </c>
    </row>
    <row r="70" spans="2:9" ht="14.5" thickBot="1"/>
    <row r="71" spans="2:9" ht="14.5" thickBot="1">
      <c r="B71" s="179" t="s">
        <v>181</v>
      </c>
      <c r="C71" s="203"/>
      <c r="D71" s="180"/>
      <c r="E71" s="180"/>
      <c r="F71" s="180"/>
      <c r="G71" s="180"/>
      <c r="H71" s="180"/>
      <c r="I71" s="181"/>
    </row>
    <row r="72" spans="2:9" ht="14.5" thickBot="1">
      <c r="B72" s="179"/>
      <c r="C72" s="203"/>
      <c r="D72" s="180"/>
      <c r="E72" s="180"/>
      <c r="F72" s="180"/>
      <c r="G72" s="180"/>
      <c r="H72" s="180"/>
      <c r="I72" s="181"/>
    </row>
    <row r="73" spans="2:9" ht="14.5" thickBot="1">
      <c r="B73" s="191"/>
      <c r="C73" s="192"/>
      <c r="D73" s="192"/>
      <c r="E73" s="192"/>
      <c r="F73" s="192"/>
      <c r="G73" s="192"/>
      <c r="H73" s="192"/>
      <c r="I73" s="193"/>
    </row>
    <row r="74" spans="2:9">
      <c r="B74" s="79" t="s">
        <v>115</v>
      </c>
      <c r="C74" s="194" t="s">
        <v>8</v>
      </c>
      <c r="D74" s="195"/>
      <c r="E74" s="195"/>
      <c r="F74" s="195"/>
      <c r="G74" s="195"/>
      <c r="H74" s="195"/>
      <c r="I74" s="196"/>
    </row>
    <row r="75" spans="2:9">
      <c r="B75" s="79" t="s">
        <v>182</v>
      </c>
      <c r="C75" s="197" t="s">
        <v>22</v>
      </c>
      <c r="D75" s="198"/>
      <c r="E75" s="198"/>
      <c r="F75" s="198"/>
      <c r="G75" s="198"/>
      <c r="H75" s="198"/>
      <c r="I75" s="199"/>
    </row>
    <row r="76" spans="2:9" ht="14.5" thickBot="1">
      <c r="B76" s="80" t="s">
        <v>116</v>
      </c>
      <c r="C76" s="200" t="s">
        <v>144</v>
      </c>
      <c r="D76" s="201"/>
      <c r="E76" s="201"/>
      <c r="F76" s="201"/>
      <c r="G76" s="201"/>
      <c r="H76" s="201"/>
      <c r="I76" s="202"/>
    </row>
    <row r="77" spans="2:9" ht="14.5" thickBot="1">
      <c r="B77" s="188"/>
      <c r="C77" s="189"/>
      <c r="D77" s="189"/>
      <c r="E77" s="189"/>
      <c r="F77" s="189"/>
      <c r="G77" s="189"/>
      <c r="H77" s="189"/>
      <c r="I77" s="190"/>
    </row>
    <row r="78" spans="2:9" ht="14.5" thickBot="1">
      <c r="B78" s="206" t="s">
        <v>183</v>
      </c>
      <c r="C78" s="207"/>
      <c r="D78" s="81" t="s">
        <v>190</v>
      </c>
      <c r="E78" s="81" t="s">
        <v>184</v>
      </c>
      <c r="F78" s="81" t="s">
        <v>185</v>
      </c>
      <c r="G78" s="81" t="s">
        <v>186</v>
      </c>
      <c r="H78" s="81" t="s">
        <v>187</v>
      </c>
      <c r="I78" s="81" t="s">
        <v>188</v>
      </c>
    </row>
    <row r="79" spans="2:9">
      <c r="B79" s="208" t="s">
        <v>191</v>
      </c>
      <c r="C79" s="209"/>
      <c r="D79" s="84" t="s">
        <v>194</v>
      </c>
      <c r="E79" s="76">
        <v>71.150000000000006</v>
      </c>
      <c r="F79" s="76">
        <v>0.8</v>
      </c>
      <c r="G79" s="76">
        <v>0.1</v>
      </c>
      <c r="H79" s="76">
        <v>1</v>
      </c>
      <c r="I79" s="76">
        <f>E79*F79*G79*H79</f>
        <v>5.6920000000000011</v>
      </c>
    </row>
    <row r="80" spans="2:9">
      <c r="B80" s="204" t="s">
        <v>192</v>
      </c>
      <c r="C80" s="205"/>
      <c r="D80" s="85" t="s">
        <v>193</v>
      </c>
      <c r="E80" s="88">
        <v>103.97</v>
      </c>
      <c r="F80" s="76">
        <v>0.8</v>
      </c>
      <c r="G80" s="76">
        <v>0.1</v>
      </c>
      <c r="H80" s="76">
        <v>1</v>
      </c>
      <c r="I80" s="76">
        <f t="shared" ref="I80:I88" si="3">E80*F80*G80*H80</f>
        <v>8.3176000000000005</v>
      </c>
    </row>
    <row r="81" spans="2:9">
      <c r="B81" s="204" t="s">
        <v>192</v>
      </c>
      <c r="C81" s="205"/>
      <c r="D81" s="85" t="s">
        <v>195</v>
      </c>
      <c r="E81" s="88">
        <v>65.66</v>
      </c>
      <c r="F81" s="76">
        <v>0.8</v>
      </c>
      <c r="G81" s="76">
        <v>0.1</v>
      </c>
      <c r="H81" s="76">
        <v>1</v>
      </c>
      <c r="I81" s="76">
        <f t="shared" si="3"/>
        <v>5.2528000000000006</v>
      </c>
    </row>
    <row r="82" spans="2:9">
      <c r="B82" s="204" t="s">
        <v>196</v>
      </c>
      <c r="C82" s="205"/>
      <c r="D82" s="85" t="s">
        <v>197</v>
      </c>
      <c r="E82" s="88">
        <v>104.35</v>
      </c>
      <c r="F82" s="76">
        <v>0.8</v>
      </c>
      <c r="G82" s="76">
        <v>0.1</v>
      </c>
      <c r="H82" s="76">
        <v>1</v>
      </c>
      <c r="I82" s="76">
        <f t="shared" si="3"/>
        <v>8.3480000000000008</v>
      </c>
    </row>
    <row r="83" spans="2:9">
      <c r="B83" s="204" t="s">
        <v>196</v>
      </c>
      <c r="C83" s="205"/>
      <c r="D83" s="85" t="s">
        <v>198</v>
      </c>
      <c r="E83" s="88">
        <v>65.63</v>
      </c>
      <c r="F83" s="76">
        <v>0.8</v>
      </c>
      <c r="G83" s="76">
        <v>0.1</v>
      </c>
      <c r="H83" s="76">
        <v>1</v>
      </c>
      <c r="I83" s="76">
        <f t="shared" si="3"/>
        <v>5.2504</v>
      </c>
    </row>
    <row r="84" spans="2:9">
      <c r="B84" s="204" t="s">
        <v>196</v>
      </c>
      <c r="C84" s="205"/>
      <c r="D84" s="85" t="s">
        <v>199</v>
      </c>
      <c r="E84" s="88">
        <v>109.65</v>
      </c>
      <c r="F84" s="76">
        <v>0.8</v>
      </c>
      <c r="G84" s="76">
        <v>0.1</v>
      </c>
      <c r="H84" s="76">
        <v>1</v>
      </c>
      <c r="I84" s="76">
        <f t="shared" si="3"/>
        <v>8.772000000000002</v>
      </c>
    </row>
    <row r="85" spans="2:9">
      <c r="B85" s="204" t="s">
        <v>200</v>
      </c>
      <c r="C85" s="205"/>
      <c r="D85" s="85" t="s">
        <v>201</v>
      </c>
      <c r="E85" s="88">
        <v>33.479999999999997</v>
      </c>
      <c r="F85" s="76">
        <v>0.8</v>
      </c>
      <c r="G85" s="76">
        <v>0.1</v>
      </c>
      <c r="H85" s="76">
        <v>1</v>
      </c>
      <c r="I85" s="76">
        <f t="shared" si="3"/>
        <v>2.6783999999999999</v>
      </c>
    </row>
    <row r="86" spans="2:9">
      <c r="B86" s="204" t="s">
        <v>202</v>
      </c>
      <c r="C86" s="205"/>
      <c r="D86" s="85" t="s">
        <v>203</v>
      </c>
      <c r="E86" s="88">
        <v>52.25</v>
      </c>
      <c r="F86" s="76">
        <v>0.8</v>
      </c>
      <c r="G86" s="76">
        <v>0.1</v>
      </c>
      <c r="H86" s="76">
        <v>1</v>
      </c>
      <c r="I86" s="76">
        <f t="shared" si="3"/>
        <v>4.1800000000000006</v>
      </c>
    </row>
    <row r="87" spans="2:9">
      <c r="B87" s="204" t="s">
        <v>204</v>
      </c>
      <c r="C87" s="205"/>
      <c r="D87" s="85" t="s">
        <v>205</v>
      </c>
      <c r="E87" s="88">
        <v>46.56</v>
      </c>
      <c r="F87" s="76">
        <v>0.8</v>
      </c>
      <c r="G87" s="76">
        <v>0.1</v>
      </c>
      <c r="H87" s="76">
        <v>1</v>
      </c>
      <c r="I87" s="76">
        <f t="shared" si="3"/>
        <v>3.7248000000000006</v>
      </c>
    </row>
    <row r="88" spans="2:9" ht="14.5" thickBot="1">
      <c r="B88" s="204" t="s">
        <v>206</v>
      </c>
      <c r="C88" s="205"/>
      <c r="D88" s="86" t="s">
        <v>207</v>
      </c>
      <c r="E88" s="87">
        <v>6</v>
      </c>
      <c r="F88" s="76">
        <v>0.6</v>
      </c>
      <c r="G88" s="76">
        <v>0.1</v>
      </c>
      <c r="H88" s="87">
        <v>75</v>
      </c>
      <c r="I88" s="76">
        <f t="shared" si="3"/>
        <v>27</v>
      </c>
    </row>
    <row r="89" spans="2:9" ht="14.5" thickBot="1">
      <c r="B89" s="170"/>
      <c r="C89" s="171"/>
      <c r="D89" s="171"/>
      <c r="E89" s="171"/>
      <c r="F89" s="172"/>
      <c r="G89" s="206" t="s">
        <v>189</v>
      </c>
      <c r="H89" s="207"/>
      <c r="I89" s="82">
        <f>ROUND(SUM(I79:I88),2)</f>
        <v>79.22</v>
      </c>
    </row>
    <row r="93" spans="2:9" ht="14.5" thickBot="1"/>
    <row r="94" spans="2:9" ht="14.5" thickBot="1">
      <c r="B94" s="179" t="s">
        <v>181</v>
      </c>
      <c r="C94" s="203"/>
      <c r="D94" s="180"/>
      <c r="E94" s="180"/>
      <c r="F94" s="180"/>
      <c r="G94" s="180"/>
      <c r="H94" s="180"/>
      <c r="I94" s="181"/>
    </row>
    <row r="95" spans="2:9" ht="14.5" thickBot="1">
      <c r="B95" s="179"/>
      <c r="C95" s="203"/>
      <c r="D95" s="180"/>
      <c r="E95" s="180"/>
      <c r="F95" s="180"/>
      <c r="G95" s="180"/>
      <c r="H95" s="180"/>
      <c r="I95" s="181"/>
    </row>
    <row r="96" spans="2:9" ht="14.5" thickBot="1">
      <c r="B96" s="191"/>
      <c r="C96" s="192"/>
      <c r="D96" s="192"/>
      <c r="E96" s="192"/>
      <c r="F96" s="192"/>
      <c r="G96" s="192"/>
      <c r="H96" s="192"/>
      <c r="I96" s="193"/>
    </row>
    <row r="97" spans="2:9">
      <c r="B97" s="79" t="s">
        <v>115</v>
      </c>
      <c r="C97" s="194" t="s">
        <v>9</v>
      </c>
      <c r="D97" s="195"/>
      <c r="E97" s="195"/>
      <c r="F97" s="195"/>
      <c r="G97" s="195"/>
      <c r="H97" s="195"/>
      <c r="I97" s="196"/>
    </row>
    <row r="98" spans="2:9" ht="29.5" customHeight="1">
      <c r="B98" s="83" t="s">
        <v>182</v>
      </c>
      <c r="C98" s="210" t="s">
        <v>10</v>
      </c>
      <c r="D98" s="211"/>
      <c r="E98" s="211"/>
      <c r="F98" s="211"/>
      <c r="G98" s="211"/>
      <c r="H98" s="211"/>
      <c r="I98" s="212"/>
    </row>
    <row r="99" spans="2:9" ht="14.5" thickBot="1">
      <c r="B99" s="80" t="s">
        <v>116</v>
      </c>
      <c r="C99" s="200" t="s">
        <v>144</v>
      </c>
      <c r="D99" s="201"/>
      <c r="E99" s="201"/>
      <c r="F99" s="201"/>
      <c r="G99" s="201"/>
      <c r="H99" s="201"/>
      <c r="I99" s="202"/>
    </row>
    <row r="100" spans="2:9" ht="14.5" thickBot="1">
      <c r="B100" s="188"/>
      <c r="C100" s="189"/>
      <c r="D100" s="189"/>
      <c r="E100" s="189"/>
      <c r="F100" s="189"/>
      <c r="G100" s="189"/>
      <c r="H100" s="189"/>
      <c r="I100" s="190"/>
    </row>
    <row r="101" spans="2:9" ht="14.5" thickBot="1">
      <c r="B101" s="206" t="s">
        <v>183</v>
      </c>
      <c r="C101" s="207"/>
      <c r="D101" s="81" t="s">
        <v>190</v>
      </c>
      <c r="E101" s="81" t="s">
        <v>208</v>
      </c>
      <c r="F101" s="81" t="s">
        <v>210</v>
      </c>
      <c r="G101" s="81"/>
      <c r="H101" s="81" t="s">
        <v>187</v>
      </c>
      <c r="I101" s="81" t="s">
        <v>188</v>
      </c>
    </row>
    <row r="102" spans="2:9">
      <c r="B102" s="208" t="s">
        <v>191</v>
      </c>
      <c r="C102" s="209"/>
      <c r="D102" s="84" t="s">
        <v>194</v>
      </c>
      <c r="E102" s="76">
        <v>111.7997159999982</v>
      </c>
      <c r="F102" s="76">
        <v>0.8</v>
      </c>
      <c r="G102" s="76"/>
      <c r="H102" s="76">
        <v>1</v>
      </c>
      <c r="I102" s="76">
        <f>E102*F102*H102</f>
        <v>89.439772799998565</v>
      </c>
    </row>
    <row r="103" spans="2:9">
      <c r="B103" s="204" t="s">
        <v>192</v>
      </c>
      <c r="C103" s="205"/>
      <c r="D103" s="85" t="s">
        <v>193</v>
      </c>
      <c r="E103" s="88">
        <v>133.07830430399807</v>
      </c>
      <c r="F103" s="76">
        <v>0.8</v>
      </c>
      <c r="G103" s="77"/>
      <c r="H103" s="76">
        <v>1</v>
      </c>
      <c r="I103" s="76">
        <f t="shared" ref="I103:I111" si="4">E103*F103*H103</f>
        <v>106.46264344319846</v>
      </c>
    </row>
    <row r="104" spans="2:9">
      <c r="B104" s="204" t="s">
        <v>192</v>
      </c>
      <c r="C104" s="205"/>
      <c r="D104" s="85" t="s">
        <v>195</v>
      </c>
      <c r="E104" s="88">
        <v>70.255100735999321</v>
      </c>
      <c r="F104" s="76">
        <v>0.8</v>
      </c>
      <c r="G104" s="77"/>
      <c r="H104" s="76">
        <v>1</v>
      </c>
      <c r="I104" s="76">
        <f t="shared" si="4"/>
        <v>56.204080588799457</v>
      </c>
    </row>
    <row r="105" spans="2:9">
      <c r="B105" s="204" t="s">
        <v>196</v>
      </c>
      <c r="C105" s="205"/>
      <c r="D105" s="85" t="s">
        <v>197</v>
      </c>
      <c r="E105" s="88">
        <v>130.36201809600837</v>
      </c>
      <c r="F105" s="76">
        <v>0.8</v>
      </c>
      <c r="G105" s="77"/>
      <c r="H105" s="76">
        <v>1</v>
      </c>
      <c r="I105" s="76">
        <f t="shared" si="4"/>
        <v>104.2896144768067</v>
      </c>
    </row>
    <row r="106" spans="2:9">
      <c r="B106" s="204" t="s">
        <v>196</v>
      </c>
      <c r="C106" s="205"/>
      <c r="D106" s="85" t="s">
        <v>198</v>
      </c>
      <c r="E106" s="88">
        <v>81.498790604003133</v>
      </c>
      <c r="F106" s="76">
        <v>0.8</v>
      </c>
      <c r="G106" s="77"/>
      <c r="H106" s="76">
        <v>1</v>
      </c>
      <c r="I106" s="76">
        <f t="shared" si="4"/>
        <v>65.199032483202515</v>
      </c>
    </row>
    <row r="107" spans="2:9">
      <c r="B107" s="204" t="s">
        <v>196</v>
      </c>
      <c r="C107" s="205"/>
      <c r="D107" s="85" t="s">
        <v>199</v>
      </c>
      <c r="E107" s="88">
        <v>203.69937710001042</v>
      </c>
      <c r="F107" s="76">
        <v>0.8</v>
      </c>
      <c r="G107" s="77"/>
      <c r="H107" s="76">
        <v>1</v>
      </c>
      <c r="I107" s="76">
        <f t="shared" si="4"/>
        <v>162.95950168000834</v>
      </c>
    </row>
    <row r="108" spans="2:9">
      <c r="B108" s="204" t="s">
        <v>200</v>
      </c>
      <c r="C108" s="205"/>
      <c r="D108" s="85" t="s">
        <v>201</v>
      </c>
      <c r="E108" s="88">
        <v>42.527110707999682</v>
      </c>
      <c r="F108" s="76">
        <v>0.8</v>
      </c>
      <c r="G108" s="77"/>
      <c r="H108" s="76">
        <v>1</v>
      </c>
      <c r="I108" s="76">
        <f t="shared" si="4"/>
        <v>34.021688566399746</v>
      </c>
    </row>
    <row r="109" spans="2:9">
      <c r="B109" s="204" t="s">
        <v>202</v>
      </c>
      <c r="C109" s="205"/>
      <c r="D109" s="85" t="s">
        <v>203</v>
      </c>
      <c r="E109" s="88">
        <v>60.509813503998103</v>
      </c>
      <c r="F109" s="76">
        <v>0.8</v>
      </c>
      <c r="G109" s="77"/>
      <c r="H109" s="76">
        <v>1</v>
      </c>
      <c r="I109" s="76">
        <f t="shared" si="4"/>
        <v>48.407850803198485</v>
      </c>
    </row>
    <row r="110" spans="2:9">
      <c r="B110" s="204" t="s">
        <v>204</v>
      </c>
      <c r="C110" s="205"/>
      <c r="D110" s="85" t="s">
        <v>205</v>
      </c>
      <c r="E110" s="88">
        <v>30.167927808000179</v>
      </c>
      <c r="F110" s="76">
        <v>0.8</v>
      </c>
      <c r="G110" s="77"/>
      <c r="H110" s="76">
        <v>1</v>
      </c>
      <c r="I110" s="76">
        <f t="shared" si="4"/>
        <v>24.134342246400145</v>
      </c>
    </row>
    <row r="111" spans="2:9" ht="14.5" thickBot="1">
      <c r="B111" s="204" t="s">
        <v>206</v>
      </c>
      <c r="C111" s="205"/>
      <c r="D111" s="86" t="s">
        <v>207</v>
      </c>
      <c r="E111" s="87">
        <v>316.28150901214485</v>
      </c>
      <c r="F111" s="76">
        <v>0.8</v>
      </c>
      <c r="G111" s="78"/>
      <c r="H111" s="87">
        <v>1</v>
      </c>
      <c r="I111" s="76">
        <f t="shared" si="4"/>
        <v>253.02520720971589</v>
      </c>
    </row>
    <row r="112" spans="2:9" ht="14.5" thickBot="1">
      <c r="B112" s="170"/>
      <c r="C112" s="171"/>
      <c r="D112" s="171"/>
      <c r="E112" s="171"/>
      <c r="F112" s="172"/>
      <c r="G112" s="206" t="s">
        <v>189</v>
      </c>
      <c r="H112" s="207"/>
      <c r="I112" s="82">
        <f>ROUND(SUM(I102:I111),2)</f>
        <v>944.14</v>
      </c>
    </row>
    <row r="116" spans="2:9" ht="14.5" thickBot="1"/>
    <row r="117" spans="2:9" ht="14.5" thickBot="1">
      <c r="B117" s="179" t="s">
        <v>181</v>
      </c>
      <c r="C117" s="203"/>
      <c r="D117" s="180"/>
      <c r="E117" s="180"/>
      <c r="F117" s="180"/>
      <c r="G117" s="180"/>
      <c r="H117" s="180"/>
      <c r="I117" s="181"/>
    </row>
    <row r="118" spans="2:9" ht="14.5" thickBot="1">
      <c r="B118" s="179"/>
      <c r="C118" s="203"/>
      <c r="D118" s="180"/>
      <c r="E118" s="180"/>
      <c r="F118" s="180"/>
      <c r="G118" s="180"/>
      <c r="H118" s="180"/>
      <c r="I118" s="181"/>
    </row>
    <row r="119" spans="2:9" ht="14.5" thickBot="1">
      <c r="B119" s="191"/>
      <c r="C119" s="192"/>
      <c r="D119" s="192"/>
      <c r="E119" s="192"/>
      <c r="F119" s="192"/>
      <c r="G119" s="192"/>
      <c r="H119" s="192"/>
      <c r="I119" s="193"/>
    </row>
    <row r="120" spans="2:9">
      <c r="B120" s="79" t="s">
        <v>115</v>
      </c>
      <c r="C120" s="194" t="s">
        <v>11</v>
      </c>
      <c r="D120" s="195"/>
      <c r="E120" s="195"/>
      <c r="F120" s="195"/>
      <c r="G120" s="195"/>
      <c r="H120" s="195"/>
      <c r="I120" s="196"/>
    </row>
    <row r="121" spans="2:9" ht="27.65" customHeight="1">
      <c r="B121" s="89" t="s">
        <v>182</v>
      </c>
      <c r="C121" s="210" t="s">
        <v>12</v>
      </c>
      <c r="D121" s="211"/>
      <c r="E121" s="211"/>
      <c r="F121" s="211"/>
      <c r="G121" s="211"/>
      <c r="H121" s="211"/>
      <c r="I121" s="212"/>
    </row>
    <row r="122" spans="2:9" ht="14.5" thickBot="1">
      <c r="B122" s="80" t="s">
        <v>116</v>
      </c>
      <c r="C122" s="200" t="s">
        <v>144</v>
      </c>
      <c r="D122" s="201"/>
      <c r="E122" s="201"/>
      <c r="F122" s="201"/>
      <c r="G122" s="201"/>
      <c r="H122" s="201"/>
      <c r="I122" s="202"/>
    </row>
    <row r="123" spans="2:9" ht="14.5" thickBot="1">
      <c r="B123" s="188"/>
      <c r="C123" s="189"/>
      <c r="D123" s="189"/>
      <c r="E123" s="189"/>
      <c r="F123" s="189"/>
      <c r="G123" s="189"/>
      <c r="H123" s="189"/>
      <c r="I123" s="190"/>
    </row>
    <row r="124" spans="2:9" ht="14.5" thickBot="1">
      <c r="B124" s="206" t="s">
        <v>183</v>
      </c>
      <c r="C124" s="207"/>
      <c r="D124" s="81" t="s">
        <v>190</v>
      </c>
      <c r="E124" s="81" t="s">
        <v>208</v>
      </c>
      <c r="F124" s="81" t="s">
        <v>210</v>
      </c>
      <c r="G124" s="81"/>
      <c r="H124" s="81" t="s">
        <v>187</v>
      </c>
      <c r="I124" s="81" t="s">
        <v>188</v>
      </c>
    </row>
    <row r="125" spans="2:9">
      <c r="B125" s="208" t="s">
        <v>191</v>
      </c>
      <c r="C125" s="209"/>
      <c r="D125" s="84" t="s">
        <v>194</v>
      </c>
      <c r="E125" s="76">
        <v>111.7997159999982</v>
      </c>
      <c r="F125" s="76">
        <v>0.2</v>
      </c>
      <c r="G125" s="76"/>
      <c r="H125" s="76">
        <v>1</v>
      </c>
      <c r="I125" s="76">
        <f>E125*F125*H125</f>
        <v>22.359943199999641</v>
      </c>
    </row>
    <row r="126" spans="2:9">
      <c r="B126" s="204" t="s">
        <v>192</v>
      </c>
      <c r="C126" s="205"/>
      <c r="D126" s="85" t="s">
        <v>193</v>
      </c>
      <c r="E126" s="88">
        <v>133.07830430399807</v>
      </c>
      <c r="F126" s="76">
        <v>0.2</v>
      </c>
      <c r="G126" s="77"/>
      <c r="H126" s="76">
        <v>1</v>
      </c>
      <c r="I126" s="76">
        <f t="shared" ref="I126:I134" si="5">E126*F126*H126</f>
        <v>26.615660860799615</v>
      </c>
    </row>
    <row r="127" spans="2:9">
      <c r="B127" s="204" t="s">
        <v>192</v>
      </c>
      <c r="C127" s="205"/>
      <c r="D127" s="85" t="s">
        <v>195</v>
      </c>
      <c r="E127" s="88">
        <v>70.255100735999321</v>
      </c>
      <c r="F127" s="76">
        <v>0.2</v>
      </c>
      <c r="G127" s="77"/>
      <c r="H127" s="76">
        <v>1</v>
      </c>
      <c r="I127" s="76">
        <f t="shared" si="5"/>
        <v>14.051020147199864</v>
      </c>
    </row>
    <row r="128" spans="2:9">
      <c r="B128" s="204" t="s">
        <v>196</v>
      </c>
      <c r="C128" s="205"/>
      <c r="D128" s="85" t="s">
        <v>197</v>
      </c>
      <c r="E128" s="88">
        <v>130.36201809600837</v>
      </c>
      <c r="F128" s="76">
        <v>0.2</v>
      </c>
      <c r="G128" s="77"/>
      <c r="H128" s="76">
        <v>1</v>
      </c>
      <c r="I128" s="76">
        <f t="shared" si="5"/>
        <v>26.072403619201676</v>
      </c>
    </row>
    <row r="129" spans="2:9">
      <c r="B129" s="204" t="s">
        <v>196</v>
      </c>
      <c r="C129" s="205"/>
      <c r="D129" s="85" t="s">
        <v>198</v>
      </c>
      <c r="E129" s="88">
        <v>81.498790604003133</v>
      </c>
      <c r="F129" s="76">
        <v>0.2</v>
      </c>
      <c r="G129" s="77"/>
      <c r="H129" s="76">
        <v>1</v>
      </c>
      <c r="I129" s="76">
        <f t="shared" si="5"/>
        <v>16.299758120800629</v>
      </c>
    </row>
    <row r="130" spans="2:9">
      <c r="B130" s="204" t="s">
        <v>196</v>
      </c>
      <c r="C130" s="205"/>
      <c r="D130" s="85" t="s">
        <v>199</v>
      </c>
      <c r="E130" s="88">
        <v>203.69937710001042</v>
      </c>
      <c r="F130" s="76">
        <v>0.2</v>
      </c>
      <c r="G130" s="77"/>
      <c r="H130" s="76">
        <v>1</v>
      </c>
      <c r="I130" s="76">
        <f t="shared" si="5"/>
        <v>40.739875420002086</v>
      </c>
    </row>
    <row r="131" spans="2:9">
      <c r="B131" s="204" t="s">
        <v>200</v>
      </c>
      <c r="C131" s="205"/>
      <c r="D131" s="85" t="s">
        <v>201</v>
      </c>
      <c r="E131" s="88">
        <v>42.527110707999682</v>
      </c>
      <c r="F131" s="76">
        <v>0.2</v>
      </c>
      <c r="G131" s="77"/>
      <c r="H131" s="76">
        <v>1</v>
      </c>
      <c r="I131" s="76">
        <f t="shared" si="5"/>
        <v>8.5054221415999365</v>
      </c>
    </row>
    <row r="132" spans="2:9">
      <c r="B132" s="204" t="s">
        <v>202</v>
      </c>
      <c r="C132" s="205"/>
      <c r="D132" s="85" t="s">
        <v>203</v>
      </c>
      <c r="E132" s="88">
        <v>60.509813503998103</v>
      </c>
      <c r="F132" s="76">
        <v>0.2</v>
      </c>
      <c r="G132" s="77"/>
      <c r="H132" s="76">
        <v>1</v>
      </c>
      <c r="I132" s="76">
        <f t="shared" si="5"/>
        <v>12.101962700799621</v>
      </c>
    </row>
    <row r="133" spans="2:9">
      <c r="B133" s="204" t="s">
        <v>204</v>
      </c>
      <c r="C133" s="205"/>
      <c r="D133" s="85" t="s">
        <v>205</v>
      </c>
      <c r="E133" s="88">
        <v>30.167927808000179</v>
      </c>
      <c r="F133" s="76">
        <v>0.2</v>
      </c>
      <c r="G133" s="77"/>
      <c r="H133" s="76">
        <v>1</v>
      </c>
      <c r="I133" s="76">
        <f t="shared" si="5"/>
        <v>6.0335855616000362</v>
      </c>
    </row>
    <row r="134" spans="2:9" ht="14.5" thickBot="1">
      <c r="B134" s="204" t="s">
        <v>206</v>
      </c>
      <c r="C134" s="205"/>
      <c r="D134" s="86" t="s">
        <v>207</v>
      </c>
      <c r="E134" s="87">
        <v>316.28150901214485</v>
      </c>
      <c r="F134" s="76">
        <v>0.2</v>
      </c>
      <c r="G134" s="78"/>
      <c r="H134" s="87">
        <v>1</v>
      </c>
      <c r="I134" s="76">
        <f t="shared" si="5"/>
        <v>63.256301802428972</v>
      </c>
    </row>
    <row r="135" spans="2:9" ht="14.5" thickBot="1">
      <c r="B135" s="170"/>
      <c r="C135" s="171"/>
      <c r="D135" s="171"/>
      <c r="E135" s="171"/>
      <c r="F135" s="172"/>
      <c r="G135" s="206" t="s">
        <v>189</v>
      </c>
      <c r="H135" s="207"/>
      <c r="I135" s="82">
        <f>ROUND(SUM(I125:I134),2)</f>
        <v>236.04</v>
      </c>
    </row>
    <row r="139" spans="2:9" ht="14.5" thickBot="1"/>
    <row r="140" spans="2:9" ht="14.5" thickBot="1">
      <c r="B140" s="179" t="s">
        <v>181</v>
      </c>
      <c r="C140" s="203"/>
      <c r="D140" s="180"/>
      <c r="E140" s="180"/>
      <c r="F140" s="180"/>
      <c r="G140" s="180"/>
      <c r="H140" s="180"/>
      <c r="I140" s="181"/>
    </row>
    <row r="141" spans="2:9" ht="14.5" thickBot="1">
      <c r="B141" s="179"/>
      <c r="C141" s="203"/>
      <c r="D141" s="180"/>
      <c r="E141" s="180"/>
      <c r="F141" s="180"/>
      <c r="G141" s="180"/>
      <c r="H141" s="180"/>
      <c r="I141" s="181"/>
    </row>
    <row r="142" spans="2:9" ht="14.5" thickBot="1">
      <c r="B142" s="191"/>
      <c r="C142" s="192"/>
      <c r="D142" s="192"/>
      <c r="E142" s="192"/>
      <c r="F142" s="192"/>
      <c r="G142" s="192"/>
      <c r="H142" s="192"/>
      <c r="I142" s="193"/>
    </row>
    <row r="143" spans="2:9">
      <c r="B143" s="79" t="s">
        <v>115</v>
      </c>
      <c r="C143" s="194" t="s">
        <v>13</v>
      </c>
      <c r="D143" s="195"/>
      <c r="E143" s="195"/>
      <c r="F143" s="195"/>
      <c r="G143" s="195"/>
      <c r="H143" s="195"/>
      <c r="I143" s="196"/>
    </row>
    <row r="144" spans="2:9">
      <c r="B144" s="89" t="s">
        <v>182</v>
      </c>
      <c r="C144" s="210" t="s">
        <v>14</v>
      </c>
      <c r="D144" s="211"/>
      <c r="E144" s="211"/>
      <c r="F144" s="211"/>
      <c r="G144" s="211"/>
      <c r="H144" s="211"/>
      <c r="I144" s="212"/>
    </row>
    <row r="145" spans="2:9" ht="14.5" thickBot="1">
      <c r="B145" s="80" t="s">
        <v>116</v>
      </c>
      <c r="C145" s="200" t="s">
        <v>144</v>
      </c>
      <c r="D145" s="201"/>
      <c r="E145" s="201"/>
      <c r="F145" s="201"/>
      <c r="G145" s="201"/>
      <c r="H145" s="201"/>
      <c r="I145" s="202"/>
    </row>
    <row r="146" spans="2:9" ht="14.5" thickBot="1">
      <c r="B146" s="188"/>
      <c r="C146" s="189"/>
      <c r="D146" s="189"/>
      <c r="E146" s="189"/>
      <c r="F146" s="189"/>
      <c r="G146" s="189"/>
      <c r="H146" s="189"/>
      <c r="I146" s="190"/>
    </row>
    <row r="147" spans="2:9" ht="14.5" thickBot="1">
      <c r="B147" s="206" t="s">
        <v>183</v>
      </c>
      <c r="C147" s="207"/>
      <c r="D147" s="81" t="s">
        <v>190</v>
      </c>
      <c r="E147" s="81" t="s">
        <v>208</v>
      </c>
      <c r="F147" s="81" t="s">
        <v>211</v>
      </c>
      <c r="G147" s="81"/>
      <c r="H147" s="81"/>
      <c r="I147" s="81" t="s">
        <v>188</v>
      </c>
    </row>
    <row r="148" spans="2:9">
      <c r="B148" s="208" t="s">
        <v>191</v>
      </c>
      <c r="C148" s="209"/>
      <c r="D148" s="84" t="s">
        <v>194</v>
      </c>
      <c r="E148" s="76">
        <v>114.25971599999819</v>
      </c>
      <c r="F148" s="76">
        <v>89.439772799998565</v>
      </c>
      <c r="G148" s="76"/>
      <c r="H148" s="76"/>
      <c r="I148" s="76">
        <f>E148-F148</f>
        <v>24.819943199999628</v>
      </c>
    </row>
    <row r="149" spans="2:9">
      <c r="B149" s="204" t="s">
        <v>192</v>
      </c>
      <c r="C149" s="205"/>
      <c r="D149" s="85" t="s">
        <v>193</v>
      </c>
      <c r="E149" s="88">
        <v>135.53830430399807</v>
      </c>
      <c r="F149" s="76">
        <v>106.46264344319846</v>
      </c>
      <c r="G149" s="77"/>
      <c r="H149" s="76"/>
      <c r="I149" s="76">
        <f t="shared" ref="I149:I157" si="6">E149-F149</f>
        <v>29.075660860799616</v>
      </c>
    </row>
    <row r="150" spans="2:9">
      <c r="B150" s="204" t="s">
        <v>192</v>
      </c>
      <c r="C150" s="205"/>
      <c r="D150" s="85" t="s">
        <v>195</v>
      </c>
      <c r="E150" s="88">
        <v>72.715100735999314</v>
      </c>
      <c r="F150" s="76">
        <v>56.204080588799457</v>
      </c>
      <c r="G150" s="77"/>
      <c r="H150" s="76"/>
      <c r="I150" s="76">
        <f t="shared" si="6"/>
        <v>16.511020147199858</v>
      </c>
    </row>
    <row r="151" spans="2:9">
      <c r="B151" s="204" t="s">
        <v>196</v>
      </c>
      <c r="C151" s="205"/>
      <c r="D151" s="85" t="s">
        <v>197</v>
      </c>
      <c r="E151" s="88">
        <v>132.82201809600838</v>
      </c>
      <c r="F151" s="76">
        <v>104.2896144768067</v>
      </c>
      <c r="G151" s="77"/>
      <c r="H151" s="76"/>
      <c r="I151" s="76">
        <f t="shared" si="6"/>
        <v>28.532403619201673</v>
      </c>
    </row>
    <row r="152" spans="2:9">
      <c r="B152" s="204" t="s">
        <v>196</v>
      </c>
      <c r="C152" s="205"/>
      <c r="D152" s="85" t="s">
        <v>198</v>
      </c>
      <c r="E152" s="88">
        <v>83.958790604003127</v>
      </c>
      <c r="F152" s="76">
        <v>65.199032483202515</v>
      </c>
      <c r="G152" s="77"/>
      <c r="H152" s="76"/>
      <c r="I152" s="76">
        <f t="shared" si="6"/>
        <v>18.759758120800612</v>
      </c>
    </row>
    <row r="153" spans="2:9">
      <c r="B153" s="204" t="s">
        <v>196</v>
      </c>
      <c r="C153" s="205"/>
      <c r="D153" s="85" t="s">
        <v>199</v>
      </c>
      <c r="E153" s="88">
        <v>206.15937710001043</v>
      </c>
      <c r="F153" s="76">
        <v>162.95950168000834</v>
      </c>
      <c r="G153" s="77"/>
      <c r="H153" s="76"/>
      <c r="I153" s="76">
        <f t="shared" si="6"/>
        <v>43.199875420002087</v>
      </c>
    </row>
    <row r="154" spans="2:9">
      <c r="B154" s="204" t="s">
        <v>200</v>
      </c>
      <c r="C154" s="205"/>
      <c r="D154" s="85" t="s">
        <v>201</v>
      </c>
      <c r="E154" s="88">
        <v>42.527110707999682</v>
      </c>
      <c r="F154" s="76">
        <v>34.021688566399746</v>
      </c>
      <c r="G154" s="77"/>
      <c r="H154" s="76"/>
      <c r="I154" s="76">
        <f t="shared" si="6"/>
        <v>8.5054221415999365</v>
      </c>
    </row>
    <row r="155" spans="2:9">
      <c r="B155" s="204" t="s">
        <v>202</v>
      </c>
      <c r="C155" s="205"/>
      <c r="D155" s="85" t="s">
        <v>203</v>
      </c>
      <c r="E155" s="88">
        <v>60.509813503998103</v>
      </c>
      <c r="F155" s="76">
        <v>48.407850803198485</v>
      </c>
      <c r="G155" s="77"/>
      <c r="H155" s="76"/>
      <c r="I155" s="76">
        <f t="shared" si="6"/>
        <v>12.101962700799618</v>
      </c>
    </row>
    <row r="156" spans="2:9">
      <c r="B156" s="204" t="s">
        <v>204</v>
      </c>
      <c r="C156" s="205"/>
      <c r="D156" s="85" t="s">
        <v>205</v>
      </c>
      <c r="E156" s="88">
        <v>32.62792780800018</v>
      </c>
      <c r="F156" s="76">
        <v>24.134342246400145</v>
      </c>
      <c r="G156" s="77"/>
      <c r="H156" s="76"/>
      <c r="I156" s="76">
        <f t="shared" si="6"/>
        <v>8.4935855616000353</v>
      </c>
    </row>
    <row r="157" spans="2:9" ht="14.5" thickBot="1">
      <c r="B157" s="204" t="s">
        <v>206</v>
      </c>
      <c r="C157" s="205"/>
      <c r="D157" s="86" t="s">
        <v>207</v>
      </c>
      <c r="E157" s="87">
        <v>324.45650901214486</v>
      </c>
      <c r="F157" s="76">
        <v>253.02520720971589</v>
      </c>
      <c r="G157" s="78"/>
      <c r="H157" s="87"/>
      <c r="I157" s="76">
        <f t="shared" si="6"/>
        <v>71.431301802428976</v>
      </c>
    </row>
    <row r="158" spans="2:9" ht="14.5" thickBot="1">
      <c r="B158" s="170"/>
      <c r="C158" s="171"/>
      <c r="D158" s="171"/>
      <c r="E158" s="171"/>
      <c r="F158" s="172"/>
      <c r="G158" s="206" t="s">
        <v>189</v>
      </c>
      <c r="H158" s="207"/>
      <c r="I158" s="82">
        <f>ROUND(SUM(I148:I157),2)</f>
        <v>261.43</v>
      </c>
    </row>
    <row r="162" spans="2:9" ht="14.5" thickBot="1"/>
    <row r="163" spans="2:9" ht="14.5" thickBot="1">
      <c r="B163" s="179" t="s">
        <v>181</v>
      </c>
      <c r="C163" s="203"/>
      <c r="D163" s="180"/>
      <c r="E163" s="180"/>
      <c r="F163" s="180"/>
      <c r="G163" s="180"/>
      <c r="H163" s="180"/>
      <c r="I163" s="181"/>
    </row>
    <row r="164" spans="2:9" ht="14.5" thickBot="1">
      <c r="B164" s="179"/>
      <c r="C164" s="203"/>
      <c r="D164" s="180"/>
      <c r="E164" s="180"/>
      <c r="F164" s="180"/>
      <c r="G164" s="180"/>
      <c r="H164" s="180"/>
      <c r="I164" s="181"/>
    </row>
    <row r="165" spans="2:9" ht="14.5" thickBot="1">
      <c r="B165" s="191"/>
      <c r="C165" s="192"/>
      <c r="D165" s="192"/>
      <c r="E165" s="192"/>
      <c r="F165" s="192"/>
      <c r="G165" s="192"/>
      <c r="H165" s="192"/>
      <c r="I165" s="193"/>
    </row>
    <row r="166" spans="2:9">
      <c r="B166" s="79" t="s">
        <v>115</v>
      </c>
      <c r="C166" s="194" t="s">
        <v>16</v>
      </c>
      <c r="D166" s="195"/>
      <c r="E166" s="195"/>
      <c r="F166" s="195"/>
      <c r="G166" s="195"/>
      <c r="H166" s="195"/>
      <c r="I166" s="196"/>
    </row>
    <row r="167" spans="2:9">
      <c r="B167" s="79" t="s">
        <v>182</v>
      </c>
      <c r="C167" s="197" t="s">
        <v>23</v>
      </c>
      <c r="D167" s="198"/>
      <c r="E167" s="198"/>
      <c r="F167" s="198"/>
      <c r="G167" s="198"/>
      <c r="H167" s="198"/>
      <c r="I167" s="199"/>
    </row>
    <row r="168" spans="2:9" ht="14.5" thickBot="1">
      <c r="B168" s="80" t="s">
        <v>116</v>
      </c>
      <c r="C168" s="200" t="s">
        <v>31</v>
      </c>
      <c r="D168" s="201"/>
      <c r="E168" s="201"/>
      <c r="F168" s="201"/>
      <c r="G168" s="201"/>
      <c r="H168" s="201"/>
      <c r="I168" s="202"/>
    </row>
    <row r="169" spans="2:9" ht="14.5" thickBot="1">
      <c r="B169" s="188"/>
      <c r="C169" s="189"/>
      <c r="D169" s="189"/>
      <c r="E169" s="189"/>
      <c r="F169" s="189"/>
      <c r="G169" s="189"/>
      <c r="H169" s="189"/>
      <c r="I169" s="190"/>
    </row>
    <row r="170" spans="2:9" ht="14.5" thickBot="1">
      <c r="B170" s="206" t="s">
        <v>183</v>
      </c>
      <c r="C170" s="207"/>
      <c r="D170" s="81" t="s">
        <v>190</v>
      </c>
      <c r="E170" s="81" t="s">
        <v>184</v>
      </c>
      <c r="F170" s="81"/>
      <c r="G170" s="81"/>
      <c r="H170" s="81" t="s">
        <v>187</v>
      </c>
      <c r="I170" s="81" t="s">
        <v>188</v>
      </c>
    </row>
    <row r="171" spans="2:9">
      <c r="B171" s="208" t="s">
        <v>191</v>
      </c>
      <c r="C171" s="209"/>
      <c r="D171" s="84" t="s">
        <v>194</v>
      </c>
      <c r="E171" s="76">
        <v>71.150000000000006</v>
      </c>
      <c r="F171" s="76"/>
      <c r="G171" s="76"/>
      <c r="H171" s="76">
        <v>1</v>
      </c>
      <c r="I171" s="76">
        <f>E171*H171</f>
        <v>71.150000000000006</v>
      </c>
    </row>
    <row r="172" spans="2:9">
      <c r="B172" s="204" t="s">
        <v>192</v>
      </c>
      <c r="C172" s="205"/>
      <c r="D172" s="85" t="s">
        <v>193</v>
      </c>
      <c r="E172" s="85">
        <v>103.97</v>
      </c>
      <c r="F172" s="77"/>
      <c r="G172" s="77"/>
      <c r="H172" s="76">
        <v>1</v>
      </c>
      <c r="I172" s="76">
        <f t="shared" ref="I172:I179" si="7">E172*H172</f>
        <v>103.97</v>
      </c>
    </row>
    <row r="173" spans="2:9">
      <c r="B173" s="204" t="s">
        <v>192</v>
      </c>
      <c r="C173" s="205"/>
      <c r="D173" s="85" t="s">
        <v>195</v>
      </c>
      <c r="E173" s="85">
        <v>65.66</v>
      </c>
      <c r="F173" s="77"/>
      <c r="G173" s="77"/>
      <c r="H173" s="76">
        <v>1</v>
      </c>
      <c r="I173" s="76">
        <f t="shared" si="7"/>
        <v>65.66</v>
      </c>
    </row>
    <row r="174" spans="2:9">
      <c r="B174" s="204" t="s">
        <v>196</v>
      </c>
      <c r="C174" s="205"/>
      <c r="D174" s="85" t="s">
        <v>197</v>
      </c>
      <c r="E174" s="85">
        <v>104.35</v>
      </c>
      <c r="F174" s="77"/>
      <c r="G174" s="77"/>
      <c r="H174" s="76">
        <v>1</v>
      </c>
      <c r="I174" s="76">
        <f t="shared" si="7"/>
        <v>104.35</v>
      </c>
    </row>
    <row r="175" spans="2:9">
      <c r="B175" s="204" t="s">
        <v>196</v>
      </c>
      <c r="C175" s="205"/>
      <c r="D175" s="85" t="s">
        <v>198</v>
      </c>
      <c r="E175" s="85">
        <v>65.63</v>
      </c>
      <c r="F175" s="77"/>
      <c r="G175" s="77"/>
      <c r="H175" s="76">
        <v>1</v>
      </c>
      <c r="I175" s="76">
        <f t="shared" si="7"/>
        <v>65.63</v>
      </c>
    </row>
    <row r="176" spans="2:9">
      <c r="B176" s="204" t="s">
        <v>196</v>
      </c>
      <c r="C176" s="205"/>
      <c r="D176" s="85" t="s">
        <v>199</v>
      </c>
      <c r="E176" s="85">
        <v>109.65</v>
      </c>
      <c r="F176" s="77"/>
      <c r="G176" s="77"/>
      <c r="H176" s="76">
        <v>1</v>
      </c>
      <c r="I176" s="76">
        <f t="shared" si="7"/>
        <v>109.65</v>
      </c>
    </row>
    <row r="177" spans="2:9">
      <c r="B177" s="204" t="s">
        <v>200</v>
      </c>
      <c r="C177" s="205"/>
      <c r="D177" s="85" t="s">
        <v>201</v>
      </c>
      <c r="E177" s="85">
        <v>33.479999999999997</v>
      </c>
      <c r="F177" s="77"/>
      <c r="G177" s="77"/>
      <c r="H177" s="76">
        <v>1</v>
      </c>
      <c r="I177" s="76">
        <f t="shared" si="7"/>
        <v>33.479999999999997</v>
      </c>
    </row>
    <row r="178" spans="2:9">
      <c r="B178" s="204" t="s">
        <v>202</v>
      </c>
      <c r="C178" s="205"/>
      <c r="D178" s="85" t="s">
        <v>203</v>
      </c>
      <c r="E178" s="85">
        <v>52.25</v>
      </c>
      <c r="F178" s="77"/>
      <c r="G178" s="77"/>
      <c r="H178" s="76">
        <v>1</v>
      </c>
      <c r="I178" s="76">
        <f t="shared" si="7"/>
        <v>52.25</v>
      </c>
    </row>
    <row r="179" spans="2:9">
      <c r="B179" s="204" t="s">
        <v>204</v>
      </c>
      <c r="C179" s="205"/>
      <c r="D179" s="85" t="s">
        <v>205</v>
      </c>
      <c r="E179" s="85">
        <v>46.56</v>
      </c>
      <c r="F179" s="77"/>
      <c r="G179" s="77"/>
      <c r="H179" s="76">
        <v>1</v>
      </c>
      <c r="I179" s="76">
        <f t="shared" si="7"/>
        <v>46.56</v>
      </c>
    </row>
    <row r="180" spans="2:9" ht="14.5" thickBot="1">
      <c r="B180" s="204"/>
      <c r="C180" s="205"/>
      <c r="D180" s="86"/>
      <c r="E180" s="87"/>
      <c r="F180" s="78"/>
      <c r="G180" s="78"/>
      <c r="H180" s="87"/>
      <c r="I180" s="76"/>
    </row>
    <row r="181" spans="2:9" ht="14.5" thickBot="1">
      <c r="B181" s="170"/>
      <c r="C181" s="171"/>
      <c r="D181" s="171"/>
      <c r="E181" s="171"/>
      <c r="F181" s="172"/>
      <c r="G181" s="206" t="s">
        <v>189</v>
      </c>
      <c r="H181" s="207"/>
      <c r="I181" s="82">
        <f>ROUND(SUM(I171:I180),2)</f>
        <v>652.70000000000005</v>
      </c>
    </row>
    <row r="185" spans="2:9" ht="14.5" thickBot="1"/>
    <row r="186" spans="2:9" ht="14.5" thickBot="1">
      <c r="B186" s="179" t="s">
        <v>181</v>
      </c>
      <c r="C186" s="203"/>
      <c r="D186" s="180"/>
      <c r="E186" s="180"/>
      <c r="F186" s="180"/>
      <c r="G186" s="180"/>
      <c r="H186" s="180"/>
      <c r="I186" s="181"/>
    </row>
    <row r="187" spans="2:9" ht="14.5" thickBot="1">
      <c r="B187" s="179"/>
      <c r="C187" s="203"/>
      <c r="D187" s="180"/>
      <c r="E187" s="180"/>
      <c r="F187" s="180"/>
      <c r="G187" s="180"/>
      <c r="H187" s="180"/>
      <c r="I187" s="181"/>
    </row>
    <row r="188" spans="2:9" ht="14.5" thickBot="1">
      <c r="B188" s="191"/>
      <c r="C188" s="192"/>
      <c r="D188" s="192"/>
      <c r="E188" s="192"/>
      <c r="F188" s="192"/>
      <c r="G188" s="192"/>
      <c r="H188" s="192"/>
      <c r="I188" s="193"/>
    </row>
    <row r="189" spans="2:9">
      <c r="B189" s="79" t="s">
        <v>115</v>
      </c>
      <c r="C189" s="194" t="s">
        <v>17</v>
      </c>
      <c r="D189" s="195"/>
      <c r="E189" s="195"/>
      <c r="F189" s="195"/>
      <c r="G189" s="195"/>
      <c r="H189" s="195"/>
      <c r="I189" s="196"/>
    </row>
    <row r="190" spans="2:9">
      <c r="B190" s="79" t="s">
        <v>182</v>
      </c>
      <c r="C190" s="197" t="s">
        <v>24</v>
      </c>
      <c r="D190" s="198"/>
      <c r="E190" s="198"/>
      <c r="F190" s="198"/>
      <c r="G190" s="198"/>
      <c r="H190" s="198"/>
      <c r="I190" s="199"/>
    </row>
    <row r="191" spans="2:9" ht="14.5" thickBot="1">
      <c r="B191" s="80" t="s">
        <v>116</v>
      </c>
      <c r="C191" s="200" t="s">
        <v>31</v>
      </c>
      <c r="D191" s="201"/>
      <c r="E191" s="201"/>
      <c r="F191" s="201"/>
      <c r="G191" s="201"/>
      <c r="H191" s="201"/>
      <c r="I191" s="202"/>
    </row>
    <row r="192" spans="2:9" ht="14.5" thickBot="1">
      <c r="B192" s="188"/>
      <c r="C192" s="189"/>
      <c r="D192" s="189"/>
      <c r="E192" s="189"/>
      <c r="F192" s="189"/>
      <c r="G192" s="189"/>
      <c r="H192" s="189"/>
      <c r="I192" s="190"/>
    </row>
    <row r="193" spans="2:9" ht="14.5" thickBot="1">
      <c r="B193" s="206" t="s">
        <v>183</v>
      </c>
      <c r="C193" s="207"/>
      <c r="D193" s="81" t="s">
        <v>190</v>
      </c>
      <c r="E193" s="81" t="s">
        <v>184</v>
      </c>
      <c r="F193" s="81"/>
      <c r="G193" s="81"/>
      <c r="H193" s="81" t="s">
        <v>187</v>
      </c>
      <c r="I193" s="81" t="s">
        <v>188</v>
      </c>
    </row>
    <row r="194" spans="2:9">
      <c r="B194" s="204" t="s">
        <v>206</v>
      </c>
      <c r="C194" s="205"/>
      <c r="D194" s="90" t="s">
        <v>207</v>
      </c>
      <c r="E194" s="91">
        <v>6</v>
      </c>
      <c r="F194" s="92"/>
      <c r="G194" s="92"/>
      <c r="H194" s="91">
        <v>75</v>
      </c>
      <c r="I194" s="76">
        <f>E194*H194</f>
        <v>450</v>
      </c>
    </row>
    <row r="195" spans="2:9">
      <c r="B195" s="204"/>
      <c r="C195" s="205"/>
      <c r="D195" s="84"/>
      <c r="E195" s="84"/>
      <c r="F195" s="75"/>
      <c r="G195" s="75"/>
      <c r="H195" s="76"/>
      <c r="I195" s="76"/>
    </row>
    <row r="196" spans="2:9">
      <c r="B196" s="204"/>
      <c r="C196" s="205"/>
      <c r="D196" s="85"/>
      <c r="E196" s="85"/>
      <c r="F196" s="77"/>
      <c r="G196" s="77"/>
      <c r="H196" s="76"/>
      <c r="I196" s="76"/>
    </row>
    <row r="197" spans="2:9">
      <c r="B197" s="204"/>
      <c r="C197" s="205"/>
      <c r="D197" s="85"/>
      <c r="E197" s="85"/>
      <c r="F197" s="77"/>
      <c r="G197" s="77"/>
      <c r="H197" s="76"/>
      <c r="I197" s="76"/>
    </row>
    <row r="198" spans="2:9">
      <c r="B198" s="204"/>
      <c r="C198" s="205"/>
      <c r="D198" s="85"/>
      <c r="E198" s="85"/>
      <c r="F198" s="77"/>
      <c r="G198" s="77"/>
      <c r="H198" s="76"/>
      <c r="I198" s="76"/>
    </row>
    <row r="199" spans="2:9">
      <c r="B199" s="204"/>
      <c r="C199" s="205"/>
      <c r="D199" s="85"/>
      <c r="E199" s="85"/>
      <c r="F199" s="77"/>
      <c r="G199" s="77"/>
      <c r="H199" s="76"/>
      <c r="I199" s="76"/>
    </row>
    <row r="200" spans="2:9">
      <c r="B200" s="204"/>
      <c r="C200" s="205"/>
      <c r="D200" s="85"/>
      <c r="E200" s="85"/>
      <c r="F200" s="77"/>
      <c r="G200" s="77"/>
      <c r="H200" s="76"/>
      <c r="I200" s="76"/>
    </row>
    <row r="201" spans="2:9">
      <c r="B201" s="204"/>
      <c r="C201" s="205"/>
      <c r="D201" s="85"/>
      <c r="E201" s="85"/>
      <c r="F201" s="77"/>
      <c r="G201" s="77"/>
      <c r="H201" s="76"/>
      <c r="I201" s="76"/>
    </row>
    <row r="202" spans="2:9">
      <c r="B202" s="204"/>
      <c r="C202" s="205"/>
      <c r="D202" s="85"/>
      <c r="E202" s="85"/>
      <c r="F202" s="77"/>
      <c r="G202" s="77"/>
      <c r="H202" s="76"/>
      <c r="I202" s="76"/>
    </row>
    <row r="203" spans="2:9" ht="14.5" thickBot="1">
      <c r="B203" s="204"/>
      <c r="C203" s="205"/>
      <c r="D203" s="86"/>
      <c r="E203" s="87"/>
      <c r="F203" s="78"/>
      <c r="G203" s="78"/>
      <c r="H203" s="87"/>
      <c r="I203" s="76"/>
    </row>
    <row r="204" spans="2:9" ht="14.5" thickBot="1">
      <c r="B204" s="170"/>
      <c r="C204" s="171"/>
      <c r="D204" s="171"/>
      <c r="E204" s="171"/>
      <c r="F204" s="172"/>
      <c r="G204" s="206" t="s">
        <v>189</v>
      </c>
      <c r="H204" s="207"/>
      <c r="I204" s="82">
        <f>ROUND(SUM(I194:I203),2)</f>
        <v>450</v>
      </c>
    </row>
    <row r="208" spans="2:9" ht="14.5" thickBot="1"/>
    <row r="209" spans="2:9" ht="14.5" thickBot="1">
      <c r="B209" s="179" t="s">
        <v>181</v>
      </c>
      <c r="C209" s="203"/>
      <c r="D209" s="180"/>
      <c r="E209" s="180"/>
      <c r="F209" s="180"/>
      <c r="G209" s="180"/>
      <c r="H209" s="180"/>
      <c r="I209" s="181"/>
    </row>
    <row r="210" spans="2:9" ht="14.5" thickBot="1">
      <c r="B210" s="179"/>
      <c r="C210" s="203"/>
      <c r="D210" s="180"/>
      <c r="E210" s="180"/>
      <c r="F210" s="180"/>
      <c r="G210" s="180"/>
      <c r="H210" s="180"/>
      <c r="I210" s="181"/>
    </row>
    <row r="211" spans="2:9" ht="14.5" thickBot="1">
      <c r="B211" s="191"/>
      <c r="C211" s="192"/>
      <c r="D211" s="192"/>
      <c r="E211" s="192"/>
      <c r="F211" s="192"/>
      <c r="G211" s="192"/>
      <c r="H211" s="192"/>
      <c r="I211" s="193"/>
    </row>
    <row r="212" spans="2:9">
      <c r="B212" s="79" t="s">
        <v>115</v>
      </c>
      <c r="C212" s="194" t="s">
        <v>165</v>
      </c>
      <c r="D212" s="195"/>
      <c r="E212" s="195"/>
      <c r="F212" s="195"/>
      <c r="G212" s="195"/>
      <c r="H212" s="195"/>
      <c r="I212" s="196"/>
    </row>
    <row r="213" spans="2:9">
      <c r="B213" s="79" t="s">
        <v>182</v>
      </c>
      <c r="C213" s="197" t="s">
        <v>38</v>
      </c>
      <c r="D213" s="198"/>
      <c r="E213" s="198"/>
      <c r="F213" s="198"/>
      <c r="G213" s="198"/>
      <c r="H213" s="198"/>
      <c r="I213" s="199"/>
    </row>
    <row r="214" spans="2:9" ht="14.5" thickBot="1">
      <c r="B214" s="80" t="s">
        <v>116</v>
      </c>
      <c r="C214" s="200" t="s">
        <v>132</v>
      </c>
      <c r="D214" s="201"/>
      <c r="E214" s="201"/>
      <c r="F214" s="201"/>
      <c r="G214" s="201"/>
      <c r="H214" s="201"/>
      <c r="I214" s="202"/>
    </row>
    <row r="215" spans="2:9" ht="14.5" thickBot="1">
      <c r="B215" s="188"/>
      <c r="C215" s="189"/>
      <c r="D215" s="189"/>
      <c r="E215" s="189"/>
      <c r="F215" s="189"/>
      <c r="G215" s="189"/>
      <c r="H215" s="189"/>
      <c r="I215" s="190"/>
    </row>
    <row r="216" spans="2:9" ht="14.5" thickBot="1">
      <c r="B216" s="206" t="s">
        <v>183</v>
      </c>
      <c r="C216" s="207"/>
      <c r="D216" s="81" t="s">
        <v>190</v>
      </c>
      <c r="E216" s="81"/>
      <c r="F216" s="81"/>
      <c r="G216" s="81"/>
      <c r="H216" s="81" t="s">
        <v>187</v>
      </c>
      <c r="I216" s="81" t="s">
        <v>188</v>
      </c>
    </row>
    <row r="217" spans="2:9">
      <c r="B217" s="204" t="s">
        <v>206</v>
      </c>
      <c r="C217" s="205"/>
      <c r="D217" s="90" t="s">
        <v>207</v>
      </c>
      <c r="E217" s="91"/>
      <c r="F217" s="92"/>
      <c r="G217" s="92"/>
      <c r="H217" s="91">
        <v>75</v>
      </c>
      <c r="I217" s="76">
        <f>H217</f>
        <v>75</v>
      </c>
    </row>
    <row r="218" spans="2:9">
      <c r="B218" s="204"/>
      <c r="C218" s="205"/>
      <c r="D218" s="84"/>
      <c r="E218" s="84"/>
      <c r="F218" s="75"/>
      <c r="G218" s="75"/>
      <c r="H218" s="76"/>
      <c r="I218" s="76"/>
    </row>
    <row r="219" spans="2:9">
      <c r="B219" s="204"/>
      <c r="C219" s="205"/>
      <c r="D219" s="85"/>
      <c r="E219" s="85"/>
      <c r="F219" s="77"/>
      <c r="G219" s="77"/>
      <c r="H219" s="76"/>
      <c r="I219" s="76"/>
    </row>
    <row r="220" spans="2:9">
      <c r="B220" s="204"/>
      <c r="C220" s="205"/>
      <c r="D220" s="85"/>
      <c r="E220" s="85"/>
      <c r="F220" s="77"/>
      <c r="G220" s="77"/>
      <c r="H220" s="76"/>
      <c r="I220" s="76"/>
    </row>
    <row r="221" spans="2:9">
      <c r="B221" s="204"/>
      <c r="C221" s="205"/>
      <c r="D221" s="85"/>
      <c r="E221" s="85"/>
      <c r="F221" s="77"/>
      <c r="G221" s="77"/>
      <c r="H221" s="76"/>
      <c r="I221" s="76"/>
    </row>
    <row r="222" spans="2:9">
      <c r="B222" s="204"/>
      <c r="C222" s="205"/>
      <c r="D222" s="85"/>
      <c r="E222" s="85"/>
      <c r="F222" s="77"/>
      <c r="G222" s="77"/>
      <c r="H222" s="76"/>
      <c r="I222" s="76"/>
    </row>
    <row r="223" spans="2:9">
      <c r="B223" s="204"/>
      <c r="C223" s="205"/>
      <c r="D223" s="85"/>
      <c r="E223" s="85"/>
      <c r="F223" s="77"/>
      <c r="G223" s="77"/>
      <c r="H223" s="76"/>
      <c r="I223" s="76"/>
    </row>
    <row r="224" spans="2:9">
      <c r="B224" s="204"/>
      <c r="C224" s="205"/>
      <c r="D224" s="85"/>
      <c r="E224" s="85"/>
      <c r="F224" s="77"/>
      <c r="G224" s="77"/>
      <c r="H224" s="76"/>
      <c r="I224" s="76"/>
    </row>
    <row r="225" spans="2:9">
      <c r="B225" s="204"/>
      <c r="C225" s="205"/>
      <c r="D225" s="85"/>
      <c r="E225" s="85"/>
      <c r="F225" s="77"/>
      <c r="G225" s="77"/>
      <c r="H225" s="76"/>
      <c r="I225" s="76"/>
    </row>
    <row r="226" spans="2:9" ht="14.5" thickBot="1">
      <c r="B226" s="204"/>
      <c r="C226" s="205"/>
      <c r="D226" s="86"/>
      <c r="E226" s="87"/>
      <c r="F226" s="78"/>
      <c r="G226" s="78"/>
      <c r="H226" s="87"/>
      <c r="I226" s="76"/>
    </row>
    <row r="227" spans="2:9" ht="14.5" thickBot="1">
      <c r="B227" s="170"/>
      <c r="C227" s="171"/>
      <c r="D227" s="171"/>
      <c r="E227" s="171"/>
      <c r="F227" s="172"/>
      <c r="G227" s="206" t="s">
        <v>189</v>
      </c>
      <c r="H227" s="207"/>
      <c r="I227" s="82">
        <f>ROUND(SUM(I217:I226),2)</f>
        <v>75</v>
      </c>
    </row>
    <row r="231" spans="2:9" ht="14.5" thickBot="1"/>
    <row r="232" spans="2:9" ht="14.5" thickBot="1">
      <c r="B232" s="179" t="s">
        <v>181</v>
      </c>
      <c r="C232" s="203"/>
      <c r="D232" s="180"/>
      <c r="E232" s="180"/>
      <c r="F232" s="180"/>
      <c r="G232" s="180"/>
      <c r="H232" s="180"/>
      <c r="I232" s="181"/>
    </row>
    <row r="233" spans="2:9" ht="14.5" thickBot="1">
      <c r="B233" s="179"/>
      <c r="C233" s="203"/>
      <c r="D233" s="180"/>
      <c r="E233" s="180"/>
      <c r="F233" s="180"/>
      <c r="G233" s="180"/>
      <c r="H233" s="180"/>
      <c r="I233" s="181"/>
    </row>
    <row r="234" spans="2:9" ht="14.5" thickBot="1">
      <c r="B234" s="191"/>
      <c r="C234" s="192"/>
      <c r="D234" s="192"/>
      <c r="E234" s="192"/>
      <c r="F234" s="192"/>
      <c r="G234" s="192"/>
      <c r="H234" s="192"/>
      <c r="I234" s="193"/>
    </row>
    <row r="235" spans="2:9">
      <c r="B235" s="79" t="s">
        <v>115</v>
      </c>
      <c r="C235" s="194" t="s">
        <v>19</v>
      </c>
      <c r="D235" s="195"/>
      <c r="E235" s="195"/>
      <c r="F235" s="195"/>
      <c r="G235" s="195"/>
      <c r="H235" s="195"/>
      <c r="I235" s="196"/>
    </row>
    <row r="236" spans="2:9">
      <c r="B236" s="79" t="s">
        <v>182</v>
      </c>
      <c r="C236" s="197" t="s">
        <v>32</v>
      </c>
      <c r="D236" s="198"/>
      <c r="E236" s="198"/>
      <c r="F236" s="198"/>
      <c r="G236" s="198"/>
      <c r="H236" s="198"/>
      <c r="I236" s="199"/>
    </row>
    <row r="237" spans="2:9" ht="14.5" thickBot="1">
      <c r="B237" s="80" t="s">
        <v>116</v>
      </c>
      <c r="C237" s="200" t="s">
        <v>132</v>
      </c>
      <c r="D237" s="201"/>
      <c r="E237" s="201"/>
      <c r="F237" s="201"/>
      <c r="G237" s="201"/>
      <c r="H237" s="201"/>
      <c r="I237" s="202"/>
    </row>
    <row r="238" spans="2:9" ht="14.5" thickBot="1">
      <c r="B238" s="188"/>
      <c r="C238" s="189"/>
      <c r="D238" s="189"/>
      <c r="E238" s="189"/>
      <c r="F238" s="189"/>
      <c r="G238" s="189"/>
      <c r="H238" s="189"/>
      <c r="I238" s="190"/>
    </row>
    <row r="239" spans="2:9" ht="14.5" thickBot="1">
      <c r="B239" s="206" t="s">
        <v>183</v>
      </c>
      <c r="C239" s="207"/>
      <c r="D239" s="81" t="s">
        <v>190</v>
      </c>
      <c r="E239" s="81"/>
      <c r="F239" s="81"/>
      <c r="G239" s="81"/>
      <c r="H239" s="81" t="s">
        <v>187</v>
      </c>
      <c r="I239" s="81" t="s">
        <v>188</v>
      </c>
    </row>
    <row r="240" spans="2:9">
      <c r="B240" s="208" t="s">
        <v>191</v>
      </c>
      <c r="C240" s="209"/>
      <c r="D240" s="84"/>
      <c r="E240" s="76"/>
      <c r="F240" s="76"/>
      <c r="G240" s="76"/>
      <c r="H240" s="76">
        <v>1</v>
      </c>
      <c r="I240" s="76">
        <f>H240</f>
        <v>1</v>
      </c>
    </row>
    <row r="241" spans="2:9">
      <c r="B241" s="204" t="s">
        <v>192</v>
      </c>
      <c r="C241" s="205"/>
      <c r="D241" s="85"/>
      <c r="E241" s="85"/>
      <c r="F241" s="77"/>
      <c r="G241" s="77"/>
      <c r="H241" s="76">
        <v>2</v>
      </c>
      <c r="I241" s="76">
        <f t="shared" ref="I241:I243" si="8">H241</f>
        <v>2</v>
      </c>
    </row>
    <row r="242" spans="2:9">
      <c r="B242" s="204" t="s">
        <v>196</v>
      </c>
      <c r="C242" s="205"/>
      <c r="D242" s="85"/>
      <c r="E242" s="85"/>
      <c r="F242" s="77"/>
      <c r="G242" s="77"/>
      <c r="H242" s="76">
        <v>3</v>
      </c>
      <c r="I242" s="76">
        <f t="shared" si="8"/>
        <v>3</v>
      </c>
    </row>
    <row r="243" spans="2:9">
      <c r="B243" s="204" t="s">
        <v>200</v>
      </c>
      <c r="C243" s="205"/>
      <c r="D243" s="85"/>
      <c r="E243" s="85"/>
      <c r="F243" s="77"/>
      <c r="G243" s="77"/>
      <c r="H243" s="76">
        <v>1</v>
      </c>
      <c r="I243" s="76">
        <f t="shared" si="8"/>
        <v>1</v>
      </c>
    </row>
    <row r="244" spans="2:9">
      <c r="B244" s="204"/>
      <c r="C244" s="205"/>
      <c r="D244" s="85"/>
      <c r="E244" s="85"/>
      <c r="F244" s="77"/>
      <c r="G244" s="77"/>
      <c r="H244" s="76"/>
      <c r="I244" s="76"/>
    </row>
    <row r="245" spans="2:9">
      <c r="B245" s="204"/>
      <c r="C245" s="205"/>
      <c r="D245" s="85"/>
      <c r="E245" s="85"/>
      <c r="F245" s="77"/>
      <c r="G245" s="77"/>
      <c r="H245" s="76"/>
      <c r="I245" s="76"/>
    </row>
    <row r="246" spans="2:9">
      <c r="B246" s="204"/>
      <c r="C246" s="205"/>
      <c r="D246" s="85"/>
      <c r="E246" s="85"/>
      <c r="F246" s="77"/>
      <c r="G246" s="77"/>
      <c r="H246" s="76"/>
      <c r="I246" s="76"/>
    </row>
    <row r="247" spans="2:9">
      <c r="B247" s="204"/>
      <c r="C247" s="205"/>
      <c r="D247" s="85"/>
      <c r="E247" s="85"/>
      <c r="F247" s="77"/>
      <c r="G247" s="77"/>
      <c r="H247" s="76"/>
      <c r="I247" s="76"/>
    </row>
    <row r="248" spans="2:9">
      <c r="B248" s="204"/>
      <c r="C248" s="205"/>
      <c r="D248" s="85"/>
      <c r="E248" s="85"/>
      <c r="F248" s="77"/>
      <c r="G248" s="77"/>
      <c r="H248" s="76"/>
      <c r="I248" s="76"/>
    </row>
    <row r="249" spans="2:9" ht="14.5" thickBot="1">
      <c r="B249" s="204"/>
      <c r="C249" s="205"/>
      <c r="D249" s="86"/>
      <c r="E249" s="87"/>
      <c r="F249" s="78"/>
      <c r="G249" s="78"/>
      <c r="H249" s="87"/>
      <c r="I249" s="76"/>
    </row>
    <row r="250" spans="2:9" ht="14.5" thickBot="1">
      <c r="B250" s="170"/>
      <c r="C250" s="171"/>
      <c r="D250" s="171"/>
      <c r="E250" s="171"/>
      <c r="F250" s="172"/>
      <c r="G250" s="206" t="s">
        <v>189</v>
      </c>
      <c r="H250" s="207"/>
      <c r="I250" s="82">
        <f>ROUND(SUM(I240:I249),2)</f>
        <v>7</v>
      </c>
    </row>
    <row r="254" spans="2:9" ht="14.5" thickBot="1"/>
    <row r="255" spans="2:9" ht="14.5" thickBot="1">
      <c r="B255" s="179" t="s">
        <v>181</v>
      </c>
      <c r="C255" s="203"/>
      <c r="D255" s="180"/>
      <c r="E255" s="180"/>
      <c r="F255" s="180"/>
      <c r="G255" s="180"/>
      <c r="H255" s="180"/>
      <c r="I255" s="181"/>
    </row>
    <row r="256" spans="2:9" ht="14.5" thickBot="1">
      <c r="B256" s="179"/>
      <c r="C256" s="203"/>
      <c r="D256" s="180"/>
      <c r="E256" s="180"/>
      <c r="F256" s="180"/>
      <c r="G256" s="180"/>
      <c r="H256" s="180"/>
      <c r="I256" s="181"/>
    </row>
    <row r="257" spans="2:9" ht="14.5" thickBot="1">
      <c r="B257" s="191"/>
      <c r="C257" s="192"/>
      <c r="D257" s="192"/>
      <c r="E257" s="192"/>
      <c r="F257" s="192"/>
      <c r="G257" s="192"/>
      <c r="H257" s="192"/>
      <c r="I257" s="193"/>
    </row>
    <row r="258" spans="2:9">
      <c r="B258" s="79" t="s">
        <v>115</v>
      </c>
      <c r="C258" s="194" t="s">
        <v>20</v>
      </c>
      <c r="D258" s="195"/>
      <c r="E258" s="195"/>
      <c r="F258" s="195"/>
      <c r="G258" s="195"/>
      <c r="H258" s="195"/>
      <c r="I258" s="196"/>
    </row>
    <row r="259" spans="2:9" ht="28.9" customHeight="1">
      <c r="B259" s="89" t="s">
        <v>182</v>
      </c>
      <c r="C259" s="210" t="s">
        <v>50</v>
      </c>
      <c r="D259" s="211"/>
      <c r="E259" s="211"/>
      <c r="F259" s="211"/>
      <c r="G259" s="211"/>
      <c r="H259" s="211"/>
      <c r="I259" s="212"/>
    </row>
    <row r="260" spans="2:9" ht="14.5" thickBot="1">
      <c r="B260" s="80" t="s">
        <v>116</v>
      </c>
      <c r="C260" s="200" t="s">
        <v>132</v>
      </c>
      <c r="D260" s="201"/>
      <c r="E260" s="201"/>
      <c r="F260" s="201"/>
      <c r="G260" s="201"/>
      <c r="H260" s="201"/>
      <c r="I260" s="202"/>
    </row>
    <row r="261" spans="2:9" ht="14.5" thickBot="1">
      <c r="B261" s="188"/>
      <c r="C261" s="189"/>
      <c r="D261" s="189"/>
      <c r="E261" s="189"/>
      <c r="F261" s="189"/>
      <c r="G261" s="189"/>
      <c r="H261" s="189"/>
      <c r="I261" s="190"/>
    </row>
    <row r="262" spans="2:9" ht="14.5" thickBot="1">
      <c r="B262" s="206" t="s">
        <v>183</v>
      </c>
      <c r="C262" s="207"/>
      <c r="D262" s="81" t="s">
        <v>190</v>
      </c>
      <c r="E262" s="81"/>
      <c r="F262" s="81"/>
      <c r="G262" s="81"/>
      <c r="H262" s="81" t="s">
        <v>187</v>
      </c>
      <c r="I262" s="81" t="s">
        <v>188</v>
      </c>
    </row>
    <row r="263" spans="2:9">
      <c r="B263" s="204" t="s">
        <v>206</v>
      </c>
      <c r="C263" s="205"/>
      <c r="D263" s="90" t="s">
        <v>207</v>
      </c>
      <c r="E263" s="76"/>
      <c r="F263" s="76"/>
      <c r="G263" s="76"/>
      <c r="H263" s="76">
        <v>75</v>
      </c>
      <c r="I263" s="76">
        <f>H263</f>
        <v>75</v>
      </c>
    </row>
    <row r="264" spans="2:9">
      <c r="B264" s="204"/>
      <c r="C264" s="205"/>
      <c r="D264" s="84"/>
      <c r="E264" s="85"/>
      <c r="F264" s="77"/>
      <c r="G264" s="77"/>
      <c r="H264" s="76"/>
      <c r="I264" s="76"/>
    </row>
    <row r="265" spans="2:9">
      <c r="B265" s="204"/>
      <c r="C265" s="205"/>
      <c r="D265" s="85"/>
      <c r="E265" s="85"/>
      <c r="F265" s="77"/>
      <c r="G265" s="77"/>
      <c r="H265" s="76"/>
      <c r="I265" s="76"/>
    </row>
    <row r="266" spans="2:9">
      <c r="B266" s="204"/>
      <c r="C266" s="205"/>
      <c r="D266" s="85"/>
      <c r="E266" s="85"/>
      <c r="F266" s="77"/>
      <c r="G266" s="77"/>
      <c r="H266" s="76"/>
      <c r="I266" s="76"/>
    </row>
    <row r="267" spans="2:9">
      <c r="B267" s="204"/>
      <c r="C267" s="205"/>
      <c r="D267" s="85"/>
      <c r="E267" s="85"/>
      <c r="F267" s="77"/>
      <c r="G267" s="77"/>
      <c r="H267" s="76"/>
      <c r="I267" s="76"/>
    </row>
    <row r="268" spans="2:9">
      <c r="B268" s="204"/>
      <c r="C268" s="205"/>
      <c r="D268" s="85"/>
      <c r="E268" s="85"/>
      <c r="F268" s="77"/>
      <c r="G268" s="77"/>
      <c r="H268" s="76"/>
      <c r="I268" s="76"/>
    </row>
    <row r="269" spans="2:9">
      <c r="B269" s="204"/>
      <c r="C269" s="205"/>
      <c r="D269" s="85"/>
      <c r="E269" s="85"/>
      <c r="F269" s="77"/>
      <c r="G269" s="77"/>
      <c r="H269" s="76"/>
      <c r="I269" s="76"/>
    </row>
    <row r="270" spans="2:9">
      <c r="B270" s="204"/>
      <c r="C270" s="205"/>
      <c r="D270" s="85"/>
      <c r="E270" s="85"/>
      <c r="F270" s="77"/>
      <c r="G270" s="77"/>
      <c r="H270" s="76"/>
      <c r="I270" s="76"/>
    </row>
    <row r="271" spans="2:9">
      <c r="B271" s="204"/>
      <c r="C271" s="205"/>
      <c r="D271" s="85"/>
      <c r="E271" s="85"/>
      <c r="F271" s="77"/>
      <c r="G271" s="77"/>
      <c r="H271" s="76"/>
      <c r="I271" s="76"/>
    </row>
    <row r="272" spans="2:9" ht="14.5" thickBot="1">
      <c r="B272" s="204"/>
      <c r="C272" s="205"/>
      <c r="D272" s="86"/>
      <c r="E272" s="87"/>
      <c r="F272" s="78"/>
      <c r="G272" s="78"/>
      <c r="H272" s="87"/>
      <c r="I272" s="76"/>
    </row>
    <row r="273" spans="2:9" ht="14.5" thickBot="1">
      <c r="B273" s="170"/>
      <c r="C273" s="171"/>
      <c r="D273" s="171"/>
      <c r="E273" s="171"/>
      <c r="F273" s="172"/>
      <c r="G273" s="206" t="s">
        <v>189</v>
      </c>
      <c r="H273" s="207"/>
      <c r="I273" s="82">
        <f>ROUND(SUM(I263:I272),2)</f>
        <v>75</v>
      </c>
    </row>
    <row r="277" spans="2:9" ht="14.5" thickBot="1"/>
    <row r="278" spans="2:9" ht="14.5" thickBot="1">
      <c r="B278" s="179" t="s">
        <v>181</v>
      </c>
      <c r="C278" s="203"/>
      <c r="D278" s="180"/>
      <c r="E278" s="180"/>
      <c r="F278" s="180"/>
      <c r="G278" s="180"/>
      <c r="H278" s="180"/>
      <c r="I278" s="181"/>
    </row>
    <row r="279" spans="2:9" ht="14.5" thickBot="1">
      <c r="B279" s="179"/>
      <c r="C279" s="203"/>
      <c r="D279" s="180"/>
      <c r="E279" s="180"/>
      <c r="F279" s="180"/>
      <c r="G279" s="180"/>
      <c r="H279" s="180"/>
      <c r="I279" s="181"/>
    </row>
    <row r="280" spans="2:9" ht="14.5" thickBot="1">
      <c r="B280" s="191"/>
      <c r="C280" s="192"/>
      <c r="D280" s="192"/>
      <c r="E280" s="192"/>
      <c r="F280" s="192"/>
      <c r="G280" s="192"/>
      <c r="H280" s="192"/>
      <c r="I280" s="193"/>
    </row>
    <row r="281" spans="2:9">
      <c r="B281" s="79" t="s">
        <v>115</v>
      </c>
      <c r="C281" s="194" t="s">
        <v>21</v>
      </c>
      <c r="D281" s="195"/>
      <c r="E281" s="195"/>
      <c r="F281" s="195"/>
      <c r="G281" s="195"/>
      <c r="H281" s="195"/>
      <c r="I281" s="196"/>
    </row>
    <row r="282" spans="2:9">
      <c r="B282" s="89" t="s">
        <v>182</v>
      </c>
      <c r="C282" s="210" t="s">
        <v>49</v>
      </c>
      <c r="D282" s="211"/>
      <c r="E282" s="211"/>
      <c r="F282" s="211"/>
      <c r="G282" s="211"/>
      <c r="H282" s="211"/>
      <c r="I282" s="212"/>
    </row>
    <row r="283" spans="2:9" ht="14.5" thickBot="1">
      <c r="B283" s="80" t="s">
        <v>116</v>
      </c>
      <c r="C283" s="200" t="s">
        <v>132</v>
      </c>
      <c r="D283" s="201"/>
      <c r="E283" s="201"/>
      <c r="F283" s="201"/>
      <c r="G283" s="201"/>
      <c r="H283" s="201"/>
      <c r="I283" s="202"/>
    </row>
    <row r="284" spans="2:9" ht="14.5" thickBot="1">
      <c r="B284" s="188"/>
      <c r="C284" s="189"/>
      <c r="D284" s="189"/>
      <c r="E284" s="189"/>
      <c r="F284" s="189"/>
      <c r="G284" s="189"/>
      <c r="H284" s="189"/>
      <c r="I284" s="190"/>
    </row>
    <row r="285" spans="2:9" ht="14.5" thickBot="1">
      <c r="B285" s="206" t="s">
        <v>183</v>
      </c>
      <c r="C285" s="207"/>
      <c r="D285" s="81" t="s">
        <v>190</v>
      </c>
      <c r="E285" s="81"/>
      <c r="F285" s="81"/>
      <c r="G285" s="81"/>
      <c r="H285" s="81" t="s">
        <v>187</v>
      </c>
      <c r="I285" s="81" t="s">
        <v>188</v>
      </c>
    </row>
    <row r="286" spans="2:9">
      <c r="B286" s="204" t="s">
        <v>212</v>
      </c>
      <c r="C286" s="205"/>
      <c r="D286" s="85"/>
      <c r="E286" s="76"/>
      <c r="F286" s="76"/>
      <c r="G286" s="76"/>
      <c r="H286" s="76">
        <v>1</v>
      </c>
      <c r="I286" s="76">
        <f>H286</f>
        <v>1</v>
      </c>
    </row>
    <row r="287" spans="2:9">
      <c r="B287" s="204" t="s">
        <v>213</v>
      </c>
      <c r="C287" s="205"/>
      <c r="D287" s="85"/>
      <c r="E287" s="85"/>
      <c r="F287" s="77"/>
      <c r="G287" s="77"/>
      <c r="H287" s="76">
        <v>1</v>
      </c>
      <c r="I287" s="76">
        <f t="shared" ref="I287:I289" si="9">H287</f>
        <v>1</v>
      </c>
    </row>
    <row r="288" spans="2:9">
      <c r="B288" s="204" t="s">
        <v>214</v>
      </c>
      <c r="C288" s="205"/>
      <c r="D288" s="85"/>
      <c r="E288" s="85"/>
      <c r="F288" s="77"/>
      <c r="G288" s="77"/>
      <c r="H288" s="76">
        <v>1</v>
      </c>
      <c r="I288" s="76">
        <f t="shared" si="9"/>
        <v>1</v>
      </c>
    </row>
    <row r="289" spans="2:9">
      <c r="B289" s="204" t="s">
        <v>215</v>
      </c>
      <c r="C289" s="205"/>
      <c r="D289" s="85"/>
      <c r="E289" s="85"/>
      <c r="F289" s="77"/>
      <c r="G289" s="77"/>
      <c r="H289" s="76">
        <v>1</v>
      </c>
      <c r="I289" s="76">
        <f t="shared" si="9"/>
        <v>1</v>
      </c>
    </row>
    <row r="290" spans="2:9">
      <c r="B290" s="204"/>
      <c r="C290" s="205"/>
      <c r="D290" s="85"/>
      <c r="E290" s="85"/>
      <c r="F290" s="77"/>
      <c r="G290" s="77"/>
      <c r="H290" s="76"/>
      <c r="I290" s="76"/>
    </row>
    <row r="291" spans="2:9">
      <c r="B291" s="204"/>
      <c r="C291" s="205"/>
      <c r="D291" s="85"/>
      <c r="E291" s="85"/>
      <c r="F291" s="77"/>
      <c r="G291" s="77"/>
      <c r="H291" s="76"/>
      <c r="I291" s="76"/>
    </row>
    <row r="292" spans="2:9">
      <c r="B292" s="204"/>
      <c r="C292" s="205"/>
      <c r="D292" s="85"/>
      <c r="E292" s="85"/>
      <c r="F292" s="77"/>
      <c r="G292" s="77"/>
      <c r="H292" s="76"/>
      <c r="I292" s="76"/>
    </row>
    <row r="293" spans="2:9">
      <c r="B293" s="204"/>
      <c r="C293" s="205"/>
      <c r="D293" s="85"/>
      <c r="E293" s="85"/>
      <c r="F293" s="77"/>
      <c r="G293" s="77"/>
      <c r="H293" s="76"/>
      <c r="I293" s="76"/>
    </row>
    <row r="294" spans="2:9">
      <c r="B294" s="204"/>
      <c r="C294" s="205"/>
      <c r="D294" s="85"/>
      <c r="E294" s="85"/>
      <c r="F294" s="77"/>
      <c r="G294" s="77"/>
      <c r="H294" s="76"/>
      <c r="I294" s="76"/>
    </row>
    <row r="295" spans="2:9" ht="14.5" thickBot="1">
      <c r="B295" s="204"/>
      <c r="C295" s="205"/>
      <c r="D295" s="86"/>
      <c r="E295" s="87"/>
      <c r="F295" s="78"/>
      <c r="G295" s="78"/>
      <c r="H295" s="87"/>
      <c r="I295" s="76"/>
    </row>
    <row r="296" spans="2:9" ht="14.5" thickBot="1">
      <c r="B296" s="170"/>
      <c r="C296" s="171"/>
      <c r="D296" s="171"/>
      <c r="E296" s="171"/>
      <c r="F296" s="172"/>
      <c r="G296" s="206" t="s">
        <v>189</v>
      </c>
      <c r="H296" s="207"/>
      <c r="I296" s="82">
        <f>ROUND(SUM(I286:I295),2)</f>
        <v>4</v>
      </c>
    </row>
    <row r="300" spans="2:9" ht="14.5" thickBot="1"/>
    <row r="301" spans="2:9" ht="14.5" thickBot="1">
      <c r="B301" s="179" t="s">
        <v>181</v>
      </c>
      <c r="C301" s="203"/>
      <c r="D301" s="180"/>
      <c r="E301" s="180"/>
      <c r="F301" s="180"/>
      <c r="G301" s="180"/>
      <c r="H301" s="180"/>
      <c r="I301" s="181"/>
    </row>
    <row r="302" spans="2:9" ht="14.5" thickBot="1">
      <c r="B302" s="179"/>
      <c r="C302" s="203"/>
      <c r="D302" s="180"/>
      <c r="E302" s="180"/>
      <c r="F302" s="180"/>
      <c r="G302" s="180"/>
      <c r="H302" s="180"/>
      <c r="I302" s="181"/>
    </row>
    <row r="303" spans="2:9" ht="14.5" thickBot="1">
      <c r="B303" s="191"/>
      <c r="C303" s="192"/>
      <c r="D303" s="192"/>
      <c r="E303" s="192"/>
      <c r="F303" s="192"/>
      <c r="G303" s="192"/>
      <c r="H303" s="192"/>
      <c r="I303" s="193"/>
    </row>
    <row r="304" spans="2:9">
      <c r="B304" s="79" t="s">
        <v>115</v>
      </c>
      <c r="C304" s="194" t="s">
        <v>46</v>
      </c>
      <c r="D304" s="195"/>
      <c r="E304" s="195"/>
      <c r="F304" s="195"/>
      <c r="G304" s="195"/>
      <c r="H304" s="195"/>
      <c r="I304" s="196"/>
    </row>
    <row r="305" spans="2:9">
      <c r="B305" s="79" t="s">
        <v>182</v>
      </c>
      <c r="C305" s="197" t="s">
        <v>42</v>
      </c>
      <c r="D305" s="198"/>
      <c r="E305" s="198"/>
      <c r="F305" s="198"/>
      <c r="G305" s="198"/>
      <c r="H305" s="198"/>
      <c r="I305" s="199"/>
    </row>
    <row r="306" spans="2:9" ht="14.5" thickBot="1">
      <c r="B306" s="80" t="s">
        <v>116</v>
      </c>
      <c r="C306" s="200" t="s">
        <v>31</v>
      </c>
      <c r="D306" s="201"/>
      <c r="E306" s="201"/>
      <c r="F306" s="201"/>
      <c r="G306" s="201"/>
      <c r="H306" s="201"/>
      <c r="I306" s="202"/>
    </row>
    <row r="307" spans="2:9" ht="14.5" thickBot="1">
      <c r="B307" s="188"/>
      <c r="C307" s="189"/>
      <c r="D307" s="189"/>
      <c r="E307" s="189"/>
      <c r="F307" s="189"/>
      <c r="G307" s="189"/>
      <c r="H307" s="189"/>
      <c r="I307" s="190"/>
    </row>
    <row r="308" spans="2:9" ht="14.5" thickBot="1">
      <c r="B308" s="206" t="s">
        <v>183</v>
      </c>
      <c r="C308" s="207"/>
      <c r="D308" s="81" t="s">
        <v>190</v>
      </c>
      <c r="E308" s="81" t="s">
        <v>184</v>
      </c>
      <c r="F308" s="81"/>
      <c r="G308" s="81"/>
      <c r="H308" s="81" t="s">
        <v>187</v>
      </c>
      <c r="I308" s="81" t="s">
        <v>188</v>
      </c>
    </row>
    <row r="309" spans="2:9">
      <c r="B309" s="208" t="s">
        <v>191</v>
      </c>
      <c r="C309" s="209"/>
      <c r="D309" s="84" t="s">
        <v>194</v>
      </c>
      <c r="E309" s="76">
        <v>71.150000000000006</v>
      </c>
      <c r="F309" s="76"/>
      <c r="G309" s="76"/>
      <c r="H309" s="76">
        <v>1</v>
      </c>
      <c r="I309" s="76">
        <f>E309*H309</f>
        <v>71.150000000000006</v>
      </c>
    </row>
    <row r="310" spans="2:9">
      <c r="B310" s="204" t="s">
        <v>192</v>
      </c>
      <c r="C310" s="205"/>
      <c r="D310" s="85" t="s">
        <v>193</v>
      </c>
      <c r="E310" s="85">
        <v>103.97</v>
      </c>
      <c r="F310" s="77"/>
      <c r="G310" s="77"/>
      <c r="H310" s="76">
        <v>1</v>
      </c>
      <c r="I310" s="76">
        <f t="shared" ref="I310:I317" si="10">E310*H310</f>
        <v>103.97</v>
      </c>
    </row>
    <row r="311" spans="2:9">
      <c r="B311" s="204" t="s">
        <v>192</v>
      </c>
      <c r="C311" s="205"/>
      <c r="D311" s="85" t="s">
        <v>195</v>
      </c>
      <c r="E311" s="85">
        <v>65.66</v>
      </c>
      <c r="F311" s="77"/>
      <c r="G311" s="77"/>
      <c r="H311" s="76">
        <v>1</v>
      </c>
      <c r="I311" s="76">
        <f t="shared" si="10"/>
        <v>65.66</v>
      </c>
    </row>
    <row r="312" spans="2:9">
      <c r="B312" s="204" t="s">
        <v>196</v>
      </c>
      <c r="C312" s="205"/>
      <c r="D312" s="85" t="s">
        <v>197</v>
      </c>
      <c r="E312" s="85">
        <v>104.35</v>
      </c>
      <c r="F312" s="77"/>
      <c r="G312" s="77"/>
      <c r="H312" s="76">
        <v>1</v>
      </c>
      <c r="I312" s="76">
        <f t="shared" si="10"/>
        <v>104.35</v>
      </c>
    </row>
    <row r="313" spans="2:9">
      <c r="B313" s="204" t="s">
        <v>196</v>
      </c>
      <c r="C313" s="205"/>
      <c r="D313" s="85" t="s">
        <v>198</v>
      </c>
      <c r="E313" s="85">
        <v>65.63</v>
      </c>
      <c r="F313" s="77"/>
      <c r="G313" s="77"/>
      <c r="H313" s="76">
        <v>1</v>
      </c>
      <c r="I313" s="76">
        <f t="shared" si="10"/>
        <v>65.63</v>
      </c>
    </row>
    <row r="314" spans="2:9">
      <c r="B314" s="204" t="s">
        <v>196</v>
      </c>
      <c r="C314" s="205"/>
      <c r="D314" s="85" t="s">
        <v>199</v>
      </c>
      <c r="E314" s="85">
        <v>109.65</v>
      </c>
      <c r="F314" s="77"/>
      <c r="G314" s="77"/>
      <c r="H314" s="76">
        <v>1</v>
      </c>
      <c r="I314" s="76">
        <f t="shared" si="10"/>
        <v>109.65</v>
      </c>
    </row>
    <row r="315" spans="2:9">
      <c r="B315" s="204" t="s">
        <v>200</v>
      </c>
      <c r="C315" s="205"/>
      <c r="D315" s="85" t="s">
        <v>201</v>
      </c>
      <c r="E315" s="85">
        <v>33.479999999999997</v>
      </c>
      <c r="F315" s="77"/>
      <c r="G315" s="77"/>
      <c r="H315" s="76">
        <v>1</v>
      </c>
      <c r="I315" s="76">
        <f t="shared" si="10"/>
        <v>33.479999999999997</v>
      </c>
    </row>
    <row r="316" spans="2:9">
      <c r="B316" s="204" t="s">
        <v>202</v>
      </c>
      <c r="C316" s="205"/>
      <c r="D316" s="85" t="s">
        <v>203</v>
      </c>
      <c r="E316" s="85">
        <v>52.25</v>
      </c>
      <c r="F316" s="77"/>
      <c r="G316" s="77"/>
      <c r="H316" s="76">
        <v>1</v>
      </c>
      <c r="I316" s="76">
        <f t="shared" si="10"/>
        <v>52.25</v>
      </c>
    </row>
    <row r="317" spans="2:9">
      <c r="B317" s="204" t="s">
        <v>204</v>
      </c>
      <c r="C317" s="205"/>
      <c r="D317" s="85" t="s">
        <v>205</v>
      </c>
      <c r="E317" s="85">
        <v>46.56</v>
      </c>
      <c r="F317" s="77"/>
      <c r="G317" s="77"/>
      <c r="H317" s="76">
        <v>1</v>
      </c>
      <c r="I317" s="76">
        <f t="shared" si="10"/>
        <v>46.56</v>
      </c>
    </row>
    <row r="318" spans="2:9" ht="14.5" thickBot="1">
      <c r="B318" s="204"/>
      <c r="C318" s="205"/>
      <c r="D318" s="86"/>
      <c r="E318" s="87"/>
      <c r="F318" s="78"/>
      <c r="G318" s="78"/>
      <c r="H318" s="87"/>
      <c r="I318" s="76"/>
    </row>
    <row r="319" spans="2:9" ht="14.5" thickBot="1">
      <c r="B319" s="170"/>
      <c r="C319" s="171"/>
      <c r="D319" s="171"/>
      <c r="E319" s="171"/>
      <c r="F319" s="172"/>
      <c r="G319" s="206" t="s">
        <v>189</v>
      </c>
      <c r="H319" s="207"/>
      <c r="I319" s="82">
        <f>ROUND(SUM(I309:I318),2)</f>
        <v>652.70000000000005</v>
      </c>
    </row>
    <row r="323" spans="2:9" ht="14.5" thickBot="1"/>
    <row r="324" spans="2:9" ht="14.5" thickBot="1">
      <c r="B324" s="179" t="s">
        <v>181</v>
      </c>
      <c r="C324" s="203"/>
      <c r="D324" s="180"/>
      <c r="E324" s="180"/>
      <c r="F324" s="180"/>
      <c r="G324" s="180"/>
      <c r="H324" s="180"/>
      <c r="I324" s="181"/>
    </row>
    <row r="325" spans="2:9" ht="14.5" thickBot="1">
      <c r="B325" s="179"/>
      <c r="C325" s="203"/>
      <c r="D325" s="180"/>
      <c r="E325" s="180"/>
      <c r="F325" s="180"/>
      <c r="G325" s="180"/>
      <c r="H325" s="180"/>
      <c r="I325" s="181"/>
    </row>
    <row r="326" spans="2:9" ht="14.5" thickBot="1">
      <c r="B326" s="191"/>
      <c r="C326" s="192"/>
      <c r="D326" s="192"/>
      <c r="E326" s="192"/>
      <c r="F326" s="192"/>
      <c r="G326" s="192"/>
      <c r="H326" s="192"/>
      <c r="I326" s="193"/>
    </row>
    <row r="327" spans="2:9">
      <c r="B327" s="79" t="s">
        <v>115</v>
      </c>
      <c r="C327" s="194" t="s">
        <v>47</v>
      </c>
      <c r="D327" s="195"/>
      <c r="E327" s="195"/>
      <c r="F327" s="195"/>
      <c r="G327" s="195"/>
      <c r="H327" s="195"/>
      <c r="I327" s="196"/>
    </row>
    <row r="328" spans="2:9">
      <c r="B328" s="79" t="s">
        <v>182</v>
      </c>
      <c r="C328" s="197" t="s">
        <v>43</v>
      </c>
      <c r="D328" s="198"/>
      <c r="E328" s="198"/>
      <c r="F328" s="198"/>
      <c r="G328" s="198"/>
      <c r="H328" s="198"/>
      <c r="I328" s="199"/>
    </row>
    <row r="329" spans="2:9" ht="14.5" thickBot="1">
      <c r="B329" s="80" t="s">
        <v>116</v>
      </c>
      <c r="C329" s="200" t="s">
        <v>31</v>
      </c>
      <c r="D329" s="201"/>
      <c r="E329" s="201"/>
      <c r="F329" s="201"/>
      <c r="G329" s="201"/>
      <c r="H329" s="201"/>
      <c r="I329" s="202"/>
    </row>
    <row r="330" spans="2:9" ht="14.5" thickBot="1">
      <c r="B330" s="188"/>
      <c r="C330" s="189"/>
      <c r="D330" s="189"/>
      <c r="E330" s="189"/>
      <c r="F330" s="189"/>
      <c r="G330" s="189"/>
      <c r="H330" s="189"/>
      <c r="I330" s="190"/>
    </row>
    <row r="331" spans="2:9" ht="14.5" thickBot="1">
      <c r="B331" s="206" t="s">
        <v>183</v>
      </c>
      <c r="C331" s="207"/>
      <c r="D331" s="81" t="s">
        <v>190</v>
      </c>
      <c r="E331" s="81" t="s">
        <v>184</v>
      </c>
      <c r="F331" s="81"/>
      <c r="G331" s="81"/>
      <c r="H331" s="81" t="s">
        <v>187</v>
      </c>
      <c r="I331" s="81" t="s">
        <v>188</v>
      </c>
    </row>
    <row r="332" spans="2:9">
      <c r="B332" s="204" t="s">
        <v>206</v>
      </c>
      <c r="C332" s="205"/>
      <c r="D332" s="90" t="s">
        <v>207</v>
      </c>
      <c r="E332" s="91">
        <v>6</v>
      </c>
      <c r="F332" s="92"/>
      <c r="G332" s="92"/>
      <c r="H332" s="91">
        <v>75</v>
      </c>
      <c r="I332" s="76">
        <f>E332*H332</f>
        <v>450</v>
      </c>
    </row>
    <row r="333" spans="2:9">
      <c r="B333" s="204"/>
      <c r="C333" s="205"/>
      <c r="D333" s="84"/>
      <c r="E333" s="84"/>
      <c r="F333" s="75"/>
      <c r="G333" s="75"/>
      <c r="H333" s="76"/>
      <c r="I333" s="76"/>
    </row>
    <row r="334" spans="2:9">
      <c r="B334" s="204"/>
      <c r="C334" s="205"/>
      <c r="D334" s="85"/>
      <c r="E334" s="85"/>
      <c r="F334" s="77"/>
      <c r="G334" s="77"/>
      <c r="H334" s="76"/>
      <c r="I334" s="76"/>
    </row>
    <row r="335" spans="2:9">
      <c r="B335" s="204"/>
      <c r="C335" s="205"/>
      <c r="D335" s="85"/>
      <c r="E335" s="85"/>
      <c r="F335" s="77"/>
      <c r="G335" s="77"/>
      <c r="H335" s="76"/>
      <c r="I335" s="76"/>
    </row>
    <row r="336" spans="2:9">
      <c r="B336" s="204"/>
      <c r="C336" s="205"/>
      <c r="D336" s="85"/>
      <c r="E336" s="85"/>
      <c r="F336" s="77"/>
      <c r="G336" s="77"/>
      <c r="H336" s="76"/>
      <c r="I336" s="76"/>
    </row>
    <row r="337" spans="2:9">
      <c r="B337" s="204"/>
      <c r="C337" s="205"/>
      <c r="D337" s="85"/>
      <c r="E337" s="85"/>
      <c r="F337" s="77"/>
      <c r="G337" s="77"/>
      <c r="H337" s="76"/>
      <c r="I337" s="76"/>
    </row>
    <row r="338" spans="2:9">
      <c r="B338" s="204"/>
      <c r="C338" s="205"/>
      <c r="D338" s="85"/>
      <c r="E338" s="85"/>
      <c r="F338" s="77"/>
      <c r="G338" s="77"/>
      <c r="H338" s="76"/>
      <c r="I338" s="76"/>
    </row>
    <row r="339" spans="2:9">
      <c r="B339" s="204"/>
      <c r="C339" s="205"/>
      <c r="D339" s="85"/>
      <c r="E339" s="85"/>
      <c r="F339" s="77"/>
      <c r="G339" s="77"/>
      <c r="H339" s="76"/>
      <c r="I339" s="76"/>
    </row>
    <row r="340" spans="2:9">
      <c r="B340" s="204"/>
      <c r="C340" s="205"/>
      <c r="D340" s="85"/>
      <c r="E340" s="85"/>
      <c r="F340" s="77"/>
      <c r="G340" s="77"/>
      <c r="H340" s="76"/>
      <c r="I340" s="76"/>
    </row>
    <row r="341" spans="2:9" ht="14.5" thickBot="1">
      <c r="B341" s="204"/>
      <c r="C341" s="205"/>
      <c r="D341" s="86"/>
      <c r="E341" s="87"/>
      <c r="F341" s="78"/>
      <c r="G341" s="78"/>
      <c r="H341" s="87"/>
      <c r="I341" s="76"/>
    </row>
    <row r="342" spans="2:9" ht="14.5" thickBot="1">
      <c r="B342" s="170"/>
      <c r="C342" s="171"/>
      <c r="D342" s="171"/>
      <c r="E342" s="171"/>
      <c r="F342" s="172"/>
      <c r="G342" s="206" t="s">
        <v>189</v>
      </c>
      <c r="H342" s="207"/>
      <c r="I342" s="82">
        <f>ROUND(SUM(I332:I341),2)</f>
        <v>450</v>
      </c>
    </row>
    <row r="346" spans="2:9" ht="14.5" thickBot="1"/>
    <row r="347" spans="2:9" ht="14.5" thickBot="1">
      <c r="B347" s="179" t="s">
        <v>181</v>
      </c>
      <c r="C347" s="203"/>
      <c r="D347" s="180"/>
      <c r="E347" s="180"/>
      <c r="F347" s="180"/>
      <c r="G347" s="180"/>
      <c r="H347" s="180"/>
      <c r="I347" s="181"/>
    </row>
    <row r="348" spans="2:9" ht="14.5" thickBot="1">
      <c r="B348" s="179"/>
      <c r="C348" s="203"/>
      <c r="D348" s="180"/>
      <c r="E348" s="180"/>
      <c r="F348" s="180"/>
      <c r="G348" s="180"/>
      <c r="H348" s="180"/>
      <c r="I348" s="181"/>
    </row>
    <row r="349" spans="2:9" ht="14.5" thickBot="1">
      <c r="B349" s="191"/>
      <c r="C349" s="192"/>
      <c r="D349" s="192"/>
      <c r="E349" s="192"/>
      <c r="F349" s="192"/>
      <c r="G349" s="192"/>
      <c r="H349" s="192"/>
      <c r="I349" s="193"/>
    </row>
    <row r="350" spans="2:9">
      <c r="B350" s="79" t="s">
        <v>115</v>
      </c>
      <c r="C350" s="194" t="s">
        <v>48</v>
      </c>
      <c r="D350" s="195"/>
      <c r="E350" s="195"/>
      <c r="F350" s="195"/>
      <c r="G350" s="195"/>
      <c r="H350" s="195"/>
      <c r="I350" s="196"/>
    </row>
    <row r="351" spans="2:9">
      <c r="B351" s="79" t="s">
        <v>182</v>
      </c>
      <c r="C351" s="197" t="s">
        <v>44</v>
      </c>
      <c r="D351" s="198"/>
      <c r="E351" s="198"/>
      <c r="F351" s="198"/>
      <c r="G351" s="198"/>
      <c r="H351" s="198"/>
      <c r="I351" s="199"/>
    </row>
    <row r="352" spans="2:9" ht="14.5" thickBot="1">
      <c r="B352" s="80" t="s">
        <v>116</v>
      </c>
      <c r="C352" s="200" t="s">
        <v>132</v>
      </c>
      <c r="D352" s="201"/>
      <c r="E352" s="201"/>
      <c r="F352" s="201"/>
      <c r="G352" s="201"/>
      <c r="H352" s="201"/>
      <c r="I352" s="202"/>
    </row>
    <row r="353" spans="2:9" ht="14.5" thickBot="1">
      <c r="B353" s="188"/>
      <c r="C353" s="189"/>
      <c r="D353" s="189"/>
      <c r="E353" s="189"/>
      <c r="F353" s="189"/>
      <c r="G353" s="189"/>
      <c r="H353" s="189"/>
      <c r="I353" s="190"/>
    </row>
    <row r="354" spans="2:9" ht="14.5" thickBot="1">
      <c r="B354" s="206" t="s">
        <v>183</v>
      </c>
      <c r="C354" s="207"/>
      <c r="D354" s="81" t="s">
        <v>190</v>
      </c>
      <c r="E354" s="81"/>
      <c r="F354" s="81"/>
      <c r="G354" s="81"/>
      <c r="H354" s="81" t="s">
        <v>187</v>
      </c>
      <c r="I354" s="81" t="s">
        <v>188</v>
      </c>
    </row>
    <row r="355" spans="2:9">
      <c r="B355" s="204" t="s">
        <v>206</v>
      </c>
      <c r="C355" s="205"/>
      <c r="D355" s="90" t="s">
        <v>207</v>
      </c>
      <c r="E355" s="91"/>
      <c r="F355" s="92"/>
      <c r="G355" s="92"/>
      <c r="H355" s="91">
        <v>75</v>
      </c>
      <c r="I355" s="76">
        <f>H355</f>
        <v>75</v>
      </c>
    </row>
    <row r="356" spans="2:9">
      <c r="B356" s="204"/>
      <c r="C356" s="205"/>
      <c r="D356" s="84"/>
      <c r="E356" s="84"/>
      <c r="F356" s="75"/>
      <c r="G356" s="75"/>
      <c r="H356" s="76"/>
      <c r="I356" s="76"/>
    </row>
    <row r="357" spans="2:9">
      <c r="B357" s="204"/>
      <c r="C357" s="205"/>
      <c r="D357" s="85"/>
      <c r="E357" s="85"/>
      <c r="F357" s="77"/>
      <c r="G357" s="77"/>
      <c r="H357" s="76"/>
      <c r="I357" s="76"/>
    </row>
    <row r="358" spans="2:9">
      <c r="B358" s="204"/>
      <c r="C358" s="205"/>
      <c r="D358" s="85"/>
      <c r="E358" s="85"/>
      <c r="F358" s="77"/>
      <c r="G358" s="77"/>
      <c r="H358" s="76"/>
      <c r="I358" s="76"/>
    </row>
    <row r="359" spans="2:9">
      <c r="B359" s="204"/>
      <c r="C359" s="205"/>
      <c r="D359" s="85"/>
      <c r="E359" s="85"/>
      <c r="F359" s="77"/>
      <c r="G359" s="77"/>
      <c r="H359" s="76"/>
      <c r="I359" s="76"/>
    </row>
    <row r="360" spans="2:9">
      <c r="B360" s="204"/>
      <c r="C360" s="205"/>
      <c r="D360" s="85"/>
      <c r="E360" s="85"/>
      <c r="F360" s="77"/>
      <c r="G360" s="77"/>
      <c r="H360" s="76"/>
      <c r="I360" s="76"/>
    </row>
    <row r="361" spans="2:9">
      <c r="B361" s="204"/>
      <c r="C361" s="205"/>
      <c r="D361" s="85"/>
      <c r="E361" s="85"/>
      <c r="F361" s="77"/>
      <c r="G361" s="77"/>
      <c r="H361" s="76"/>
      <c r="I361" s="76"/>
    </row>
    <row r="362" spans="2:9">
      <c r="B362" s="204"/>
      <c r="C362" s="205"/>
      <c r="D362" s="85"/>
      <c r="E362" s="85"/>
      <c r="F362" s="77"/>
      <c r="G362" s="77"/>
      <c r="H362" s="76"/>
      <c r="I362" s="76"/>
    </row>
    <row r="363" spans="2:9">
      <c r="B363" s="204"/>
      <c r="C363" s="205"/>
      <c r="D363" s="85"/>
      <c r="E363" s="85"/>
      <c r="F363" s="77"/>
      <c r="G363" s="77"/>
      <c r="H363" s="76"/>
      <c r="I363" s="76"/>
    </row>
    <row r="364" spans="2:9" ht="14.5" thickBot="1">
      <c r="B364" s="204"/>
      <c r="C364" s="205"/>
      <c r="D364" s="86"/>
      <c r="E364" s="87"/>
      <c r="F364" s="78"/>
      <c r="G364" s="78"/>
      <c r="H364" s="87"/>
      <c r="I364" s="76"/>
    </row>
    <row r="365" spans="2:9" ht="14.5" thickBot="1">
      <c r="B365" s="170"/>
      <c r="C365" s="171"/>
      <c r="D365" s="171"/>
      <c r="E365" s="171"/>
      <c r="F365" s="172"/>
      <c r="G365" s="206" t="s">
        <v>189</v>
      </c>
      <c r="H365" s="207"/>
      <c r="I365" s="82">
        <f>ROUND(SUM(I355:I364),2)</f>
        <v>75</v>
      </c>
    </row>
  </sheetData>
  <mergeCells count="320">
    <mergeCell ref="B362:C362"/>
    <mergeCell ref="B363:C363"/>
    <mergeCell ref="B364:C364"/>
    <mergeCell ref="B365:F365"/>
    <mergeCell ref="G365:H365"/>
    <mergeCell ref="B356:C356"/>
    <mergeCell ref="B357:C357"/>
    <mergeCell ref="B358:C358"/>
    <mergeCell ref="B359:C359"/>
    <mergeCell ref="B360:C360"/>
    <mergeCell ref="B361:C361"/>
    <mergeCell ref="C350:I350"/>
    <mergeCell ref="C351:I351"/>
    <mergeCell ref="C352:I352"/>
    <mergeCell ref="B353:I353"/>
    <mergeCell ref="B354:C354"/>
    <mergeCell ref="B355:C355"/>
    <mergeCell ref="B341:C341"/>
    <mergeCell ref="B342:F342"/>
    <mergeCell ref="G342:H342"/>
    <mergeCell ref="B347:I347"/>
    <mergeCell ref="B348:I348"/>
    <mergeCell ref="B349:I349"/>
    <mergeCell ref="B335:C335"/>
    <mergeCell ref="B336:C336"/>
    <mergeCell ref="B337:C337"/>
    <mergeCell ref="B338:C338"/>
    <mergeCell ref="B339:C339"/>
    <mergeCell ref="B340:C340"/>
    <mergeCell ref="C329:I329"/>
    <mergeCell ref="B330:I330"/>
    <mergeCell ref="B331:C331"/>
    <mergeCell ref="B332:C332"/>
    <mergeCell ref="B333:C333"/>
    <mergeCell ref="B334:C334"/>
    <mergeCell ref="G319:H319"/>
    <mergeCell ref="B324:I324"/>
    <mergeCell ref="B325:I325"/>
    <mergeCell ref="B326:I326"/>
    <mergeCell ref="C327:I327"/>
    <mergeCell ref="C328:I328"/>
    <mergeCell ref="B314:C314"/>
    <mergeCell ref="B315:C315"/>
    <mergeCell ref="B316:C316"/>
    <mergeCell ref="B317:C317"/>
    <mergeCell ref="B318:C318"/>
    <mergeCell ref="B319:F319"/>
    <mergeCell ref="B308:C308"/>
    <mergeCell ref="B309:C309"/>
    <mergeCell ref="B310:C310"/>
    <mergeCell ref="B311:C311"/>
    <mergeCell ref="B312:C312"/>
    <mergeCell ref="B313:C313"/>
    <mergeCell ref="B302:I302"/>
    <mergeCell ref="B303:I303"/>
    <mergeCell ref="C304:I304"/>
    <mergeCell ref="C305:I305"/>
    <mergeCell ref="C306:I306"/>
    <mergeCell ref="B307:I307"/>
    <mergeCell ref="B293:C293"/>
    <mergeCell ref="B294:C294"/>
    <mergeCell ref="B295:C295"/>
    <mergeCell ref="B296:F296"/>
    <mergeCell ref="G296:H296"/>
    <mergeCell ref="B301:I301"/>
    <mergeCell ref="B287:C287"/>
    <mergeCell ref="B288:C288"/>
    <mergeCell ref="B289:C289"/>
    <mergeCell ref="B290:C290"/>
    <mergeCell ref="B291:C291"/>
    <mergeCell ref="B292:C292"/>
    <mergeCell ref="C281:I281"/>
    <mergeCell ref="C282:I282"/>
    <mergeCell ref="C283:I283"/>
    <mergeCell ref="B284:I284"/>
    <mergeCell ref="B285:C285"/>
    <mergeCell ref="B286:C286"/>
    <mergeCell ref="B272:C272"/>
    <mergeCell ref="B273:F273"/>
    <mergeCell ref="G273:H273"/>
    <mergeCell ref="B278:I278"/>
    <mergeCell ref="B279:I279"/>
    <mergeCell ref="B280:I280"/>
    <mergeCell ref="B266:C266"/>
    <mergeCell ref="B267:C267"/>
    <mergeCell ref="B268:C268"/>
    <mergeCell ref="B269:C269"/>
    <mergeCell ref="B270:C270"/>
    <mergeCell ref="B271:C271"/>
    <mergeCell ref="C260:I260"/>
    <mergeCell ref="B261:I261"/>
    <mergeCell ref="B262:C262"/>
    <mergeCell ref="B263:C263"/>
    <mergeCell ref="B264:C264"/>
    <mergeCell ref="B265:C265"/>
    <mergeCell ref="G250:H250"/>
    <mergeCell ref="B255:I255"/>
    <mergeCell ref="B256:I256"/>
    <mergeCell ref="B257:I257"/>
    <mergeCell ref="C258:I258"/>
    <mergeCell ref="C259:I259"/>
    <mergeCell ref="B245:C245"/>
    <mergeCell ref="B246:C246"/>
    <mergeCell ref="B247:C247"/>
    <mergeCell ref="B248:C248"/>
    <mergeCell ref="B249:C249"/>
    <mergeCell ref="B250:F250"/>
    <mergeCell ref="B239:C239"/>
    <mergeCell ref="B240:C240"/>
    <mergeCell ref="B241:C241"/>
    <mergeCell ref="B242:C242"/>
    <mergeCell ref="B243:C243"/>
    <mergeCell ref="B244:C244"/>
    <mergeCell ref="B233:I233"/>
    <mergeCell ref="B234:I234"/>
    <mergeCell ref="C235:I235"/>
    <mergeCell ref="C236:I236"/>
    <mergeCell ref="C237:I237"/>
    <mergeCell ref="B238:I238"/>
    <mergeCell ref="B224:C224"/>
    <mergeCell ref="B225:C225"/>
    <mergeCell ref="B226:C226"/>
    <mergeCell ref="B227:F227"/>
    <mergeCell ref="G227:H227"/>
    <mergeCell ref="B232:I232"/>
    <mergeCell ref="B218:C218"/>
    <mergeCell ref="B219:C219"/>
    <mergeCell ref="B220:C220"/>
    <mergeCell ref="B221:C221"/>
    <mergeCell ref="B222:C222"/>
    <mergeCell ref="B223:C223"/>
    <mergeCell ref="C212:I212"/>
    <mergeCell ref="C213:I213"/>
    <mergeCell ref="C214:I214"/>
    <mergeCell ref="B215:I215"/>
    <mergeCell ref="B216:C216"/>
    <mergeCell ref="B217:C217"/>
    <mergeCell ref="B203:C203"/>
    <mergeCell ref="B204:F204"/>
    <mergeCell ref="G204:H204"/>
    <mergeCell ref="B209:I209"/>
    <mergeCell ref="B210:I210"/>
    <mergeCell ref="B211:I211"/>
    <mergeCell ref="B197:C197"/>
    <mergeCell ref="B198:C198"/>
    <mergeCell ref="B199:C199"/>
    <mergeCell ref="B200:C200"/>
    <mergeCell ref="B201:C201"/>
    <mergeCell ref="B202:C202"/>
    <mergeCell ref="C191:I191"/>
    <mergeCell ref="B192:I192"/>
    <mergeCell ref="B193:C193"/>
    <mergeCell ref="B194:C194"/>
    <mergeCell ref="B195:C195"/>
    <mergeCell ref="B196:C196"/>
    <mergeCell ref="G181:H181"/>
    <mergeCell ref="B186:I186"/>
    <mergeCell ref="B187:I187"/>
    <mergeCell ref="B188:I188"/>
    <mergeCell ref="C189:I189"/>
    <mergeCell ref="C190:I190"/>
    <mergeCell ref="B176:C176"/>
    <mergeCell ref="B177:C177"/>
    <mergeCell ref="B178:C178"/>
    <mergeCell ref="B179:C179"/>
    <mergeCell ref="B180:C180"/>
    <mergeCell ref="B181:F181"/>
    <mergeCell ref="B170:C170"/>
    <mergeCell ref="B171:C171"/>
    <mergeCell ref="B172:C172"/>
    <mergeCell ref="B173:C173"/>
    <mergeCell ref="B174:C174"/>
    <mergeCell ref="B175:C175"/>
    <mergeCell ref="B164:I164"/>
    <mergeCell ref="B165:I165"/>
    <mergeCell ref="C166:I166"/>
    <mergeCell ref="C167:I167"/>
    <mergeCell ref="C168:I168"/>
    <mergeCell ref="B169:I169"/>
    <mergeCell ref="B155:C155"/>
    <mergeCell ref="B156:C156"/>
    <mergeCell ref="B157:C157"/>
    <mergeCell ref="B158:F158"/>
    <mergeCell ref="G158:H158"/>
    <mergeCell ref="B163:I163"/>
    <mergeCell ref="B149:C149"/>
    <mergeCell ref="B150:C150"/>
    <mergeCell ref="B151:C151"/>
    <mergeCell ref="B152:C152"/>
    <mergeCell ref="B153:C153"/>
    <mergeCell ref="B154:C154"/>
    <mergeCell ref="C143:I143"/>
    <mergeCell ref="C144:I144"/>
    <mergeCell ref="C145:I145"/>
    <mergeCell ref="B146:I146"/>
    <mergeCell ref="B147:C147"/>
    <mergeCell ref="B148:C148"/>
    <mergeCell ref="B134:C134"/>
    <mergeCell ref="B135:F135"/>
    <mergeCell ref="G135:H135"/>
    <mergeCell ref="B140:I140"/>
    <mergeCell ref="B141:I141"/>
    <mergeCell ref="B142:I142"/>
    <mergeCell ref="B128:C128"/>
    <mergeCell ref="B129:C129"/>
    <mergeCell ref="B130:C130"/>
    <mergeCell ref="B131:C131"/>
    <mergeCell ref="B132:C132"/>
    <mergeCell ref="B133:C133"/>
    <mergeCell ref="C122:I122"/>
    <mergeCell ref="B123:I123"/>
    <mergeCell ref="B124:C124"/>
    <mergeCell ref="B125:C125"/>
    <mergeCell ref="B126:C126"/>
    <mergeCell ref="B127:C127"/>
    <mergeCell ref="G112:H112"/>
    <mergeCell ref="B117:I117"/>
    <mergeCell ref="B118:I118"/>
    <mergeCell ref="B119:I119"/>
    <mergeCell ref="C120:I120"/>
    <mergeCell ref="C121:I121"/>
    <mergeCell ref="B107:C107"/>
    <mergeCell ref="B108:C108"/>
    <mergeCell ref="B109:C109"/>
    <mergeCell ref="B110:C110"/>
    <mergeCell ref="B111:C111"/>
    <mergeCell ref="B112:F112"/>
    <mergeCell ref="B101:C101"/>
    <mergeCell ref="B102:C102"/>
    <mergeCell ref="B103:C103"/>
    <mergeCell ref="B104:C104"/>
    <mergeCell ref="B105:C105"/>
    <mergeCell ref="B106:C106"/>
    <mergeCell ref="B95:I95"/>
    <mergeCell ref="B96:I96"/>
    <mergeCell ref="C97:I97"/>
    <mergeCell ref="C98:I98"/>
    <mergeCell ref="C99:I99"/>
    <mergeCell ref="B100:I100"/>
    <mergeCell ref="B86:C86"/>
    <mergeCell ref="B87:C87"/>
    <mergeCell ref="B88:C88"/>
    <mergeCell ref="B89:F89"/>
    <mergeCell ref="G89:H89"/>
    <mergeCell ref="B94:I94"/>
    <mergeCell ref="B80:C80"/>
    <mergeCell ref="B81:C81"/>
    <mergeCell ref="B82:C82"/>
    <mergeCell ref="B83:C83"/>
    <mergeCell ref="B84:C84"/>
    <mergeCell ref="B85:C85"/>
    <mergeCell ref="C74:I74"/>
    <mergeCell ref="C75:I75"/>
    <mergeCell ref="C76:I76"/>
    <mergeCell ref="B77:I77"/>
    <mergeCell ref="B78:C78"/>
    <mergeCell ref="B79:C79"/>
    <mergeCell ref="B65:C65"/>
    <mergeCell ref="B66:F66"/>
    <mergeCell ref="G66:H66"/>
    <mergeCell ref="B71:I71"/>
    <mergeCell ref="B72:I72"/>
    <mergeCell ref="B73:I73"/>
    <mergeCell ref="B59:C59"/>
    <mergeCell ref="B60:C60"/>
    <mergeCell ref="B61:C61"/>
    <mergeCell ref="B62:C62"/>
    <mergeCell ref="B63:C63"/>
    <mergeCell ref="B64:C64"/>
    <mergeCell ref="C53:I53"/>
    <mergeCell ref="B54:I54"/>
    <mergeCell ref="B55:C55"/>
    <mergeCell ref="B56:C56"/>
    <mergeCell ref="B57:C57"/>
    <mergeCell ref="B58:C58"/>
    <mergeCell ref="G43:H43"/>
    <mergeCell ref="B48:I48"/>
    <mergeCell ref="B49:I49"/>
    <mergeCell ref="B50:I50"/>
    <mergeCell ref="C51:I51"/>
    <mergeCell ref="C52:I52"/>
    <mergeCell ref="B38:C38"/>
    <mergeCell ref="B39:C39"/>
    <mergeCell ref="B40:C40"/>
    <mergeCell ref="B41:C41"/>
    <mergeCell ref="B42:C42"/>
    <mergeCell ref="B43:F43"/>
    <mergeCell ref="B32:C32"/>
    <mergeCell ref="B33:C33"/>
    <mergeCell ref="B34:C34"/>
    <mergeCell ref="B35:C35"/>
    <mergeCell ref="B36:C36"/>
    <mergeCell ref="B37:C37"/>
    <mergeCell ref="B26:I26"/>
    <mergeCell ref="B27:I27"/>
    <mergeCell ref="C28:I28"/>
    <mergeCell ref="C29:I29"/>
    <mergeCell ref="C30:I30"/>
    <mergeCell ref="B31:I31"/>
    <mergeCell ref="B17:C17"/>
    <mergeCell ref="B18:C18"/>
    <mergeCell ref="B19:C19"/>
    <mergeCell ref="B25:I25"/>
    <mergeCell ref="B9:C9"/>
    <mergeCell ref="B10:C10"/>
    <mergeCell ref="B11:C11"/>
    <mergeCell ref="B12:C12"/>
    <mergeCell ref="B13:C13"/>
    <mergeCell ref="B14:C14"/>
    <mergeCell ref="B20:F20"/>
    <mergeCell ref="G20:H20"/>
    <mergeCell ref="B8:I8"/>
    <mergeCell ref="B4:I4"/>
    <mergeCell ref="C5:I5"/>
    <mergeCell ref="C6:I6"/>
    <mergeCell ref="C7:I7"/>
    <mergeCell ref="B2:I2"/>
    <mergeCell ref="B3:I3"/>
    <mergeCell ref="B15:C15"/>
    <mergeCell ref="B16:C16"/>
  </mergeCells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ppto de obras</vt:lpstr>
      <vt:lpstr>cartera y cantidades</vt:lpstr>
      <vt:lpstr>apus</vt:lpstr>
      <vt:lpstr>memorias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LIBARDO PONTON SOCARRAS</dc:creator>
  <cp:lastModifiedBy>Usuario</cp:lastModifiedBy>
  <cp:lastPrinted>2026-10-06T12:04:43Z</cp:lastPrinted>
  <dcterms:created xsi:type="dcterms:W3CDTF">2026-09-30T21:07:15Z</dcterms:created>
  <dcterms:modified xsi:type="dcterms:W3CDTF">2026-10-26T16:14:26Z</dcterms:modified>
</cp:coreProperties>
</file>