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6"/>
  <workbookPr/>
  <mc:AlternateContent xmlns:mc="http://schemas.openxmlformats.org/markup-compatibility/2006">
    <mc:Choice Requires="x15">
      <x15ac:absPath xmlns:x15ac="http://schemas.microsoft.com/office/spreadsheetml/2010/11/ac" url="C:\Users\CAROL QUITIAN\Desktop\Tercera Revision OAPRE\"/>
    </mc:Choice>
  </mc:AlternateContent>
  <xr:revisionPtr revIDLastSave="6" documentId="13_ncr:1_{8E808B2E-7A40-4AC9-A0F6-7E9AB4D605A7}" xr6:coauthVersionLast="47" xr6:coauthVersionMax="47" xr10:uidLastSave="{9D585360-021A-4EFF-9A3C-AD15AB109E3E}"/>
  <bookViews>
    <workbookView xWindow="-120" yWindow="-120" windowWidth="20730" windowHeight="11040" firstSheet="2" activeTab="3" xr2:uid="{00000000-000D-0000-FFFF-FFFF00000000}"/>
  </bookViews>
  <sheets>
    <sheet name="Análisis_Cotizaciones_Prom" sheetId="2" state="hidden" r:id="rId1"/>
    <sheet name="Techo_Homologado" sheetId="3" state="hidden" r:id="rId2"/>
    <sheet name="Precios_Históricos_2025-2026" sheetId="6" r:id="rId3"/>
    <sheet name="PRESUPUESTO " sheetId="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1" l="1"/>
  <c r="F17" i="1"/>
  <c r="H17" i="1"/>
  <c r="G17" i="1"/>
  <c r="T13" i="1"/>
  <c r="J5" i="6"/>
  <c r="G5" i="6"/>
  <c r="AB2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E12" i="6"/>
  <c r="F12" i="6" s="1"/>
  <c r="D12" i="6"/>
  <c r="G12" i="6" s="1"/>
  <c r="H12" i="6" s="1"/>
  <c r="H11" i="6"/>
  <c r="G11" i="6"/>
  <c r="D11" i="6"/>
  <c r="K10" i="6"/>
  <c r="J10" i="6"/>
  <c r="G10" i="6"/>
  <c r="D10" i="6"/>
  <c r="E10" i="6" s="1"/>
  <c r="F10" i="6" s="1"/>
  <c r="J9" i="6"/>
  <c r="I9" i="6"/>
  <c r="G9" i="6"/>
  <c r="H9" i="6" s="1"/>
  <c r="F9" i="6"/>
  <c r="E9" i="6"/>
  <c r="D9" i="6"/>
  <c r="E8" i="6"/>
  <c r="D8" i="6"/>
  <c r="H7" i="6"/>
  <c r="G7" i="6"/>
  <c r="D7" i="6"/>
  <c r="B7" i="6"/>
  <c r="B8" i="6" s="1"/>
  <c r="B9" i="6" s="1"/>
  <c r="B10" i="6" s="1"/>
  <c r="B11" i="6" s="1"/>
  <c r="K6" i="6"/>
  <c r="J6" i="6"/>
  <c r="G6" i="6"/>
  <c r="F6" i="6"/>
  <c r="D6" i="6"/>
  <c r="E6" i="6" s="1"/>
  <c r="E5" i="6"/>
  <c r="D5" i="6"/>
  <c r="H20" i="3" a="1"/>
  <c r="H20" i="3" s="1"/>
  <c r="G20" i="3" a="1"/>
  <c r="G20" i="3" s="1"/>
  <c r="F20" i="3" a="1"/>
  <c r="F20" i="3" s="1"/>
  <c r="E20" i="3" a="1"/>
  <c r="E20" i="3" s="1"/>
  <c r="B20" i="3"/>
  <c r="B19" i="3"/>
  <c r="B18" i="3"/>
  <c r="B17" i="3"/>
  <c r="B16" i="3"/>
  <c r="B15" i="3"/>
  <c r="B14" i="3"/>
  <c r="B13" i="3"/>
  <c r="B12" i="3"/>
  <c r="I6" i="3" a="1"/>
  <c r="I6" i="3" s="1"/>
  <c r="E3" i="3"/>
  <c r="D3" i="3"/>
  <c r="B3" i="3"/>
  <c r="G53" i="2"/>
  <c r="F53" i="2"/>
  <c r="K53" i="2" s="1"/>
  <c r="G52" i="2"/>
  <c r="F52" i="2"/>
  <c r="K52" i="2" s="1"/>
  <c r="G51" i="2"/>
  <c r="F51" i="2"/>
  <c r="K51" i="2" s="1"/>
  <c r="G50" i="2"/>
  <c r="F50" i="2"/>
  <c r="K50" i="2" s="1"/>
  <c r="G49" i="2"/>
  <c r="F49" i="2"/>
  <c r="B49" i="2"/>
  <c r="B50" i="2" s="1"/>
  <c r="B51" i="2" s="1"/>
  <c r="B52" i="2" s="1"/>
  <c r="G48" i="2"/>
  <c r="F48" i="2"/>
  <c r="K48" i="2" s="1"/>
  <c r="B48" i="2"/>
  <c r="G47" i="2"/>
  <c r="F47" i="2"/>
  <c r="K47" i="2" s="1"/>
  <c r="G41" i="2"/>
  <c r="F41" i="2"/>
  <c r="K41" i="2" s="1"/>
  <c r="G40" i="2"/>
  <c r="F40" i="2"/>
  <c r="K40" i="2" s="1"/>
  <c r="G39" i="2"/>
  <c r="F39" i="2"/>
  <c r="K39" i="2" s="1"/>
  <c r="G38" i="2"/>
  <c r="F38" i="2"/>
  <c r="K38" i="2" s="1"/>
  <c r="G37" i="2"/>
  <c r="F37" i="2"/>
  <c r="K37" i="2" s="1"/>
  <c r="G36" i="2"/>
  <c r="F36" i="2"/>
  <c r="K36" i="2" s="1"/>
  <c r="B36" i="2"/>
  <c r="B37" i="2" s="1"/>
  <c r="B38" i="2" s="1"/>
  <c r="B39" i="2" s="1"/>
  <c r="G35" i="2"/>
  <c r="F35" i="2"/>
  <c r="K35" i="2" s="1"/>
  <c r="B35" i="2"/>
  <c r="G34" i="2"/>
  <c r="F34" i="2"/>
  <c r="K34" i="2" s="1"/>
  <c r="G27" i="2"/>
  <c r="F27" i="2"/>
  <c r="K27" i="2" s="1"/>
  <c r="G26" i="2"/>
  <c r="F26" i="2"/>
  <c r="K26" i="2" s="1"/>
  <c r="G25" i="2"/>
  <c r="F25" i="2"/>
  <c r="K25" i="2" s="1"/>
  <c r="B25" i="2"/>
  <c r="G24" i="2"/>
  <c r="F24" i="2"/>
  <c r="G23" i="2"/>
  <c r="F23" i="2"/>
  <c r="K23" i="2" s="1"/>
  <c r="B23" i="2"/>
  <c r="B24" i="2" s="1"/>
  <c r="G22" i="2"/>
  <c r="F22" i="2"/>
  <c r="K22" i="2" s="1"/>
  <c r="G21" i="2"/>
  <c r="F21" i="2"/>
  <c r="K21" i="2" s="1"/>
  <c r="B21" i="2"/>
  <c r="B22" i="2" s="1"/>
  <c r="G20" i="2"/>
  <c r="F20" i="2"/>
  <c r="M14" i="2"/>
  <c r="L14" i="2"/>
  <c r="Q14" i="2" s="1"/>
  <c r="M13" i="2"/>
  <c r="L13" i="2"/>
  <c r="G13" i="2"/>
  <c r="F13" i="2"/>
  <c r="M12" i="2"/>
  <c r="L12" i="2"/>
  <c r="Q12" i="2" s="1"/>
  <c r="G12" i="2"/>
  <c r="F12" i="2"/>
  <c r="M11" i="2"/>
  <c r="L11" i="2"/>
  <c r="Q11" i="2" s="1"/>
  <c r="G11" i="2"/>
  <c r="F11" i="2"/>
  <c r="M10" i="2"/>
  <c r="L10" i="2"/>
  <c r="Q10" i="2" s="1"/>
  <c r="G10" i="2"/>
  <c r="F10" i="2"/>
  <c r="M9" i="2"/>
  <c r="L9" i="2"/>
  <c r="Q9" i="2" s="1"/>
  <c r="G9" i="2"/>
  <c r="F9" i="2"/>
  <c r="B9" i="2"/>
  <c r="B10" i="2" s="1"/>
  <c r="B11" i="2" s="1"/>
  <c r="B12" i="2" s="1"/>
  <c r="M8" i="2"/>
  <c r="L8" i="2"/>
  <c r="G8" i="2"/>
  <c r="F8" i="2"/>
  <c r="B8" i="2"/>
  <c r="M7" i="2"/>
  <c r="L7" i="2"/>
  <c r="Q7" i="2" s="1"/>
  <c r="G7" i="2"/>
  <c r="F7" i="2"/>
  <c r="H15" i="1"/>
  <c r="G15" i="1"/>
  <c r="F13" i="1"/>
  <c r="K13" i="1" s="1"/>
  <c r="I10" i="1"/>
  <c r="T10" i="1" s="1"/>
  <c r="I9" i="1"/>
  <c r="B7" i="1"/>
  <c r="B8" i="1" s="1"/>
  <c r="I6" i="1"/>
  <c r="T6" i="1" s="1"/>
  <c r="E5" i="1"/>
  <c r="G19" i="2" s="1"/>
  <c r="T9" i="1" l="1"/>
  <c r="N12" i="2"/>
  <c r="O12" i="2" s="1"/>
  <c r="P12" i="2" s="1"/>
  <c r="N10" i="2"/>
  <c r="O10" i="2" s="1"/>
  <c r="P10" i="2" s="1"/>
  <c r="H39" i="2"/>
  <c r="I39" i="2" s="1"/>
  <c r="J39" i="2" s="1"/>
  <c r="L11" i="1"/>
  <c r="M11" i="1" s="1"/>
  <c r="L7" i="1"/>
  <c r="M7" i="1" s="1"/>
  <c r="H12" i="2"/>
  <c r="I12" i="2" s="1"/>
  <c r="F46" i="2"/>
  <c r="K46" i="2" s="1"/>
  <c r="H36" i="2"/>
  <c r="I36" i="2" s="1"/>
  <c r="J36" i="2" s="1"/>
  <c r="M6" i="2"/>
  <c r="J12" i="2"/>
  <c r="J13" i="2"/>
  <c r="J5" i="1"/>
  <c r="L12" i="1"/>
  <c r="M12" i="1" s="1"/>
  <c r="L8" i="1"/>
  <c r="M8" i="1" s="1"/>
  <c r="L9" i="1"/>
  <c r="N9" i="1" s="1"/>
  <c r="K12" i="2"/>
  <c r="H37" i="2"/>
  <c r="I37" i="2" s="1"/>
  <c r="J37" i="2" s="1"/>
  <c r="K5" i="1"/>
  <c r="J13" i="1"/>
  <c r="F19" i="2"/>
  <c r="K19" i="2" s="1"/>
  <c r="L10" i="1"/>
  <c r="M10" i="1" s="1"/>
  <c r="L6" i="1"/>
  <c r="M6" i="1" s="1"/>
  <c r="J10" i="2"/>
  <c r="N9" i="2"/>
  <c r="O9" i="2" s="1"/>
  <c r="P9" i="2" s="1"/>
  <c r="N14" i="2"/>
  <c r="O14" i="2" s="1"/>
  <c r="P14" i="2" s="1"/>
  <c r="H40" i="2"/>
  <c r="I40" i="2" s="1"/>
  <c r="J40" i="2" s="1"/>
  <c r="H52" i="2"/>
  <c r="I52" i="2" s="1"/>
  <c r="J52" i="2" s="1"/>
  <c r="H23" i="2"/>
  <c r="I23" i="2" s="1"/>
  <c r="J23" i="2" s="1"/>
  <c r="K9" i="2"/>
  <c r="H21" i="2"/>
  <c r="I21" i="2" s="1"/>
  <c r="J21" i="2" s="1"/>
  <c r="H53" i="2"/>
  <c r="I53" i="2" s="1"/>
  <c r="J53" i="2" s="1"/>
  <c r="H35" i="2"/>
  <c r="I35" i="2" s="1"/>
  <c r="J35" i="2" s="1"/>
  <c r="H50" i="2"/>
  <c r="I50" i="2" s="1"/>
  <c r="J50" i="2" s="1"/>
  <c r="J9" i="2"/>
  <c r="H26" i="2"/>
  <c r="I26" i="2" s="1"/>
  <c r="J26" i="2" s="1"/>
  <c r="G33" i="2"/>
  <c r="H47" i="2"/>
  <c r="I47" i="2" s="1"/>
  <c r="J47" i="2" s="1"/>
  <c r="H48" i="2"/>
  <c r="I48" i="2" s="1"/>
  <c r="J48" i="2" s="1"/>
  <c r="B9" i="1"/>
  <c r="J8" i="2"/>
  <c r="H8" i="2"/>
  <c r="I8" i="2" s="1"/>
  <c r="H11" i="2"/>
  <c r="I11" i="2" s="1"/>
  <c r="K11" i="2"/>
  <c r="F54" i="2"/>
  <c r="K54" i="2" s="1"/>
  <c r="F15" i="1"/>
  <c r="I7" i="3" s="1" a="1"/>
  <c r="I7" i="3" s="1"/>
  <c r="G14" i="2"/>
  <c r="C3" i="3"/>
  <c r="F14" i="2"/>
  <c r="Q13" i="2"/>
  <c r="N13" i="2"/>
  <c r="O13" i="2" s="1"/>
  <c r="P13" i="2" s="1"/>
  <c r="H7" i="2"/>
  <c r="I7" i="2" s="1"/>
  <c r="K7" i="2"/>
  <c r="K20" i="2"/>
  <c r="H20" i="2"/>
  <c r="I20" i="2" s="1"/>
  <c r="J20" i="2" s="1"/>
  <c r="G54" i="2"/>
  <c r="Q8" i="2"/>
  <c r="N8" i="2"/>
  <c r="O8" i="2" s="1"/>
  <c r="P8" i="2" s="1"/>
  <c r="H13" i="2"/>
  <c r="I13" i="2" s="1"/>
  <c r="H27" i="2"/>
  <c r="I27" i="2" s="1"/>
  <c r="J27" i="2" s="1"/>
  <c r="H22" i="2"/>
  <c r="I22" i="2" s="1"/>
  <c r="J22" i="2" s="1"/>
  <c r="K24" i="2"/>
  <c r="H24" i="2"/>
  <c r="I24" i="2" s="1"/>
  <c r="J24" i="2" s="1"/>
  <c r="K49" i="2"/>
  <c r="H49" i="2"/>
  <c r="I49" i="2" s="1"/>
  <c r="J49" i="2" s="1"/>
  <c r="H51" i="2"/>
  <c r="I51" i="2" s="1"/>
  <c r="J51" i="2" s="1"/>
  <c r="G46" i="2"/>
  <c r="F33" i="2"/>
  <c r="K33" i="2" s="1"/>
  <c r="F6" i="2"/>
  <c r="E15" i="1"/>
  <c r="L6" i="2"/>
  <c r="Q6" i="2" s="1"/>
  <c r="G6" i="2"/>
  <c r="J7" i="2"/>
  <c r="K8" i="2"/>
  <c r="K10" i="2"/>
  <c r="H10" i="2"/>
  <c r="I10" i="2" s="1"/>
  <c r="J11" i="2"/>
  <c r="K13" i="2"/>
  <c r="H41" i="2"/>
  <c r="I41" i="2" s="1"/>
  <c r="J41" i="2" s="1"/>
  <c r="N7" i="2"/>
  <c r="O7" i="2" s="1"/>
  <c r="P7" i="2" s="1"/>
  <c r="N11" i="2"/>
  <c r="O11" i="2" s="1"/>
  <c r="P11" i="2" s="1"/>
  <c r="H34" i="2"/>
  <c r="I34" i="2" s="1"/>
  <c r="J34" i="2" s="1"/>
  <c r="H38" i="2"/>
  <c r="I38" i="2" s="1"/>
  <c r="J38" i="2" s="1"/>
  <c r="H9" i="2"/>
  <c r="I9" i="2" s="1"/>
  <c r="H25" i="2"/>
  <c r="I25" i="2" s="1"/>
  <c r="J25" i="2" s="1"/>
  <c r="L10" i="6"/>
  <c r="J11" i="6"/>
  <c r="I11" i="6"/>
  <c r="J12" i="6"/>
  <c r="F5" i="6"/>
  <c r="I6" i="6"/>
  <c r="H6" i="6"/>
  <c r="E7" i="6"/>
  <c r="F7" i="6" s="1"/>
  <c r="K9" i="6"/>
  <c r="L6" i="6"/>
  <c r="J7" i="6"/>
  <c r="I7" i="6"/>
  <c r="G8" i="6"/>
  <c r="F8" i="6"/>
  <c r="H10" i="6"/>
  <c r="I10" i="6" s="1"/>
  <c r="E11" i="6"/>
  <c r="F11" i="6" s="1"/>
  <c r="I12" i="6"/>
  <c r="N7" i="1" l="1"/>
  <c r="Q7" i="1" s="1"/>
  <c r="H46" i="2"/>
  <c r="I46" i="2" s="1"/>
  <c r="J46" i="2" s="1"/>
  <c r="N6" i="1"/>
  <c r="O6" i="1" s="1"/>
  <c r="N11" i="1"/>
  <c r="O11" i="1" s="1"/>
  <c r="H19" i="2"/>
  <c r="I19" i="2" s="1"/>
  <c r="J19" i="2" s="1"/>
  <c r="N8" i="1"/>
  <c r="Q8" i="1" s="1"/>
  <c r="M9" i="1"/>
  <c r="L5" i="1"/>
  <c r="N5" i="1" s="1"/>
  <c r="N10" i="1"/>
  <c r="Q10" i="1" s="1"/>
  <c r="L13" i="1"/>
  <c r="N13" i="1" s="1"/>
  <c r="N12" i="1"/>
  <c r="R12" i="1" s="1"/>
  <c r="H6" i="2"/>
  <c r="I6" i="2" s="1"/>
  <c r="H54" i="2"/>
  <c r="I54" i="2" s="1"/>
  <c r="J54" i="2" s="1"/>
  <c r="M10" i="6"/>
  <c r="B10" i="1"/>
  <c r="K7" i="6"/>
  <c r="I7" i="1"/>
  <c r="T7" i="1" s="1"/>
  <c r="L12" i="6"/>
  <c r="K12" i="6"/>
  <c r="I12" i="1"/>
  <c r="T12" i="1" s="1"/>
  <c r="N6" i="2"/>
  <c r="O6" i="2" s="1"/>
  <c r="P6" i="2" s="1"/>
  <c r="H33" i="2"/>
  <c r="I33" i="2" s="1"/>
  <c r="J33" i="2" s="1"/>
  <c r="K14" i="2"/>
  <c r="J14" i="2"/>
  <c r="M6" i="6"/>
  <c r="L9" i="6"/>
  <c r="H5" i="6"/>
  <c r="I5" i="6" s="1"/>
  <c r="J8" i="6"/>
  <c r="I8" i="6"/>
  <c r="H8" i="6"/>
  <c r="K11" i="6"/>
  <c r="I11" i="1"/>
  <c r="T11" i="1" s="1"/>
  <c r="J6" i="2"/>
  <c r="K6" i="2"/>
  <c r="H14" i="2"/>
  <c r="I14" i="2" s="1"/>
  <c r="P7" i="1" l="1"/>
  <c r="M5" i="1"/>
  <c r="R11" i="1"/>
  <c r="R7" i="1"/>
  <c r="O7" i="1"/>
  <c r="P6" i="1"/>
  <c r="R6" i="1"/>
  <c r="Q6" i="1"/>
  <c r="Q11" i="1"/>
  <c r="P11" i="1"/>
  <c r="M13" i="1"/>
  <c r="O12" i="1"/>
  <c r="O8" i="1"/>
  <c r="O10" i="1"/>
  <c r="R10" i="1"/>
  <c r="Q9" i="1"/>
  <c r="P9" i="1"/>
  <c r="O9" i="1"/>
  <c r="R9" i="1"/>
  <c r="Q12" i="1"/>
  <c r="P8" i="1"/>
  <c r="P12" i="1"/>
  <c r="P10" i="1"/>
  <c r="R8" i="1"/>
  <c r="K5" i="6"/>
  <c r="I5" i="1"/>
  <c r="T5" i="1" s="1"/>
  <c r="L7" i="6"/>
  <c r="M12" i="6"/>
  <c r="K8" i="6"/>
  <c r="L8" i="6"/>
  <c r="I8" i="1"/>
  <c r="T8" i="1" s="1"/>
  <c r="L11" i="6"/>
  <c r="M9" i="6"/>
  <c r="B11" i="1"/>
  <c r="O13" i="1" l="1"/>
  <c r="P13" i="1"/>
  <c r="S7" i="1"/>
  <c r="U7" i="1" s="1"/>
  <c r="W7" i="1" s="1"/>
  <c r="X7" i="1" s="1"/>
  <c r="Y7" i="1" s="1"/>
  <c r="Q13" i="1"/>
  <c r="S6" i="1"/>
  <c r="U6" i="1" s="1"/>
  <c r="W6" i="1" s="1"/>
  <c r="X6" i="1" s="1"/>
  <c r="Y6" i="1" s="1"/>
  <c r="Z6" i="1" s="1"/>
  <c r="S11" i="1"/>
  <c r="U11" i="1" s="1"/>
  <c r="W11" i="1" s="1"/>
  <c r="X11" i="1" s="1"/>
  <c r="Y11" i="1" s="1"/>
  <c r="R13" i="1"/>
  <c r="S10" i="1"/>
  <c r="U10" i="1" s="1"/>
  <c r="W10" i="1" s="1"/>
  <c r="X10" i="1" s="1"/>
  <c r="Y10" i="1" s="1"/>
  <c r="S9" i="1"/>
  <c r="U9" i="1" s="1"/>
  <c r="W9" i="1" s="1"/>
  <c r="X9" i="1" s="1"/>
  <c r="Y9" i="1" s="1"/>
  <c r="S8" i="1"/>
  <c r="S12" i="1"/>
  <c r="U12" i="1" s="1"/>
  <c r="W12" i="1" s="1"/>
  <c r="X12" i="1" s="1"/>
  <c r="Y12" i="1" s="1"/>
  <c r="R5" i="1"/>
  <c r="Q5" i="1"/>
  <c r="P5" i="1"/>
  <c r="O5" i="1"/>
  <c r="B2" i="3" a="1"/>
  <c r="B2" i="3" s="1"/>
  <c r="I8" i="3" a="1"/>
  <c r="I8" i="3" s="1"/>
  <c r="M11" i="6"/>
  <c r="M8" i="6"/>
  <c r="M7" i="6"/>
  <c r="L5" i="6"/>
  <c r="AA6" i="1" l="1"/>
  <c r="S13" i="1"/>
  <c r="U13" i="1" s="1"/>
  <c r="W13" i="1" s="1"/>
  <c r="X13" i="1" s="1"/>
  <c r="Y13" i="1" s="1"/>
  <c r="Z13" i="1" s="1"/>
  <c r="AB6" i="1"/>
  <c r="Z9" i="1"/>
  <c r="AA9" i="1"/>
  <c r="AA7" i="1"/>
  <c r="Z7" i="1"/>
  <c r="AA12" i="1"/>
  <c r="Z12" i="1"/>
  <c r="AA10" i="1"/>
  <c r="Z10" i="1"/>
  <c r="AA11" i="1"/>
  <c r="Z11" i="1"/>
  <c r="U8" i="1"/>
  <c r="W8" i="1" s="1"/>
  <c r="X8" i="1" s="1"/>
  <c r="Y8" i="1" s="1"/>
  <c r="D16" i="3" a="1"/>
  <c r="D16" i="3" s="1"/>
  <c r="D18" i="3" a="1"/>
  <c r="D18" i="3" s="1"/>
  <c r="D14" i="3" a="1"/>
  <c r="D14" i="3" s="1"/>
  <c r="D19" i="3" a="1"/>
  <c r="D19" i="3" s="1"/>
  <c r="D2" i="3" a="1"/>
  <c r="D2" i="3" s="1"/>
  <c r="D4" i="3" s="1"/>
  <c r="S5" i="1"/>
  <c r="D15" i="3" a="1"/>
  <c r="D15" i="3" s="1"/>
  <c r="D20" i="3" a="1"/>
  <c r="D20" i="3" s="1"/>
  <c r="C2" i="3" a="1"/>
  <c r="C2" i="3" s="1"/>
  <c r="C4" i="3" s="1"/>
  <c r="D13" i="3" a="1"/>
  <c r="D13" i="3" s="1"/>
  <c r="D17" i="3" a="1"/>
  <c r="D17" i="3" s="1"/>
  <c r="D12" i="3" a="1"/>
  <c r="D12" i="3" s="1"/>
  <c r="B4" i="3"/>
  <c r="M5" i="6"/>
  <c r="E2" i="3" a="1"/>
  <c r="E2" i="3" s="1"/>
  <c r="E4" i="3" s="1"/>
  <c r="S15" i="1" l="1"/>
  <c r="AA13" i="1"/>
  <c r="AB13" i="1" s="1"/>
  <c r="AB9" i="1"/>
  <c r="AB11" i="1"/>
  <c r="AB12" i="1"/>
  <c r="AB7" i="1"/>
  <c r="Z8" i="1"/>
  <c r="AA8" i="1"/>
  <c r="AB10" i="1"/>
  <c r="U5" i="1"/>
  <c r="B6" i="3"/>
  <c r="B7" i="3" s="1"/>
  <c r="B8" i="3"/>
  <c r="W5" i="1" l="1"/>
  <c r="X5" i="1" s="1"/>
  <c r="Y5" i="1" s="1"/>
  <c r="Z5" i="1" s="1"/>
  <c r="U15" i="1"/>
  <c r="AB8" i="1"/>
  <c r="B9" i="3"/>
  <c r="C20" i="3" s="1"/>
  <c r="H15" i="3" a="1"/>
  <c r="H15" i="3" s="1"/>
  <c r="F19" i="3" a="1"/>
  <c r="F19" i="3" s="1"/>
  <c r="H12" i="3" a="1"/>
  <c r="H12" i="3" s="1"/>
  <c r="F18" i="3" a="1"/>
  <c r="F18" i="3" s="1"/>
  <c r="E13" i="3" a="1"/>
  <c r="E13" i="3" s="1"/>
  <c r="E16" i="3" a="1"/>
  <c r="E16" i="3" s="1"/>
  <c r="E17" i="3" a="1"/>
  <c r="E17" i="3" s="1"/>
  <c r="F14" i="3" a="1"/>
  <c r="F14" i="3" s="1"/>
  <c r="G14" i="3" a="1"/>
  <c r="G14" i="3" s="1"/>
  <c r="E15" i="3" a="1"/>
  <c r="E15" i="3" s="1"/>
  <c r="E19" i="3" a="1"/>
  <c r="E19" i="3" s="1"/>
  <c r="E12" i="3" a="1"/>
  <c r="E12" i="3" s="1"/>
  <c r="E18" i="3" a="1"/>
  <c r="E18" i="3" s="1"/>
  <c r="F13" i="3" a="1"/>
  <c r="F13" i="3" s="1"/>
  <c r="H16" i="3" a="1"/>
  <c r="H16" i="3" s="1"/>
  <c r="F17" i="3" a="1"/>
  <c r="F17" i="3" s="1"/>
  <c r="E14" i="3" a="1"/>
  <c r="E14" i="3" s="1"/>
  <c r="F15" i="3" a="1"/>
  <c r="F15" i="3" s="1"/>
  <c r="H19" i="3" a="1"/>
  <c r="H19" i="3" s="1"/>
  <c r="F12" i="3" a="1"/>
  <c r="F12" i="3" s="1"/>
  <c r="H18" i="3" a="1"/>
  <c r="H18" i="3" s="1"/>
  <c r="G13" i="3" a="1"/>
  <c r="G13" i="3" s="1"/>
  <c r="G16" i="3" a="1"/>
  <c r="G16" i="3" s="1"/>
  <c r="G17" i="3" a="1"/>
  <c r="G17" i="3" s="1"/>
  <c r="H14" i="3" a="1"/>
  <c r="H14" i="3" s="1"/>
  <c r="G15" i="3" a="1"/>
  <c r="G15" i="3" s="1"/>
  <c r="G19" i="3" a="1"/>
  <c r="G19" i="3" s="1"/>
  <c r="G12" i="3" a="1"/>
  <c r="G12" i="3" s="1"/>
  <c r="G18" i="3" a="1"/>
  <c r="G18" i="3" s="1"/>
  <c r="H13" i="3" a="1"/>
  <c r="H13" i="3" s="1"/>
  <c r="F16" i="3" a="1"/>
  <c r="F16" i="3" s="1"/>
  <c r="H17" i="3" a="1"/>
  <c r="H17" i="3" s="1"/>
  <c r="AA5" i="1" l="1"/>
  <c r="AA15" i="1" s="1"/>
  <c r="Z18" i="1" s="1"/>
  <c r="Z15" i="1"/>
  <c r="Z17" i="1" s="1"/>
  <c r="C17" i="3"/>
  <c r="C16" i="3"/>
  <c r="C14" i="3"/>
  <c r="C18" i="3"/>
  <c r="C13" i="3"/>
  <c r="C19" i="3"/>
  <c r="C15" i="3"/>
  <c r="C12" i="3"/>
  <c r="AB5" i="1" l="1"/>
  <c r="AB15" i="1" s="1"/>
  <c r="AA17" i="1"/>
  <c r="Z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<sst xmlns="http://schemas.openxmlformats.org/spreadsheetml/2006/main" count="178" uniqueCount="91">
  <si>
    <t>Tiempo en meses</t>
  </si>
  <si>
    <t>PODA POR TÚNEL</t>
  </si>
  <si>
    <t>ITEM</t>
  </si>
  <si>
    <t>CANT PARA 3 ZONAS Y ZONA 0</t>
  </si>
  <si>
    <t>PERSONAL PROFESIONAL</t>
  </si>
  <si>
    <t>PROMEDIO</t>
  </si>
  <si>
    <t>DESVIACIÓN ESTÁNDAR</t>
  </si>
  <si>
    <t>COEFICIENTE DE VARIACIÓN</t>
  </si>
  <si>
    <t>ÍNDICE DE CONFIABILIDAD</t>
  </si>
  <si>
    <t>LÍMITE SUPERIOR</t>
  </si>
  <si>
    <t>LÍMITE INFERIOR</t>
  </si>
  <si>
    <t>NUEVO PROMEDIO
EXCLUYENDO VOLRES FUERA DEL TÚNEL ESTADÍSTICO</t>
  </si>
  <si>
    <t>NUEVA DESVIACIÓN ESTÁNDAR
EXCLUYENDO VOLRES FUERA DEL TÚNEL ESTADÍSTICO</t>
  </si>
  <si>
    <t>NUEVO COEFICIENTE DE VARIACIÓN</t>
  </si>
  <si>
    <t>NUEVO ÍNDICE DE CONFIABILIDAD</t>
  </si>
  <si>
    <t>GENERA CONFIABILIDAD</t>
  </si>
  <si>
    <t>PRECIO TECHO  UNITARIO MENSUAL SERVICIO IVA INCLUIDO</t>
  </si>
  <si>
    <t>Gerente de Interventoría</t>
  </si>
  <si>
    <t>Coordinador Técnico</t>
  </si>
  <si>
    <t>Ingeniero de calidad y soporte de servicio</t>
  </si>
  <si>
    <t>Ingeniero de seguridad de la información</t>
  </si>
  <si>
    <t>Ingeniero de apoyo administrativo</t>
  </si>
  <si>
    <t>Contador Titulado</t>
  </si>
  <si>
    <t>Abogado</t>
  </si>
  <si>
    <t>Técnico en sistemas para gestionar el estado de los servicios</t>
  </si>
  <si>
    <t>Costos indirectos derivados de la  prestación mensual del servicio de interventoría.</t>
  </si>
  <si>
    <t>PODA ARBITRARIA DE EXTREMOS</t>
  </si>
  <si>
    <t>PODA ARBITRARIA DE EXTREMO SUPERIOR</t>
  </si>
  <si>
    <t>PODA ARBITRARIA DE EXTREMO INFERIOR</t>
  </si>
  <si>
    <t>A1: PARÁMETROS AIU (HOMOLOGACIÓN)</t>
  </si>
  <si>
    <t>B1: ICOMM</t>
  </si>
  <si>
    <t>C1: OPM</t>
  </si>
  <si>
    <t>D1: REDCOM</t>
  </si>
  <si>
    <t>E1: TBK</t>
  </si>
  <si>
    <t>A2: Directos mensuales (D_i)</t>
  </si>
  <si>
    <t>A3: Indirectos mensuales (I_i) - Ítem 9</t>
  </si>
  <si>
    <t>A4: AIU_i = I_i / D_i</t>
  </si>
  <si>
    <t>A6: AIU_P75 (mercado)</t>
  </si>
  <si>
    <t>A7: AIU_REF (política mercado)</t>
  </si>
  <si>
    <t>A8: D_REF_P90 (directos mercado)</t>
  </si>
  <si>
    <t>A9: TECHO ÍTEM 9 (indirectos)</t>
  </si>
  <si>
    <t>DESCRIPCIÓN</t>
  </si>
  <si>
    <t>TECHO MENSUAL (IVA incl.)</t>
  </si>
  <si>
    <t>Validación</t>
  </si>
  <si>
    <t>ICOMM_hom</t>
  </si>
  <si>
    <t>OPM_hom</t>
  </si>
  <si>
    <t>REDCOM_hom</t>
  </si>
  <si>
    <t>TBK_hom</t>
  </si>
  <si>
    <t>PRECIOS BASE OBTENIDOS DEL CONTRATO EN EJECUCIÓN ACTUALMENTE</t>
  </si>
  <si>
    <t>INDEXACIÓN 2026 (PRECIOS BASE OBTENIDOS DEL CONTRATO EN EJECUCIÓN ACTUALMENTE + IPC 5,1%)</t>
  </si>
  <si>
    <t>INDEXACIÓN 2027 (PRECIOS INDEXADOS A 2026 + SUPUESTO DE IPC 6,3%)</t>
  </si>
  <si>
    <t>VALOR DE REFERENCIA</t>
  </si>
  <si>
    <t>PERSONAL PROFESIONAL / SERVICIO</t>
  </si>
  <si>
    <t>COSTO UNITARIO MENSUAL ANTES DE IVA</t>
  </si>
  <si>
    <t>IVA</t>
  </si>
  <si>
    <t>COSTO UNITARIO MENSUAL IVA INCLUIDO</t>
  </si>
  <si>
    <t>COSTO UNITARIO MENSUAL INDEXADO 2026 ANTES DE IVA</t>
  </si>
  <si>
    <t>COSTO UNITARIO MENSUAL INDEXADO 2026 IVA INCLUIDO</t>
  </si>
  <si>
    <t>COSTO UNITARIO MENSUAL INDEXADO 2027 ANTES DE IVA</t>
  </si>
  <si>
    <t>COSTO UNITARIO MENSUAL INDEXADO 2027 IVA INCLUIDO</t>
  </si>
  <si>
    <t>Profesional de apoyo administrativo</t>
  </si>
  <si>
    <t>INDEXACIÓN 2027 (PRECIOS CONTRATO ANTERIOR  INDEXADOS A 2026 + SUPUESTO DE IPC 6,3%)</t>
  </si>
  <si>
    <t>CALCULO POR CUARTILES DENTRO DE LOS LIMITES INFERIOR Y SUPERIOR</t>
  </si>
  <si>
    <t>VALORES COTIZADOS EN EL MARCO DE LOS LIMITES ESTABLECIDOS</t>
  </si>
  <si>
    <t>APLICACIÓN DE LA MEDIA ARMONICA E INDEXACION VALOR HISTORICOS 2026</t>
  </si>
  <si>
    <t xml:space="preserve">Meses </t>
  </si>
  <si>
    <t xml:space="preserve">CANT </t>
  </si>
  <si>
    <t xml:space="preserve">DETERMINACION DE LOS PRECIOS TECHO Y PRESUPUESTO </t>
  </si>
  <si>
    <t>ICOMM SOLUTIONS S.A.S.</t>
  </si>
  <si>
    <t>OPM CONSULTORIA SAS BIC</t>
  </si>
  <si>
    <t>REDCOM S.A.S.</t>
  </si>
  <si>
    <t>TBK CONSULTORES S.A.S.</t>
  </si>
  <si>
    <t>CUARTIL 1</t>
  </si>
  <si>
    <t>CUARTIL 3</t>
  </si>
  <si>
    <t xml:space="preserve">RANGO INTERCUARTILICO </t>
  </si>
  <si>
    <t>Límite inferior</t>
  </si>
  <si>
    <t>Límite superior</t>
  </si>
  <si>
    <t>MEDIA ARMONICA DE LAS COTIZACIONES  INCLUIDAS</t>
  </si>
  <si>
    <t>MEDIA ARMÓNICA DE LAS COTIZACIOES RECIBIDAS Y EL VALOR HISORICO INDEXADO</t>
  </si>
  <si>
    <t>PRECIO TECHO UNITARIO  MENSUAL ANTES DE IVA</t>
  </si>
  <si>
    <t>PRECIO TECHO UNITARIO  MENSUAL IVA INCLUIDO</t>
  </si>
  <si>
    <t xml:space="preserve">COSTO TOTAL 2026 (0,5 MESES) </t>
  </si>
  <si>
    <t xml:space="preserve">COSTO TOTAL 2027
 (12 MESES) </t>
  </si>
  <si>
    <t>COSTO (12,5 MESES)  PARA 3 CONTRATOS (3 ZONAS) INCLUIDO IVA</t>
  </si>
  <si>
    <t>NO APLICA</t>
  </si>
  <si>
    <t>TOTAL</t>
  </si>
  <si>
    <t>VALOR TOTAL</t>
  </si>
  <si>
    <t>% de partipación Costos indirectos derivados de la  prestación mensual del servicio de interventoría, frente al valor mensual del servicio</t>
  </si>
  <si>
    <t>VALOR 2026</t>
  </si>
  <si>
    <t>VALOR 2027</t>
  </si>
  <si>
    <t>ESCENARIO ALTERNATIVO: CUARTILES Y MEDIA ARMÓNICA, MERCADO E HISTÓRICO CON IGUAL 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</si>
</sst>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-[$$-240A]\ * #,##0.00_-;\-[$$-240A]\ * #,##0.00_-;_-[$$-240A]\ * &quot;-&quot;??_-;_-@_-"/>
    <numFmt numFmtId="166" formatCode="_-[$$-240A]\ * #,##0.00_ ;_-[$$-240A]\ * \-#,##0.00\ ;_-[$$-240A]\ * &quot;-&quot;??_ ;_-@_ "/>
    <numFmt numFmtId="167" formatCode="&quot;$&quot;\ #,##0.00"/>
    <numFmt numFmtId="168" formatCode="&quot;$&quot;\ #,##0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11"/>
      <color theme="1"/>
      <name val="Arial"/>
      <family val="2"/>
    </font>
    <font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8"/>
      <name val="Aptos Narrow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59996337778862885"/>
        <bgColor indexed="65"/>
      </patternFill>
    </fill>
    <fill>
      <patternFill patternType="solid">
        <fgColor theme="0"/>
      </patternFill>
    </fill>
    <fill>
      <patternFill patternType="solid">
        <fgColor theme="5" tint="-0.249977111117893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theme="3" tint="0.749961851863155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rgb="FF243D5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1" xfId="0" applyBorder="1"/>
    <xf numFmtId="164" fontId="0" fillId="0" borderId="1" xfId="1" applyFont="1" applyBorder="1"/>
    <xf numFmtId="164" fontId="0" fillId="0" borderId="1" xfId="0" applyNumberFormat="1" applyBorder="1"/>
    <xf numFmtId="9" fontId="0" fillId="0" borderId="1" xfId="2" applyFont="1" applyBorder="1"/>
    <xf numFmtId="9" fontId="0" fillId="0" borderId="1" xfId="0" applyNumberFormat="1" applyBorder="1"/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/>
    <xf numFmtId="10" fontId="0" fillId="0" borderId="1" xfId="0" applyNumberFormat="1" applyBorder="1"/>
    <xf numFmtId="164" fontId="0" fillId="0" borderId="1" xfId="0" applyNumberForma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wrapText="1"/>
    </xf>
    <xf numFmtId="1" fontId="4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164" fontId="0" fillId="0" borderId="0" xfId="1" applyFont="1"/>
    <xf numFmtId="164" fontId="0" fillId="0" borderId="0" xfId="1" applyFont="1" applyAlignment="1">
      <alignment wrapText="1"/>
    </xf>
    <xf numFmtId="10" fontId="0" fillId="0" borderId="0" xfId="2" applyNumberFormat="1" applyFont="1"/>
    <xf numFmtId="0" fontId="6" fillId="0" borderId="0" xfId="0" applyFont="1" applyAlignment="1">
      <alignment vertical="center"/>
    </xf>
    <xf numFmtId="166" fontId="0" fillId="0" borderId="0" xfId="0" applyNumberFormat="1"/>
    <xf numFmtId="166" fontId="8" fillId="0" borderId="1" xfId="0" applyNumberFormat="1" applyFont="1" applyBorder="1" applyAlignment="1">
      <alignment vertical="center" wrapText="1"/>
    </xf>
    <xf numFmtId="166" fontId="8" fillId="0" borderId="1" xfId="0" applyNumberFormat="1" applyFont="1" applyBorder="1"/>
    <xf numFmtId="165" fontId="0" fillId="0" borderId="0" xfId="0" applyNumberFormat="1"/>
    <xf numFmtId="10" fontId="0" fillId="2" borderId="1" xfId="2" applyNumberFormat="1" applyFont="1" applyFill="1" applyBorder="1" applyAlignment="1">
      <alignment horizontal="center" vertical="center"/>
    </xf>
    <xf numFmtId="10" fontId="0" fillId="10" borderId="1" xfId="2" applyNumberFormat="1" applyFont="1" applyFill="1" applyBorder="1" applyAlignment="1">
      <alignment horizontal="center" vertical="center"/>
    </xf>
    <xf numFmtId="10" fontId="0" fillId="9" borderId="1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0" borderId="1" xfId="1" applyNumberFormat="1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2" borderId="1" xfId="0" applyNumberFormat="1" applyFill="1" applyBorder="1" applyAlignment="1">
      <alignment horizontal="center" vertical="center"/>
    </xf>
    <xf numFmtId="167" fontId="0" fillId="10" borderId="1" xfId="0" applyNumberFormat="1" applyFill="1" applyBorder="1" applyAlignment="1">
      <alignment horizontal="center" vertical="center"/>
    </xf>
    <xf numFmtId="167" fontId="0" fillId="9" borderId="1" xfId="0" applyNumberFormat="1" applyFill="1" applyBorder="1" applyAlignment="1">
      <alignment horizontal="center" vertical="center"/>
    </xf>
    <xf numFmtId="167" fontId="0" fillId="11" borderId="1" xfId="0" applyNumberFormat="1" applyFill="1" applyBorder="1" applyAlignment="1">
      <alignment horizontal="center" vertical="center"/>
    </xf>
    <xf numFmtId="167" fontId="2" fillId="11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0" fillId="0" borderId="0" xfId="1" applyFont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8" fontId="11" fillId="0" borderId="1" xfId="1" applyNumberFormat="1" applyFont="1" applyBorder="1" applyAlignment="1">
      <alignment horizontal="center" vertical="center"/>
    </xf>
    <xf numFmtId="168" fontId="0" fillId="0" borderId="1" xfId="1" applyNumberFormat="1" applyFont="1" applyFill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13" borderId="1" xfId="0" applyFont="1" applyFill="1" applyBorder="1" applyAlignment="1">
      <alignment horizontal="center" vertical="center" wrapText="1"/>
    </xf>
    <xf numFmtId="167" fontId="2" fillId="13" borderId="1" xfId="0" applyNumberFormat="1" applyFont="1" applyFill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167" fontId="2" fillId="15" borderId="1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166" fontId="8" fillId="16" borderId="1" xfId="0" applyNumberFormat="1" applyFont="1" applyFill="1" applyBorder="1" applyAlignment="1">
      <alignment vertical="center" wrapText="1"/>
    </xf>
    <xf numFmtId="167" fontId="2" fillId="0" borderId="0" xfId="0" applyNumberFormat="1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 wrapText="1"/>
    </xf>
    <xf numFmtId="0" fontId="12" fillId="12" borderId="7" xfId="0" applyFont="1" applyFill="1" applyBorder="1" applyAlignment="1">
      <alignment horizontal="center" vertical="center" wrapText="1"/>
    </xf>
    <xf numFmtId="0" fontId="3" fillId="18" borderId="1" xfId="0" applyFont="1" applyFill="1" applyBorder="1" applyAlignment="1">
      <alignment horizontal="center" vertical="center" wrapText="1"/>
    </xf>
    <xf numFmtId="168" fontId="0" fillId="18" borderId="1" xfId="0" applyNumberForma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14" borderId="17" xfId="0" applyFont="1" applyFill="1" applyBorder="1" applyAlignment="1">
      <alignment horizontal="center" vertical="center" wrapText="1"/>
    </xf>
    <xf numFmtId="0" fontId="2" fillId="14" borderId="18" xfId="0" applyFont="1" applyFill="1" applyBorder="1" applyAlignment="1">
      <alignment horizontal="center" vertical="center" wrapText="1"/>
    </xf>
    <xf numFmtId="0" fontId="2" fillId="14" borderId="19" xfId="0" applyFont="1" applyFill="1" applyBorder="1" applyAlignment="1">
      <alignment horizontal="center" vertical="center" wrapText="1"/>
    </xf>
    <xf numFmtId="0" fontId="2" fillId="14" borderId="20" xfId="0" applyFont="1" applyFill="1" applyBorder="1" applyAlignment="1">
      <alignment horizontal="center" vertical="center" wrapText="1"/>
    </xf>
    <xf numFmtId="0" fontId="2" fillId="14" borderId="21" xfId="0" applyFont="1" applyFill="1" applyBorder="1" applyAlignment="1">
      <alignment horizontal="center" vertical="center" wrapText="1"/>
    </xf>
    <xf numFmtId="0" fontId="2" fillId="14" borderId="22" xfId="0" applyFont="1" applyFill="1" applyBorder="1" applyAlignment="1">
      <alignment horizontal="center" vertical="center" wrapText="1"/>
    </xf>
    <xf numFmtId="0" fontId="2" fillId="14" borderId="17" xfId="0" applyFont="1" applyFill="1" applyBorder="1" applyAlignment="1">
      <alignment horizontal="center" vertical="center"/>
    </xf>
    <xf numFmtId="0" fontId="2" fillId="14" borderId="18" xfId="0" applyFont="1" applyFill="1" applyBorder="1" applyAlignment="1">
      <alignment horizontal="center" vertical="center"/>
    </xf>
    <xf numFmtId="0" fontId="2" fillId="14" borderId="19" xfId="0" applyFont="1" applyFill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17" borderId="5" xfId="0" applyFont="1" applyFill="1" applyBorder="1" applyAlignment="1">
      <alignment horizontal="center" vertical="center" wrapText="1"/>
    </xf>
    <xf numFmtId="0" fontId="3" fillId="17" borderId="12" xfId="0" applyFont="1" applyFill="1" applyBorder="1" applyAlignment="1">
      <alignment horizontal="center" vertical="center" wrapText="1"/>
    </xf>
    <xf numFmtId="0" fontId="3" fillId="17" borderId="6" xfId="0" applyFont="1" applyFill="1" applyBorder="1" applyAlignment="1">
      <alignment horizontal="center" vertical="center" wrapText="1"/>
    </xf>
    <xf numFmtId="0" fontId="3" fillId="17" borderId="7" xfId="0" applyFont="1" applyFill="1" applyBorder="1" applyAlignment="1">
      <alignment horizontal="center" vertical="center" wrapText="1"/>
    </xf>
    <xf numFmtId="0" fontId="3" fillId="17" borderId="11" xfId="0" applyFont="1" applyFill="1" applyBorder="1" applyAlignment="1">
      <alignment horizontal="center" vertical="center" wrapText="1"/>
    </xf>
    <xf numFmtId="0" fontId="3" fillId="17" borderId="8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</cellXfs>
  <cellStyles count="3">
    <cellStyle name="Moneda" xfId="1" xr:uid="{00000000-0005-0000-0000-000000000000}"/>
    <cellStyle name="Normal" xfId="0" builtinId="0"/>
    <cellStyle name="Porcentaje" xfId="2" xr:uid="{00000000-0005-0000-0000-000002000000}"/>
  </cellStyles>
  <dxfs count="1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Q54"/>
  <sheetViews>
    <sheetView workbookViewId="0"/>
  </sheetViews>
  <sheetFormatPr defaultColWidth="11.42578125" defaultRowHeight="15"/>
  <cols>
    <col min="2" max="2" width="7.28515625" customWidth="1"/>
    <col min="3" max="3" width="19.140625" customWidth="1"/>
    <col min="4" max="4" width="63.140625" customWidth="1"/>
    <col min="5" max="5" width="0.42578125" customWidth="1"/>
    <col min="6" max="6" width="18.28515625" customWidth="1"/>
    <col min="7" max="7" width="18.140625" customWidth="1"/>
    <col min="8" max="8" width="22.85546875" customWidth="1"/>
    <col min="9" max="9" width="19.28515625" customWidth="1"/>
    <col min="10" max="10" width="20.140625" customWidth="1"/>
    <col min="11" max="11" width="15.42578125" customWidth="1"/>
    <col min="12" max="12" width="26.42578125" customWidth="1"/>
    <col min="13" max="13" width="30.28515625" customWidth="1"/>
    <col min="14" max="14" width="18.42578125" customWidth="1"/>
    <col min="15" max="15" width="18.7109375" customWidth="1"/>
    <col min="16" max="16" width="15.42578125" customWidth="1"/>
    <col min="17" max="17" width="34.42578125" customWidth="1"/>
  </cols>
  <sheetData>
    <row r="3" spans="2:17">
      <c r="B3" s="79" t="s">
        <v>0</v>
      </c>
      <c r="C3" s="79"/>
      <c r="D3" s="4">
        <v>27</v>
      </c>
      <c r="F3" s="83" t="s">
        <v>1</v>
      </c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2:17" ht="27.75" customHeight="1">
      <c r="B4" s="72" t="s">
        <v>2</v>
      </c>
      <c r="C4" s="80" t="s">
        <v>3</v>
      </c>
      <c r="D4" s="72" t="s">
        <v>4</v>
      </c>
      <c r="F4" s="72" t="s">
        <v>5</v>
      </c>
      <c r="G4" s="72" t="s">
        <v>6</v>
      </c>
      <c r="H4" s="72" t="s">
        <v>7</v>
      </c>
      <c r="I4" s="72" t="s">
        <v>8</v>
      </c>
      <c r="J4" s="72" t="s">
        <v>9</v>
      </c>
      <c r="K4" s="72" t="s">
        <v>10</v>
      </c>
      <c r="L4" s="82" t="s">
        <v>11</v>
      </c>
      <c r="M4" s="82" t="s">
        <v>12</v>
      </c>
      <c r="N4" s="82" t="s">
        <v>13</v>
      </c>
      <c r="O4" s="82" t="s">
        <v>14</v>
      </c>
      <c r="P4" s="82" t="s">
        <v>15</v>
      </c>
      <c r="Q4" s="82" t="s">
        <v>16</v>
      </c>
    </row>
    <row r="5" spans="2:17" ht="28.5" customHeight="1">
      <c r="B5" s="72"/>
      <c r="C5" s="80"/>
      <c r="D5" s="72"/>
      <c r="F5" s="72"/>
      <c r="G5" s="72"/>
      <c r="H5" s="72"/>
      <c r="I5" s="72"/>
      <c r="J5" s="72"/>
      <c r="K5" s="72"/>
      <c r="L5" s="82"/>
      <c r="M5" s="82"/>
      <c r="N5" s="82"/>
      <c r="O5" s="82"/>
      <c r="P5" s="82"/>
      <c r="Q5" s="82"/>
    </row>
    <row r="6" spans="2:17">
      <c r="B6" s="1">
        <v>1</v>
      </c>
      <c r="C6" s="1">
        <v>1</v>
      </c>
      <c r="D6" s="2" t="s">
        <v>17</v>
      </c>
      <c r="F6" s="5">
        <f>ROUND(AVERAGE('PRESUPUESTO '!E5,'PRESUPUESTO '!F5,'PRESUPUESTO '!G5,'PRESUPUESTO '!H5),0)</f>
        <v>33864132</v>
      </c>
      <c r="G6" s="5">
        <f>ROUND(STDEVA('PRESUPUESTO '!E5,'PRESUPUESTO '!F5,'PRESUPUESTO '!G5,'PRESUPUESTO '!H5),0)</f>
        <v>19235532</v>
      </c>
      <c r="H6" s="7">
        <f>+G6/F6</f>
        <v>0.56802081919595637</v>
      </c>
      <c r="I6" s="7">
        <f>100%-H6</f>
        <v>0.43197918080404363</v>
      </c>
      <c r="J6" s="6">
        <f>+F6+G6</f>
        <v>53099664</v>
      </c>
      <c r="K6" s="6">
        <f>+F6-G6</f>
        <v>14628600</v>
      </c>
      <c r="L6" s="5">
        <f>ROUND(AVERAGE('PRESUPUESTO '!E5,'PRESUPUESTO '!H5),0)</f>
        <v>33001358</v>
      </c>
      <c r="M6" s="5">
        <f>ROUND(STDEVA('PRESUPUESTO '!E5,'PRESUPUESTO '!H5),0)</f>
        <v>14210926</v>
      </c>
      <c r="N6" s="7">
        <f>+M6/L6</f>
        <v>0.43061640069478352</v>
      </c>
      <c r="O6" s="8">
        <f>100%-N6</f>
        <v>0.56938359930521654</v>
      </c>
      <c r="P6" s="9" t="str">
        <f>IF(O6&gt;=60%,"SI","NO")</f>
        <v>NO</v>
      </c>
      <c r="Q6" s="6">
        <f>+L6</f>
        <v>33001358</v>
      </c>
    </row>
    <row r="7" spans="2:17">
      <c r="B7" s="1">
        <v>2</v>
      </c>
      <c r="C7" s="1">
        <v>3</v>
      </c>
      <c r="D7" s="2" t="s">
        <v>18</v>
      </c>
      <c r="F7" s="5">
        <f>ROUND(AVERAGE('PRESUPUESTO '!E6,'PRESUPUESTO '!F6,'PRESUPUESTO '!G6,'PRESUPUESTO '!H6),0)</f>
        <v>27203304</v>
      </c>
      <c r="G7" s="5">
        <f>ROUND(STDEVA('PRESUPUESTO '!E6,'PRESUPUESTO '!F6,'PRESUPUESTO '!G6,'PRESUPUESTO '!H6),0)</f>
        <v>17137438</v>
      </c>
      <c r="H7" s="7">
        <f t="shared" ref="H7:H14" si="0">+G7/F7</f>
        <v>0.62997634404997271</v>
      </c>
      <c r="I7" s="7">
        <f t="shared" ref="I7:I14" si="1">100%-H7</f>
        <v>0.37002365595002729</v>
      </c>
      <c r="J7" s="6">
        <f t="shared" ref="J7:J14" si="2">+F7+G7</f>
        <v>44340742</v>
      </c>
      <c r="K7" s="6">
        <f t="shared" ref="K7:K14" si="3">+F7-G7</f>
        <v>10065866</v>
      </c>
      <c r="L7" s="5">
        <f>ROUND(AVERAGE('PRESUPUESTO '!E6,'PRESUPUESTO '!F6,'PRESUPUESTO '!H6),0)</f>
        <v>19937739</v>
      </c>
      <c r="M7" s="5">
        <f>ROUND(STDEVA('PRESUPUESTO '!E6,'PRESUPUESTO '!F6,'PRESUPUESTO '!H6),0)</f>
        <v>11126861</v>
      </c>
      <c r="N7" s="7">
        <f t="shared" ref="N7:N14" si="4">+M7/L7</f>
        <v>0.55808038213360101</v>
      </c>
      <c r="O7" s="8">
        <f t="shared" ref="O7:O14" si="5">100%-N7</f>
        <v>0.44191961786639899</v>
      </c>
      <c r="P7" s="9" t="str">
        <f t="shared" ref="P7:P14" si="6">IF(O7&gt;=60%,"SI","NO")</f>
        <v>NO</v>
      </c>
      <c r="Q7" s="6">
        <f t="shared" ref="Q7:Q14" si="7">+L7</f>
        <v>19937739</v>
      </c>
    </row>
    <row r="8" spans="2:17">
      <c r="B8" s="1">
        <f>B7+1</f>
        <v>3</v>
      </c>
      <c r="C8" s="1">
        <v>3</v>
      </c>
      <c r="D8" s="3" t="s">
        <v>19</v>
      </c>
      <c r="F8" s="5">
        <f>ROUND(AVERAGE('PRESUPUESTO '!E7,'PRESUPUESTO '!F7,'PRESUPUESTO '!G7,'PRESUPUESTO '!H7),0)</f>
        <v>22846873</v>
      </c>
      <c r="G8" s="5">
        <f>ROUND(STDEVA('PRESUPUESTO '!E7,'PRESUPUESTO '!F7,'PRESUPUESTO '!G7,'PRESUPUESTO '!H7),0)</f>
        <v>15145834</v>
      </c>
      <c r="H8" s="7">
        <f t="shared" si="0"/>
        <v>0.66292809523649032</v>
      </c>
      <c r="I8" s="7">
        <f t="shared" si="1"/>
        <v>0.33707190476350968</v>
      </c>
      <c r="J8" s="6">
        <f t="shared" si="2"/>
        <v>37992707</v>
      </c>
      <c r="K8" s="6">
        <f t="shared" si="3"/>
        <v>7701039</v>
      </c>
      <c r="L8" s="5">
        <f>ROUND(AVERAGE('PRESUPUESTO '!E7,'PRESUPUESTO '!F7,'PRESUPUESTO '!H7),0)</f>
        <v>16462498</v>
      </c>
      <c r="M8" s="5">
        <f>ROUND(STDEVA('PRESUPUESTO '!E7,'PRESUPUESTO '!F7,'PRESUPUESTO '!H7),0)</f>
        <v>9976618</v>
      </c>
      <c r="N8" s="7">
        <f t="shared" si="4"/>
        <v>0.60602090885599502</v>
      </c>
      <c r="O8" s="8">
        <f t="shared" si="5"/>
        <v>0.39397909114400498</v>
      </c>
      <c r="P8" s="9" t="str">
        <f t="shared" si="6"/>
        <v>NO</v>
      </c>
      <c r="Q8" s="6">
        <f t="shared" si="7"/>
        <v>16462498</v>
      </c>
    </row>
    <row r="9" spans="2:17">
      <c r="B9" s="1">
        <f t="shared" ref="B9:B12" si="8">B8+1</f>
        <v>4</v>
      </c>
      <c r="C9" s="1">
        <v>2</v>
      </c>
      <c r="D9" s="3" t="s">
        <v>20</v>
      </c>
      <c r="F9" s="5">
        <f>ROUND(AVERAGE('PRESUPUESTO '!E8,'PRESUPUESTO '!F8,'PRESUPUESTO '!G8,'PRESUPUESTO '!H8),0)</f>
        <v>24486964</v>
      </c>
      <c r="G9" s="5">
        <f>ROUND(STDEVA('PRESUPUESTO '!E8,'PRESUPUESTO '!F8,'PRESUPUESTO '!G8,'PRESUPUESTO '!H8),0)</f>
        <v>15904279</v>
      </c>
      <c r="H9" s="7">
        <f t="shared" si="0"/>
        <v>0.6494998318288866</v>
      </c>
      <c r="I9" s="7">
        <f t="shared" si="1"/>
        <v>0.3505001681711134</v>
      </c>
      <c r="J9" s="6">
        <f t="shared" si="2"/>
        <v>40391243</v>
      </c>
      <c r="K9" s="6">
        <f t="shared" si="3"/>
        <v>8582685</v>
      </c>
      <c r="L9" s="5">
        <f>ROUND(AVERAGE('PRESUPUESTO '!E8,'PRESUPUESTO '!F8,'PRESUPUESTO '!H8),0)</f>
        <v>17482618</v>
      </c>
      <c r="M9" s="5">
        <f>ROUND(STDEVA('PRESUPUESTO '!E8,'PRESUPUESTO '!F8,'PRESUPUESTO '!H8),0)</f>
        <v>9222473</v>
      </c>
      <c r="N9" s="7">
        <f t="shared" si="4"/>
        <v>0.52752242255707926</v>
      </c>
      <c r="O9" s="8">
        <f t="shared" si="5"/>
        <v>0.47247757744292074</v>
      </c>
      <c r="P9" s="9" t="str">
        <f t="shared" si="6"/>
        <v>NO</v>
      </c>
      <c r="Q9" s="6">
        <f t="shared" si="7"/>
        <v>17482618</v>
      </c>
    </row>
    <row r="10" spans="2:17">
      <c r="B10" s="1">
        <f t="shared" si="8"/>
        <v>5</v>
      </c>
      <c r="C10" s="1">
        <v>2</v>
      </c>
      <c r="D10" s="3" t="s">
        <v>21</v>
      </c>
      <c r="F10" s="5">
        <f>ROUND(AVERAGE('PRESUPUESTO '!E9,'PRESUPUESTO '!F9,'PRESUPUESTO '!G9,'PRESUPUESTO '!H9),0)</f>
        <v>17672556</v>
      </c>
      <c r="G10" s="5">
        <f>ROUND(STDEVA('PRESUPUESTO '!E9,'PRESUPUESTO '!F9,'PRESUPUESTO '!G9,'PRESUPUESTO '!H9),0)</f>
        <v>11917472</v>
      </c>
      <c r="H10" s="7">
        <f t="shared" si="0"/>
        <v>0.67434908679876304</v>
      </c>
      <c r="I10" s="7">
        <f t="shared" si="1"/>
        <v>0.32565091320123696</v>
      </c>
      <c r="J10" s="6">
        <f>+F10+G10</f>
        <v>29590028</v>
      </c>
      <c r="K10" s="6">
        <f t="shared" si="3"/>
        <v>5755084</v>
      </c>
      <c r="L10" s="5">
        <f>ROUND(AVERAGE('PRESUPUESTO '!E9,'PRESUPUESTO '!F9,'PRESUPUESTO '!G9,'PRESUPUESTO '!H9),0)</f>
        <v>17672556</v>
      </c>
      <c r="M10" s="5">
        <f>ROUND(STDEVA('PRESUPUESTO '!E9,'PRESUPUESTO '!F9,'PRESUPUESTO '!G9,'PRESUPUESTO '!H9),0)</f>
        <v>11917472</v>
      </c>
      <c r="N10" s="7">
        <f t="shared" si="4"/>
        <v>0.67434908679876304</v>
      </c>
      <c r="O10" s="8">
        <f t="shared" si="5"/>
        <v>0.32565091320123696</v>
      </c>
      <c r="P10" s="9" t="str">
        <f t="shared" si="6"/>
        <v>NO</v>
      </c>
      <c r="Q10" s="6">
        <f t="shared" si="7"/>
        <v>17672556</v>
      </c>
    </row>
    <row r="11" spans="2:17">
      <c r="B11" s="1">
        <f t="shared" si="8"/>
        <v>6</v>
      </c>
      <c r="C11" s="1">
        <v>1</v>
      </c>
      <c r="D11" s="3" t="s">
        <v>22</v>
      </c>
      <c r="F11" s="5">
        <f>ROUND(AVERAGE('PRESUPUESTO '!E10,'PRESUPUESTO '!F10,'PRESUPUESTO '!G10,'PRESUPUESTO '!H10),0)</f>
        <v>14077307</v>
      </c>
      <c r="G11" s="5">
        <f>ROUND(STDEVA('PRESUPUESTO '!E10,'PRESUPUESTO '!F10,'PRESUPUESTO '!G10,'PRESUPUESTO '!H10),0)</f>
        <v>10818998</v>
      </c>
      <c r="H11" s="7">
        <f t="shared" si="0"/>
        <v>0.76854173884252153</v>
      </c>
      <c r="I11" s="7">
        <f t="shared" si="1"/>
        <v>0.23145826115747847</v>
      </c>
      <c r="J11" s="6">
        <f t="shared" si="2"/>
        <v>24896305</v>
      </c>
      <c r="K11" s="6">
        <f t="shared" si="3"/>
        <v>3258309</v>
      </c>
      <c r="L11" s="5">
        <f>ROUND(AVERAGE('PRESUPUESTO '!E10,'PRESUPUESTO '!F10,'PRESUPUESTO '!H10),0)</f>
        <v>9436409</v>
      </c>
      <c r="M11" s="5">
        <f>ROUND(STDEVA('PRESUPUESTO '!E10,'PRESUPUESTO '!F10,'PRESUPUESTO '!H10),0)</f>
        <v>6807971</v>
      </c>
      <c r="N11" s="7">
        <f t="shared" si="4"/>
        <v>0.72145781303035927</v>
      </c>
      <c r="O11" s="8">
        <f t="shared" si="5"/>
        <v>0.27854218696964073</v>
      </c>
      <c r="P11" s="9" t="str">
        <f t="shared" si="6"/>
        <v>NO</v>
      </c>
      <c r="Q11" s="6">
        <f t="shared" si="7"/>
        <v>9436409</v>
      </c>
    </row>
    <row r="12" spans="2:17">
      <c r="B12" s="1">
        <f t="shared" si="8"/>
        <v>7</v>
      </c>
      <c r="C12" s="1">
        <v>1</v>
      </c>
      <c r="D12" s="3" t="s">
        <v>23</v>
      </c>
      <c r="F12" s="5">
        <f>ROUND(AVERAGE('PRESUPUESTO '!E11,'PRESUPUESTO '!F11,'PRESUPUESTO '!G11,'PRESUPUESTO '!H11),0)</f>
        <v>16016802</v>
      </c>
      <c r="G12" s="5">
        <f>ROUND(STDEVA('PRESUPUESTO '!E11,'PRESUPUESTO '!F11,'PRESUPUESTO '!G11,'PRESUPUESTO '!H11),0)</f>
        <v>12616784</v>
      </c>
      <c r="H12" s="7">
        <f t="shared" si="0"/>
        <v>0.78772179365144179</v>
      </c>
      <c r="I12" s="7">
        <f t="shared" si="1"/>
        <v>0.21227820634855821</v>
      </c>
      <c r="J12" s="6">
        <f t="shared" si="2"/>
        <v>28633586</v>
      </c>
      <c r="K12" s="6">
        <f t="shared" si="3"/>
        <v>3400018</v>
      </c>
      <c r="L12" s="5">
        <f>ROUND(AVERAGE('PRESUPUESTO '!E11,'PRESUPUESTO '!F11,'PRESUPUESTO '!G11,'PRESUPUESTO '!H11),0)</f>
        <v>16016802</v>
      </c>
      <c r="M12" s="5">
        <f>ROUND(STDEVA('PRESUPUESTO '!E11,'PRESUPUESTO '!F11,'PRESUPUESTO '!G11,'PRESUPUESTO '!H11),0)</f>
        <v>12616784</v>
      </c>
      <c r="N12" s="7">
        <f t="shared" si="4"/>
        <v>0.78772179365144179</v>
      </c>
      <c r="O12" s="8">
        <f t="shared" si="5"/>
        <v>0.21227820634855821</v>
      </c>
      <c r="P12" s="9" t="str">
        <f t="shared" si="6"/>
        <v>NO</v>
      </c>
      <c r="Q12" s="6">
        <f t="shared" si="7"/>
        <v>16016802</v>
      </c>
    </row>
    <row r="13" spans="2:17">
      <c r="B13" s="1">
        <v>8</v>
      </c>
      <c r="C13" s="1">
        <v>6</v>
      </c>
      <c r="D13" s="3" t="s">
        <v>24</v>
      </c>
      <c r="F13" s="5">
        <f>ROUND(AVERAGE('PRESUPUESTO '!E12,'PRESUPUESTO '!F12,'PRESUPUESTO '!G12,'PRESUPUESTO '!H12),0)</f>
        <v>11127623</v>
      </c>
      <c r="G13" s="5">
        <f>ROUND(STDEVA('PRESUPUESTO '!E12,'PRESUPUESTO '!F12,'PRESUPUESTO '!G12,'PRESUPUESTO '!H12),0)</f>
        <v>9345800</v>
      </c>
      <c r="H13" s="7">
        <f t="shared" si="0"/>
        <v>0.83987388861035284</v>
      </c>
      <c r="I13" s="7">
        <f t="shared" si="1"/>
        <v>0.16012611138964716</v>
      </c>
      <c r="J13" s="6">
        <f t="shared" si="2"/>
        <v>20473423</v>
      </c>
      <c r="K13" s="6">
        <f t="shared" si="3"/>
        <v>1781823</v>
      </c>
      <c r="L13" s="5">
        <f>ROUND(AVERAGE('PRESUPUESTO '!E12,'PRESUPUESTO '!F12,'PRESUPUESTO '!H12),0)</f>
        <v>7836831</v>
      </c>
      <c r="M13" s="5">
        <f>ROUND(STDEVA('PRESUPUESTO '!E12,'PRESUPUESTO '!F12,'PRESUPUESTO '!H12),0)</f>
        <v>8126506</v>
      </c>
      <c r="N13" s="10">
        <f t="shared" si="4"/>
        <v>1.036963282735075</v>
      </c>
      <c r="O13" s="11">
        <f t="shared" si="5"/>
        <v>-3.6963282735074987E-2</v>
      </c>
      <c r="P13" s="9" t="str">
        <f t="shared" si="6"/>
        <v>NO</v>
      </c>
      <c r="Q13" s="6">
        <f t="shared" si="7"/>
        <v>7836831</v>
      </c>
    </row>
    <row r="14" spans="2:17">
      <c r="B14" s="1">
        <v>9</v>
      </c>
      <c r="C14" s="81" t="s">
        <v>25</v>
      </c>
      <c r="D14" s="81"/>
      <c r="F14" s="5">
        <f>ROUND(AVERAGE('PRESUPUESTO '!E13,'PRESUPUESTO '!F13,'PRESUPUESTO '!G13,'PRESUPUESTO '!H13),0)</f>
        <v>83481579</v>
      </c>
      <c r="G14" s="5">
        <f>ROUND(STDEVA('PRESUPUESTO '!E13,'PRESUPUESTO '!F13,'PRESUPUESTO '!G13,'PRESUPUESTO '!H13),0)</f>
        <v>57244029</v>
      </c>
      <c r="H14" s="7">
        <f t="shared" si="0"/>
        <v>0.68570850822071772</v>
      </c>
      <c r="I14" s="7">
        <f t="shared" si="1"/>
        <v>0.31429149177928228</v>
      </c>
      <c r="J14" s="6">
        <f t="shared" si="2"/>
        <v>140725608</v>
      </c>
      <c r="K14" s="6">
        <f t="shared" si="3"/>
        <v>26237550</v>
      </c>
      <c r="L14" s="5">
        <f>ROUND(AVERAGE('PRESUPUESTO '!E13,'PRESUPUESTO '!G13,'PRESUPUESTO '!H13),0)</f>
        <v>58553396</v>
      </c>
      <c r="M14" s="5">
        <f>ROUND(STDEVA('PRESUPUESTO '!E13,'PRESUPUESTO '!G13,'PRESUPUESTO '!H13),0)</f>
        <v>34450434</v>
      </c>
      <c r="N14" s="7">
        <f t="shared" si="4"/>
        <v>0.58835928150093975</v>
      </c>
      <c r="O14" s="8">
        <f t="shared" si="5"/>
        <v>0.41164071849906025</v>
      </c>
      <c r="P14" s="9" t="str">
        <f t="shared" si="6"/>
        <v>NO</v>
      </c>
      <c r="Q14" s="6">
        <f t="shared" si="7"/>
        <v>58553396</v>
      </c>
    </row>
    <row r="16" spans="2:17">
      <c r="B16" s="79" t="s">
        <v>0</v>
      </c>
      <c r="C16" s="79"/>
      <c r="D16" s="4">
        <v>27</v>
      </c>
      <c r="F16" s="86" t="s">
        <v>26</v>
      </c>
      <c r="G16" s="87"/>
      <c r="H16" s="87"/>
      <c r="I16" s="87"/>
      <c r="J16" s="87"/>
      <c r="K16" s="87"/>
      <c r="L16" s="88"/>
    </row>
    <row r="17" spans="2:12" ht="15" customHeight="1">
      <c r="B17" s="72" t="s">
        <v>2</v>
      </c>
      <c r="C17" s="80" t="s">
        <v>3</v>
      </c>
      <c r="D17" s="72" t="s">
        <v>4</v>
      </c>
      <c r="F17" s="72" t="s">
        <v>5</v>
      </c>
      <c r="G17" s="72" t="s">
        <v>6</v>
      </c>
      <c r="H17" s="72" t="s">
        <v>7</v>
      </c>
      <c r="I17" s="72" t="s">
        <v>8</v>
      </c>
      <c r="J17" s="72" t="s">
        <v>15</v>
      </c>
      <c r="K17" s="89" t="s">
        <v>16</v>
      </c>
      <c r="L17" s="90"/>
    </row>
    <row r="18" spans="2:12">
      <c r="B18" s="72"/>
      <c r="C18" s="80"/>
      <c r="D18" s="72"/>
      <c r="F18" s="72"/>
      <c r="G18" s="72"/>
      <c r="H18" s="72"/>
      <c r="I18" s="72"/>
      <c r="J18" s="72"/>
      <c r="K18" s="91"/>
      <c r="L18" s="92"/>
    </row>
    <row r="19" spans="2:12">
      <c r="B19" s="1">
        <v>1</v>
      </c>
      <c r="C19" s="1">
        <v>1</v>
      </c>
      <c r="D19" s="2" t="s">
        <v>17</v>
      </c>
      <c r="F19" s="5">
        <f>ROUND(AVERAGE('PRESUPUESTO '!E5,'PRESUPUESTO '!H5),0)</f>
        <v>33001358</v>
      </c>
      <c r="G19" s="5">
        <f>ROUND(STDEVA('PRESUPUESTO '!E5,'PRESUPUESTO '!H5),0)</f>
        <v>14210926</v>
      </c>
      <c r="H19" s="7">
        <f>+G19/F19</f>
        <v>0.43061640069478352</v>
      </c>
      <c r="I19" s="7">
        <f>100%-H19</f>
        <v>0.56938359930521654</v>
      </c>
      <c r="J19" s="12" t="str">
        <f>IF(I19&gt;=60%,"SI","NO")</f>
        <v>NO</v>
      </c>
      <c r="K19" s="84">
        <f>+F19</f>
        <v>33001358</v>
      </c>
      <c r="L19" s="85"/>
    </row>
    <row r="20" spans="2:12">
      <c r="B20" s="1">
        <v>2</v>
      </c>
      <c r="C20" s="1">
        <v>3</v>
      </c>
      <c r="D20" s="2" t="s">
        <v>18</v>
      </c>
      <c r="F20" s="5">
        <f>ROUND(AVERAGE('PRESUPUESTO '!E6,'PRESUPUESTO '!H6),0)</f>
        <v>24559746</v>
      </c>
      <c r="G20" s="5">
        <f>ROUND(STDEVA('PRESUPUESTO '!E6,'PRESUPUESTO '!H6),0)</f>
        <v>10928695</v>
      </c>
      <c r="H20" s="7">
        <f t="shared" ref="H20:H27" si="9">+G20/F20</f>
        <v>0.44498404014438914</v>
      </c>
      <c r="I20" s="7">
        <f t="shared" ref="I20:I27" si="10">100%-H20</f>
        <v>0.55501595985561081</v>
      </c>
      <c r="J20" s="12" t="str">
        <f t="shared" ref="J20:J27" si="11">IF(I20&gt;=60%,"SI","NO")</f>
        <v>NO</v>
      </c>
      <c r="K20" s="84">
        <f t="shared" ref="K20:K27" si="12">+F20</f>
        <v>24559746</v>
      </c>
      <c r="L20" s="85"/>
    </row>
    <row r="21" spans="2:12">
      <c r="B21" s="1">
        <f>B20+1</f>
        <v>3</v>
      </c>
      <c r="C21" s="1">
        <v>3</v>
      </c>
      <c r="D21" s="3" t="s">
        <v>19</v>
      </c>
      <c r="F21" s="5">
        <f>ROUND(AVERAGE('PRESUPUESTO '!E7,'PRESUPUESTO '!H7),0)</f>
        <v>19346884</v>
      </c>
      <c r="G21" s="5">
        <f>ROUND(STDEVA('PRESUPUESTO '!E7,'PRESUPUESTO '!H7),0)</f>
        <v>12212605</v>
      </c>
      <c r="H21" s="7">
        <f t="shared" si="9"/>
        <v>0.63124402875419117</v>
      </c>
      <c r="I21" s="7">
        <f t="shared" si="10"/>
        <v>0.36875597124580883</v>
      </c>
      <c r="J21" s="12" t="str">
        <f t="shared" si="11"/>
        <v>NO</v>
      </c>
      <c r="K21" s="84">
        <f t="shared" si="12"/>
        <v>19346884</v>
      </c>
      <c r="L21" s="85"/>
    </row>
    <row r="22" spans="2:12">
      <c r="B22" s="1">
        <f t="shared" ref="B22:B25" si="13">B21+1</f>
        <v>4</v>
      </c>
      <c r="C22" s="1">
        <v>2</v>
      </c>
      <c r="D22" s="3" t="s">
        <v>20</v>
      </c>
      <c r="F22" s="5">
        <f>ROUND(AVERAGE('PRESUPUESTO '!E8,'PRESUPUESTO '!H8),0)</f>
        <v>20877065</v>
      </c>
      <c r="G22" s="5">
        <f>ROUND(STDEVA('PRESUPUESTO '!E8,'PRESUPUESTO '!H8),0)</f>
        <v>10048603</v>
      </c>
      <c r="H22" s="7">
        <f t="shared" si="9"/>
        <v>0.48132259012461759</v>
      </c>
      <c r="I22" s="7">
        <f t="shared" si="10"/>
        <v>0.51867740987538236</v>
      </c>
      <c r="J22" s="12" t="str">
        <f t="shared" si="11"/>
        <v>NO</v>
      </c>
      <c r="K22" s="84">
        <f t="shared" si="12"/>
        <v>20877065</v>
      </c>
      <c r="L22" s="85"/>
    </row>
    <row r="23" spans="2:12">
      <c r="B23" s="1">
        <f t="shared" si="13"/>
        <v>5</v>
      </c>
      <c r="C23" s="1">
        <v>2</v>
      </c>
      <c r="D23" s="3" t="s">
        <v>21</v>
      </c>
      <c r="F23" s="5">
        <f>ROUND(AVERAGE('PRESUPUESTO '!E9,'PRESUPUESTO '!H9),0)</f>
        <v>17816703</v>
      </c>
      <c r="G23" s="5">
        <f>ROUND(STDEVA('PRESUPUESTO '!E9,'PRESUPUESTO '!H9),0)</f>
        <v>14376609</v>
      </c>
      <c r="H23" s="7">
        <f t="shared" si="9"/>
        <v>0.80691747513555112</v>
      </c>
      <c r="I23" s="7">
        <f t="shared" si="10"/>
        <v>0.19308252486444888</v>
      </c>
      <c r="J23" s="12" t="str">
        <f t="shared" si="11"/>
        <v>NO</v>
      </c>
      <c r="K23" s="84">
        <f t="shared" si="12"/>
        <v>17816703</v>
      </c>
      <c r="L23" s="85"/>
    </row>
    <row r="24" spans="2:12">
      <c r="B24" s="1">
        <f t="shared" si="13"/>
        <v>6</v>
      </c>
      <c r="C24" s="1">
        <v>1</v>
      </c>
      <c r="D24" s="3" t="s">
        <v>22</v>
      </c>
      <c r="F24" s="5">
        <f>ROUND(AVERAGE('PRESUPUESTO '!F10,'PRESUPUESTO '!H10),0)</f>
        <v>11859342</v>
      </c>
      <c r="G24" s="5">
        <f>ROUND(STDEVA('PRESUPUESTO '!F10,'PRESUPUESTO '!H10),0)</f>
        <v>7581116</v>
      </c>
      <c r="H24" s="7">
        <f t="shared" si="9"/>
        <v>0.63925266680056958</v>
      </c>
      <c r="I24" s="7">
        <f t="shared" si="10"/>
        <v>0.36074733319943042</v>
      </c>
      <c r="J24" s="12" t="str">
        <f t="shared" si="11"/>
        <v>NO</v>
      </c>
      <c r="K24" s="84">
        <f t="shared" si="12"/>
        <v>11859342</v>
      </c>
      <c r="L24" s="85"/>
    </row>
    <row r="25" spans="2:12">
      <c r="B25" s="1">
        <f t="shared" si="13"/>
        <v>7</v>
      </c>
      <c r="C25" s="1">
        <v>1</v>
      </c>
      <c r="D25" s="3" t="s">
        <v>23</v>
      </c>
      <c r="F25" s="5">
        <f>ROUND(AVERAGE('PRESUPUESTO '!E11,'PRESUPUESTO '!H11),0)</f>
        <v>15592817</v>
      </c>
      <c r="G25" s="5">
        <f>ROUND(STDEVA('PRESUPUESTO '!E11,'PRESUPUESTO '!H11),0)</f>
        <v>14477563</v>
      </c>
      <c r="H25" s="7">
        <f t="shared" si="9"/>
        <v>0.92847642603642433</v>
      </c>
      <c r="I25" s="7">
        <f t="shared" si="10"/>
        <v>7.1523573963575671E-2</v>
      </c>
      <c r="J25" s="12" t="str">
        <f t="shared" si="11"/>
        <v>NO</v>
      </c>
      <c r="K25" s="84">
        <f t="shared" si="12"/>
        <v>15592817</v>
      </c>
      <c r="L25" s="85"/>
    </row>
    <row r="26" spans="2:12">
      <c r="B26" s="1">
        <v>8</v>
      </c>
      <c r="C26" s="1">
        <v>6</v>
      </c>
      <c r="D26" s="3" t="s">
        <v>24</v>
      </c>
      <c r="F26" s="5">
        <f>ROUND(AVERAGE('PRESUPUESTO '!F12,'PRESUPUESTO '!H12),0)</f>
        <v>10225066</v>
      </c>
      <c r="G26" s="5">
        <f>ROUND(STDEVA('PRESUPUESTO '!F12,'PRESUPUESTO '!H12),0)</f>
        <v>9892331</v>
      </c>
      <c r="H26" s="7">
        <f t="shared" si="9"/>
        <v>0.96745888975190963</v>
      </c>
      <c r="I26" s="7">
        <f t="shared" si="10"/>
        <v>3.2541110248090366E-2</v>
      </c>
      <c r="J26" s="12" t="str">
        <f t="shared" si="11"/>
        <v>NO</v>
      </c>
      <c r="K26" s="84">
        <f t="shared" si="12"/>
        <v>10225066</v>
      </c>
      <c r="L26" s="85"/>
    </row>
    <row r="27" spans="2:12">
      <c r="B27" s="1">
        <v>9</v>
      </c>
      <c r="C27" s="81" t="s">
        <v>25</v>
      </c>
      <c r="D27" s="81"/>
      <c r="F27" s="5">
        <f>ROUND(AVERAGE('PRESUPUESTO '!G13,'PRESUPUESTO '!H13),0)</f>
        <v>78422500</v>
      </c>
      <c r="G27" s="5">
        <f>ROUND(STDEVA('PRESUPUESTO '!G13,'PRESUPUESTO '!H13),0)</f>
        <v>2230922</v>
      </c>
      <c r="H27" s="7">
        <f t="shared" si="9"/>
        <v>2.8447473620453315E-2</v>
      </c>
      <c r="I27" s="7">
        <f t="shared" si="10"/>
        <v>0.9715525263795467</v>
      </c>
      <c r="J27" s="12" t="str">
        <f t="shared" si="11"/>
        <v>SI</v>
      </c>
      <c r="K27" s="84">
        <f t="shared" si="12"/>
        <v>78422500</v>
      </c>
      <c r="L27" s="85"/>
    </row>
    <row r="30" spans="2:12">
      <c r="B30" s="79" t="s">
        <v>0</v>
      </c>
      <c r="C30" s="79"/>
      <c r="D30" s="4">
        <v>27</v>
      </c>
      <c r="F30" s="86" t="s">
        <v>27</v>
      </c>
      <c r="G30" s="87"/>
      <c r="H30" s="87"/>
      <c r="I30" s="87"/>
      <c r="J30" s="87"/>
      <c r="K30" s="87"/>
      <c r="L30" s="88"/>
    </row>
    <row r="31" spans="2:12">
      <c r="B31" s="72" t="s">
        <v>2</v>
      </c>
      <c r="C31" s="80" t="s">
        <v>3</v>
      </c>
      <c r="D31" s="72" t="s">
        <v>4</v>
      </c>
      <c r="F31" s="72" t="s">
        <v>5</v>
      </c>
      <c r="G31" s="72" t="s">
        <v>6</v>
      </c>
      <c r="H31" s="72" t="s">
        <v>7</v>
      </c>
      <c r="I31" s="72" t="s">
        <v>8</v>
      </c>
      <c r="J31" s="72" t="s">
        <v>15</v>
      </c>
      <c r="K31" s="89" t="s">
        <v>16</v>
      </c>
      <c r="L31" s="90"/>
    </row>
    <row r="32" spans="2:12">
      <c r="B32" s="72"/>
      <c r="C32" s="80"/>
      <c r="D32" s="72"/>
      <c r="F32" s="72"/>
      <c r="G32" s="72"/>
      <c r="H32" s="72"/>
      <c r="I32" s="72"/>
      <c r="J32" s="72"/>
      <c r="K32" s="91"/>
      <c r="L32" s="92"/>
    </row>
    <row r="33" spans="2:12">
      <c r="B33" s="1">
        <v>1</v>
      </c>
      <c r="C33" s="1">
        <v>1</v>
      </c>
      <c r="D33" s="2" t="s">
        <v>17</v>
      </c>
      <c r="F33" s="5">
        <f>ROUND(AVERAGE('PRESUPUESTO '!E5,'PRESUPUESTO '!F5,'PRESUPUESTO '!H5),0)</f>
        <v>26485509</v>
      </c>
      <c r="G33" s="5">
        <f>ROUND(STDEVA('PRESUPUESTO '!E5,'PRESUPUESTO '!F5,'PRESUPUESTO '!H5),0)</f>
        <v>15111058</v>
      </c>
      <c r="H33" s="7">
        <f>+G33/F33</f>
        <v>0.570540592593482</v>
      </c>
      <c r="I33" s="7">
        <f>100%-H33</f>
        <v>0.429459407406518</v>
      </c>
      <c r="J33" s="12" t="str">
        <f>IF(I33&gt;=60%,"SI","NO")</f>
        <v>NO</v>
      </c>
      <c r="K33" s="84">
        <f>+F33</f>
        <v>26485509</v>
      </c>
      <c r="L33" s="85"/>
    </row>
    <row r="34" spans="2:12">
      <c r="B34" s="1">
        <v>2</v>
      </c>
      <c r="C34" s="1">
        <v>3</v>
      </c>
      <c r="D34" s="2" t="s">
        <v>18</v>
      </c>
      <c r="F34" s="5">
        <f>ROUND(AVERAGE('PRESUPUESTO '!E6,'PRESUPUESTO '!F6,'PRESUPUESTO '!H6),0)</f>
        <v>19937739</v>
      </c>
      <c r="G34" s="5">
        <f>ROUND(STDEVA('PRESUPUESTO '!E6,'PRESUPUESTO '!F6,'PRESUPUESTO '!H6),0)</f>
        <v>11126861</v>
      </c>
      <c r="H34" s="7">
        <f t="shared" ref="H34:H41" si="14">+G34/F34</f>
        <v>0.55808038213360101</v>
      </c>
      <c r="I34" s="7">
        <f t="shared" ref="I34:I41" si="15">100%-H34</f>
        <v>0.44191961786639899</v>
      </c>
      <c r="J34" s="12" t="str">
        <f t="shared" ref="J34:J41" si="16">IF(I34&gt;=60%,"SI","NO")</f>
        <v>NO</v>
      </c>
      <c r="K34" s="84">
        <f t="shared" ref="K34:K41" si="17">+F34</f>
        <v>19937739</v>
      </c>
      <c r="L34" s="85"/>
    </row>
    <row r="35" spans="2:12">
      <c r="B35" s="1">
        <f>B34+1</f>
        <v>3</v>
      </c>
      <c r="C35" s="1">
        <v>3</v>
      </c>
      <c r="D35" s="3" t="s">
        <v>19</v>
      </c>
      <c r="F35" s="5">
        <f>ROUND(AVERAGE('PRESUPUESTO '!E7,'PRESUPUESTO '!F7,'PRESUPUESTO '!H7),0)</f>
        <v>16462498</v>
      </c>
      <c r="G35" s="5">
        <f>ROUND(STDEVA('PRESUPUESTO '!E7,'PRESUPUESTO '!F7,'PRESUPUESTO '!H7),0)</f>
        <v>9976618</v>
      </c>
      <c r="H35" s="7">
        <f t="shared" si="14"/>
        <v>0.60602090885599502</v>
      </c>
      <c r="I35" s="7">
        <f t="shared" si="15"/>
        <v>0.39397909114400498</v>
      </c>
      <c r="J35" s="12" t="str">
        <f t="shared" si="16"/>
        <v>NO</v>
      </c>
      <c r="K35" s="84">
        <f t="shared" si="17"/>
        <v>16462498</v>
      </c>
      <c r="L35" s="85"/>
    </row>
    <row r="36" spans="2:12">
      <c r="B36" s="1">
        <f t="shared" ref="B36:B39" si="18">B35+1</f>
        <v>4</v>
      </c>
      <c r="C36" s="1">
        <v>2</v>
      </c>
      <c r="D36" s="3" t="s">
        <v>20</v>
      </c>
      <c r="F36" s="5">
        <f>ROUND(AVERAGE('PRESUPUESTO '!E8,'PRESUPUESTO '!F8,'PRESUPUESTO '!H8),0)</f>
        <v>17482618</v>
      </c>
      <c r="G36" s="5">
        <f>ROUND(STDEVA('PRESUPUESTO '!E8,'PRESUPUESTO '!F8,'PRESUPUESTO '!H8),0)</f>
        <v>9222473</v>
      </c>
      <c r="H36" s="7">
        <f t="shared" si="14"/>
        <v>0.52752242255707926</v>
      </c>
      <c r="I36" s="7">
        <f t="shared" si="15"/>
        <v>0.47247757744292074</v>
      </c>
      <c r="J36" s="12" t="str">
        <f t="shared" si="16"/>
        <v>NO</v>
      </c>
      <c r="K36" s="84">
        <f t="shared" si="17"/>
        <v>17482618</v>
      </c>
      <c r="L36" s="85"/>
    </row>
    <row r="37" spans="2:12">
      <c r="B37" s="1">
        <f t="shared" si="18"/>
        <v>5</v>
      </c>
      <c r="C37" s="1">
        <v>2</v>
      </c>
      <c r="D37" s="3" t="s">
        <v>21</v>
      </c>
      <c r="F37" s="5">
        <f>ROUND(AVERAGE('PRESUPUESTO '!E9,'PRESUPUESTO '!F9,'PRESUPUESTO '!H9),0)</f>
        <v>14230075</v>
      </c>
      <c r="G37" s="5">
        <f>ROUND(STDEVA('PRESUPUESTO '!E9,'PRESUPUESTO '!F9,'PRESUPUESTO '!H9),0)</f>
        <v>11913653</v>
      </c>
      <c r="H37" s="7">
        <f t="shared" si="14"/>
        <v>0.83721645880292273</v>
      </c>
      <c r="I37" s="7">
        <f t="shared" si="15"/>
        <v>0.16278354119707727</v>
      </c>
      <c r="J37" s="12" t="str">
        <f t="shared" si="16"/>
        <v>NO</v>
      </c>
      <c r="K37" s="84">
        <f t="shared" si="17"/>
        <v>14230075</v>
      </c>
      <c r="L37" s="85"/>
    </row>
    <row r="38" spans="2:12">
      <c r="B38" s="1">
        <f t="shared" si="18"/>
        <v>6</v>
      </c>
      <c r="C38" s="1">
        <v>1</v>
      </c>
      <c r="D38" s="3" t="s">
        <v>22</v>
      </c>
      <c r="F38" s="5">
        <f>ROUND(AVERAGE('PRESUPUESTO '!E10,'PRESUPUESTO '!F10,'PRESUPUESTO '!H10),0)</f>
        <v>9436409</v>
      </c>
      <c r="G38" s="5">
        <f>ROUND(STDEVA('PRESUPUESTO '!E10,'PRESUPUESTO '!F10,'PRESUPUESTO '!H10),0)</f>
        <v>6807971</v>
      </c>
      <c r="H38" s="7">
        <f t="shared" si="14"/>
        <v>0.72145781303035927</v>
      </c>
      <c r="I38" s="7">
        <f t="shared" si="15"/>
        <v>0.27854218696964073</v>
      </c>
      <c r="J38" s="12" t="str">
        <f t="shared" si="16"/>
        <v>NO</v>
      </c>
      <c r="K38" s="84">
        <f t="shared" si="17"/>
        <v>9436409</v>
      </c>
      <c r="L38" s="85"/>
    </row>
    <row r="39" spans="2:12">
      <c r="B39" s="1">
        <f t="shared" si="18"/>
        <v>7</v>
      </c>
      <c r="C39" s="1">
        <v>1</v>
      </c>
      <c r="D39" s="3" t="s">
        <v>23</v>
      </c>
      <c r="F39" s="5">
        <f>ROUND(AVERAGE('PRESUPUESTO '!E11,'PRESUPUESTO '!F11,'PRESUPUESTO '!H11),0)</f>
        <v>12022403</v>
      </c>
      <c r="G39" s="5">
        <f>ROUND(STDEVA('PRESUPUESTO '!E11,'PRESUPUESTO '!F11,'PRESUPUESTO '!H11),0)</f>
        <v>11960079</v>
      </c>
      <c r="H39" s="7">
        <f t="shared" si="14"/>
        <v>0.99481601140803544</v>
      </c>
      <c r="I39" s="7">
        <f t="shared" si="15"/>
        <v>5.1839885919645612E-3</v>
      </c>
      <c r="J39" s="12" t="str">
        <f t="shared" si="16"/>
        <v>NO</v>
      </c>
      <c r="K39" s="84">
        <f t="shared" si="17"/>
        <v>12022403</v>
      </c>
      <c r="L39" s="85"/>
    </row>
    <row r="40" spans="2:12">
      <c r="B40" s="1">
        <v>8</v>
      </c>
      <c r="C40" s="1">
        <v>6</v>
      </c>
      <c r="D40" s="3" t="s">
        <v>24</v>
      </c>
      <c r="F40" s="5">
        <f>ROUND(AVERAGE('PRESUPUESTO '!E12,'PRESUPUESTO '!F12,'PRESUPUESTO '!H12),0)</f>
        <v>7836831</v>
      </c>
      <c r="G40" s="5">
        <f>ROUND(STDEVA('PRESUPUESTO '!E12,'PRESUPUESTO '!F12,'PRESUPUESTO '!H12),0)</f>
        <v>8126506</v>
      </c>
      <c r="H40" s="7">
        <f t="shared" si="14"/>
        <v>1.036963282735075</v>
      </c>
      <c r="I40" s="7">
        <f t="shared" si="15"/>
        <v>-3.6963282735074987E-2</v>
      </c>
      <c r="J40" s="12" t="str">
        <f t="shared" si="16"/>
        <v>NO</v>
      </c>
      <c r="K40" s="84">
        <f t="shared" si="17"/>
        <v>7836831</v>
      </c>
      <c r="L40" s="85"/>
    </row>
    <row r="41" spans="2:12">
      <c r="B41" s="1">
        <v>9</v>
      </c>
      <c r="C41" s="81" t="s">
        <v>25</v>
      </c>
      <c r="D41" s="81"/>
      <c r="F41" s="5">
        <f>ROUND(AVERAGE('PRESUPUESTO '!E13,'PRESUPUESTO '!G13,'PRESUPUESTO '!H13),0)</f>
        <v>58553396</v>
      </c>
      <c r="G41" s="5">
        <f>ROUND(STDEVA('PRESUPUESTO '!E13,'PRESUPUESTO '!G13,'PRESUPUESTO '!H13),0)</f>
        <v>34450434</v>
      </c>
      <c r="H41" s="7">
        <f t="shared" si="14"/>
        <v>0.58835928150093975</v>
      </c>
      <c r="I41" s="7">
        <f t="shared" si="15"/>
        <v>0.41164071849906025</v>
      </c>
      <c r="J41" s="12" t="str">
        <f t="shared" si="16"/>
        <v>NO</v>
      </c>
      <c r="K41" s="84">
        <f t="shared" si="17"/>
        <v>58553396</v>
      </c>
      <c r="L41" s="85"/>
    </row>
    <row r="43" spans="2:12">
      <c r="B43" s="79" t="s">
        <v>0</v>
      </c>
      <c r="C43" s="79"/>
      <c r="D43" s="4">
        <v>27</v>
      </c>
      <c r="F43" s="86" t="s">
        <v>28</v>
      </c>
      <c r="G43" s="87"/>
      <c r="H43" s="87"/>
      <c r="I43" s="87"/>
      <c r="J43" s="87"/>
      <c r="K43" s="87"/>
      <c r="L43" s="88"/>
    </row>
    <row r="44" spans="2:12">
      <c r="B44" s="72" t="s">
        <v>2</v>
      </c>
      <c r="C44" s="80" t="s">
        <v>3</v>
      </c>
      <c r="D44" s="72" t="s">
        <v>4</v>
      </c>
      <c r="F44" s="72" t="s">
        <v>5</v>
      </c>
      <c r="G44" s="72" t="s">
        <v>6</v>
      </c>
      <c r="H44" s="72" t="s">
        <v>7</v>
      </c>
      <c r="I44" s="72" t="s">
        <v>8</v>
      </c>
      <c r="J44" s="72" t="s">
        <v>15</v>
      </c>
      <c r="K44" s="89" t="s">
        <v>16</v>
      </c>
      <c r="L44" s="90"/>
    </row>
    <row r="45" spans="2:12">
      <c r="B45" s="72"/>
      <c r="C45" s="80"/>
      <c r="D45" s="72"/>
      <c r="F45" s="72"/>
      <c r="G45" s="72"/>
      <c r="H45" s="72"/>
      <c r="I45" s="72"/>
      <c r="J45" s="72"/>
      <c r="K45" s="91"/>
      <c r="L45" s="92"/>
    </row>
    <row r="46" spans="2:12">
      <c r="B46" s="1">
        <v>1</v>
      </c>
      <c r="C46" s="1">
        <v>1</v>
      </c>
      <c r="D46" s="2" t="s">
        <v>17</v>
      </c>
      <c r="F46" s="5">
        <f>ROUND(AVERAGE('PRESUPUESTO '!E5,'PRESUPUESTO '!G5,'PRESUPUESTO '!H5),0)</f>
        <v>40667572</v>
      </c>
      <c r="G46" s="5">
        <f>ROUND(STDEVA('PRESUPUESTO '!E5,'PRESUPUESTO '!G5,'PRESUPUESTO '!H5),0)</f>
        <v>16651958</v>
      </c>
      <c r="H46" s="7">
        <f>+G46/F46</f>
        <v>0.40946526141270495</v>
      </c>
      <c r="I46" s="7">
        <f>100%-H46</f>
        <v>0.59053473858729499</v>
      </c>
      <c r="J46" s="12" t="str">
        <f>IF(I46&gt;=60%,"SI","NO")</f>
        <v>NO</v>
      </c>
      <c r="K46" s="84">
        <f>+F46</f>
        <v>40667572</v>
      </c>
      <c r="L46" s="85"/>
    </row>
    <row r="47" spans="2:12">
      <c r="B47" s="1">
        <v>2</v>
      </c>
      <c r="C47" s="1">
        <v>3</v>
      </c>
      <c r="D47" s="2" t="s">
        <v>18</v>
      </c>
      <c r="F47" s="5">
        <f>ROUND(AVERAGE('PRESUPUESTO '!E6,'PRESUPUESTO '!G6,'PRESUPUESTO '!H6),0)</f>
        <v>32706497</v>
      </c>
      <c r="G47" s="5">
        <f>ROUND(STDEVA('PRESUPUESTO '!E6,'PRESUPUESTO '!G6,'PRESUPUESTO '!H6),0)</f>
        <v>16088097</v>
      </c>
      <c r="H47" s="7">
        <f t="shared" ref="H47:H54" si="19">+G47/F47</f>
        <v>0.49189300217629545</v>
      </c>
      <c r="I47" s="7">
        <f t="shared" ref="I47:I54" si="20">100%-H47</f>
        <v>0.5081069978237045</v>
      </c>
      <c r="J47" s="12" t="str">
        <f t="shared" ref="J47:J54" si="21">IF(I47&gt;=60%,"SI","NO")</f>
        <v>NO</v>
      </c>
      <c r="K47" s="84">
        <f t="shared" ref="K47:K54" si="22">+F47</f>
        <v>32706497</v>
      </c>
      <c r="L47" s="85"/>
    </row>
    <row r="48" spans="2:12">
      <c r="B48" s="1">
        <f>B47+1</f>
        <v>3</v>
      </c>
      <c r="C48" s="1">
        <v>3</v>
      </c>
      <c r="D48" s="3" t="s">
        <v>19</v>
      </c>
      <c r="F48" s="5">
        <f>ROUND(AVERAGE('PRESUPUESTO '!E7,'PRESUPUESTO '!G7,'PRESUPUESTO '!H7),0)</f>
        <v>26897923</v>
      </c>
      <c r="G48" s="5">
        <f>ROUND(STDEVA('PRESUPUESTO '!E7,'PRESUPUESTO '!G7,'PRESUPUESTO '!H7),0)</f>
        <v>15672537</v>
      </c>
      <c r="H48" s="7">
        <f t="shared" si="19"/>
        <v>0.5826671821463687</v>
      </c>
      <c r="I48" s="7">
        <f t="shared" si="20"/>
        <v>0.4173328178536313</v>
      </c>
      <c r="J48" s="12" t="str">
        <f t="shared" si="21"/>
        <v>NO</v>
      </c>
      <c r="K48" s="84">
        <f t="shared" si="22"/>
        <v>26897923</v>
      </c>
      <c r="L48" s="85"/>
    </row>
    <row r="49" spans="2:12">
      <c r="B49" s="1">
        <f t="shared" ref="B49:B52" si="23">B48+1</f>
        <v>4</v>
      </c>
      <c r="C49" s="1">
        <v>2</v>
      </c>
      <c r="D49" s="3" t="s">
        <v>20</v>
      </c>
      <c r="F49" s="5">
        <f>ROUND(AVERAGE('PRESUPUESTO '!E8,'PRESUPUESTO '!G8,'PRESUPUESTO '!H8),0)</f>
        <v>29084710</v>
      </c>
      <c r="G49" s="5">
        <f>ROUND(STDEVA('PRESUPUESTO '!E8,'PRESUPUESTO '!G8,'PRESUPUESTO '!H8),0)</f>
        <v>15892876</v>
      </c>
      <c r="H49" s="7">
        <f t="shared" si="19"/>
        <v>0.5464340541817333</v>
      </c>
      <c r="I49" s="7">
        <f t="shared" si="20"/>
        <v>0.4535659458182667</v>
      </c>
      <c r="J49" s="12" t="str">
        <f t="shared" si="21"/>
        <v>NO</v>
      </c>
      <c r="K49" s="84">
        <f t="shared" si="22"/>
        <v>29084710</v>
      </c>
      <c r="L49" s="85"/>
    </row>
    <row r="50" spans="2:12">
      <c r="B50" s="1">
        <f t="shared" si="23"/>
        <v>5</v>
      </c>
      <c r="C50" s="1">
        <v>2</v>
      </c>
      <c r="D50" s="3" t="s">
        <v>21</v>
      </c>
      <c r="F50" s="5">
        <f>ROUND(AVERAGE('PRESUPUESTO '!E9,'PRESUPUESTO '!G9,'PRESUPUESTO '!H9),0)</f>
        <v>21211135</v>
      </c>
      <c r="G50" s="5">
        <f>ROUND(STDEVA('PRESUPUESTO '!E9,'PRESUPUESTO '!G9,'PRESUPUESTO '!H9),0)</f>
        <v>11743507</v>
      </c>
      <c r="H50" s="7">
        <f t="shared" si="19"/>
        <v>0.5536482135444426</v>
      </c>
      <c r="I50" s="7">
        <f t="shared" si="20"/>
        <v>0.4463517864555574</v>
      </c>
      <c r="J50" s="12" t="str">
        <f t="shared" si="21"/>
        <v>NO</v>
      </c>
      <c r="K50" s="84">
        <f t="shared" si="22"/>
        <v>21211135</v>
      </c>
      <c r="L50" s="85"/>
    </row>
    <row r="51" spans="2:12">
      <c r="B51" s="1">
        <f t="shared" si="23"/>
        <v>6</v>
      </c>
      <c r="C51" s="1">
        <v>1</v>
      </c>
      <c r="D51" s="3" t="s">
        <v>22</v>
      </c>
      <c r="F51" s="5">
        <f>ROUND(AVERAGE('PRESUPUESTO '!F10,'PRESUPUESTO '!G10,'PRESUPUESTO '!H10),0)</f>
        <v>17239561</v>
      </c>
      <c r="G51" s="5">
        <f>ROUND(STDEVA('PRESUPUESTO '!F10,'PRESUPUESTO '!G10,'PRESUPUESTO '!H10),0)</f>
        <v>10750672</v>
      </c>
      <c r="H51" s="7">
        <f t="shared" si="19"/>
        <v>0.6236047426033644</v>
      </c>
      <c r="I51" s="7">
        <f t="shared" si="20"/>
        <v>0.3763952573966356</v>
      </c>
      <c r="J51" s="12" t="str">
        <f t="shared" si="21"/>
        <v>NO</v>
      </c>
      <c r="K51" s="84">
        <f t="shared" si="22"/>
        <v>17239561</v>
      </c>
      <c r="L51" s="85"/>
    </row>
    <row r="52" spans="2:12">
      <c r="B52" s="1">
        <f t="shared" si="23"/>
        <v>7</v>
      </c>
      <c r="C52" s="1">
        <v>1</v>
      </c>
      <c r="D52" s="3" t="s">
        <v>23</v>
      </c>
      <c r="F52" s="5">
        <f>ROUND(AVERAGE('PRESUPUESTO '!E11,'PRESUPUESTO '!G11,'PRESUPUESTO '!H11),0)</f>
        <v>19728545</v>
      </c>
      <c r="G52" s="5">
        <f>ROUND(STDEVA('PRESUPUESTO '!E11,'PRESUPUESTO '!G11,'PRESUPUESTO '!H11),0)</f>
        <v>12494505</v>
      </c>
      <c r="H52" s="7">
        <f t="shared" si="19"/>
        <v>0.63332115977128567</v>
      </c>
      <c r="I52" s="7">
        <f t="shared" si="20"/>
        <v>0.36667884022871433</v>
      </c>
      <c r="J52" s="12" t="str">
        <f t="shared" si="21"/>
        <v>NO</v>
      </c>
      <c r="K52" s="84">
        <f t="shared" si="22"/>
        <v>19728545</v>
      </c>
      <c r="L52" s="85"/>
    </row>
    <row r="53" spans="2:12">
      <c r="B53" s="1">
        <v>8</v>
      </c>
      <c r="C53" s="1">
        <v>6</v>
      </c>
      <c r="D53" s="3" t="s">
        <v>24</v>
      </c>
      <c r="F53" s="5">
        <f>ROUND(AVERAGE('PRESUPUESTO '!F12,'PRESUPUESTO '!G12,'PRESUPUESTO '!H12),0)</f>
        <v>13816711</v>
      </c>
      <c r="G53" s="5">
        <f>ROUND(STDEVA('PRESUPUESTO '!F12,'PRESUPUESTO '!G12,'PRESUPUESTO '!H12),0)</f>
        <v>9361028</v>
      </c>
      <c r="H53" s="7">
        <f t="shared" si="19"/>
        <v>0.67751493101361093</v>
      </c>
      <c r="I53" s="7">
        <f t="shared" si="20"/>
        <v>0.32248506898638907</v>
      </c>
      <c r="J53" s="12" t="str">
        <f t="shared" si="21"/>
        <v>NO</v>
      </c>
      <c r="K53" s="84">
        <f t="shared" si="22"/>
        <v>13816711</v>
      </c>
      <c r="L53" s="85"/>
    </row>
    <row r="54" spans="2:12">
      <c r="B54" s="1">
        <v>9</v>
      </c>
      <c r="C54" s="81" t="s">
        <v>25</v>
      </c>
      <c r="D54" s="81"/>
      <c r="F54" s="5">
        <f>ROUND(AVERAGE('PRESUPUESTO '!F13,'PRESUPUESTO '!G13,'PRESUPUESTO '!H13),0)</f>
        <v>105037043</v>
      </c>
      <c r="G54" s="5">
        <f>ROUND(STDEVA('PRESUPUESTO '!F13,'PRESUPUESTO '!G13,'PRESUPUESTO '!H13),0)</f>
        <v>46124724</v>
      </c>
      <c r="H54" s="7">
        <f t="shared" si="19"/>
        <v>0.43912816547967748</v>
      </c>
      <c r="I54" s="7">
        <f t="shared" si="20"/>
        <v>0.56087183452032252</v>
      </c>
      <c r="J54" s="12" t="str">
        <f t="shared" si="21"/>
        <v>NO</v>
      </c>
      <c r="K54" s="84">
        <f t="shared" si="22"/>
        <v>105037043</v>
      </c>
      <c r="L54" s="85"/>
    </row>
  </sheetData>
  <mergeCells count="81">
    <mergeCell ref="C54:D54"/>
    <mergeCell ref="K54:L54"/>
    <mergeCell ref="I44:I45"/>
    <mergeCell ref="J44:J45"/>
    <mergeCell ref="K44:L45"/>
    <mergeCell ref="K46:L46"/>
    <mergeCell ref="K47:L47"/>
    <mergeCell ref="K48:L48"/>
    <mergeCell ref="K49:L49"/>
    <mergeCell ref="K50:L50"/>
    <mergeCell ref="K51:L51"/>
    <mergeCell ref="K52:L52"/>
    <mergeCell ref="K53:L53"/>
    <mergeCell ref="C41:D41"/>
    <mergeCell ref="K41:L41"/>
    <mergeCell ref="B43:C43"/>
    <mergeCell ref="F43:L43"/>
    <mergeCell ref="B44:B45"/>
    <mergeCell ref="C44:C45"/>
    <mergeCell ref="D44:D45"/>
    <mergeCell ref="F44:F45"/>
    <mergeCell ref="G44:G45"/>
    <mergeCell ref="H44:H45"/>
    <mergeCell ref="K40:L40"/>
    <mergeCell ref="H31:H32"/>
    <mergeCell ref="I31:I32"/>
    <mergeCell ref="J31:J32"/>
    <mergeCell ref="K31:L32"/>
    <mergeCell ref="K33:L33"/>
    <mergeCell ref="K34:L34"/>
    <mergeCell ref="K35:L35"/>
    <mergeCell ref="K36:L36"/>
    <mergeCell ref="K37:L37"/>
    <mergeCell ref="K38:L38"/>
    <mergeCell ref="K39:L39"/>
    <mergeCell ref="K26:L26"/>
    <mergeCell ref="K27:L27"/>
    <mergeCell ref="F16:L16"/>
    <mergeCell ref="B30:C30"/>
    <mergeCell ref="F30:L30"/>
    <mergeCell ref="C27:D27"/>
    <mergeCell ref="K17:L18"/>
    <mergeCell ref="K19:L19"/>
    <mergeCell ref="K20:L20"/>
    <mergeCell ref="K21:L21"/>
    <mergeCell ref="K22:L22"/>
    <mergeCell ref="K23:L23"/>
    <mergeCell ref="K24:L24"/>
    <mergeCell ref="K25:L25"/>
    <mergeCell ref="B16:C16"/>
    <mergeCell ref="B17:B18"/>
    <mergeCell ref="B31:B32"/>
    <mergeCell ref="C31:C32"/>
    <mergeCell ref="D31:D32"/>
    <mergeCell ref="F31:F32"/>
    <mergeCell ref="G31:G32"/>
    <mergeCell ref="C17:C18"/>
    <mergeCell ref="D17:D18"/>
    <mergeCell ref="F17:F18"/>
    <mergeCell ref="G17:G18"/>
    <mergeCell ref="H17:H18"/>
    <mergeCell ref="I17:I18"/>
    <mergeCell ref="J17:J18"/>
    <mergeCell ref="M4:M5"/>
    <mergeCell ref="N4:N5"/>
    <mergeCell ref="O4:O5"/>
    <mergeCell ref="P4:P5"/>
    <mergeCell ref="Q4:Q5"/>
    <mergeCell ref="F3:Q3"/>
    <mergeCell ref="G4:G5"/>
    <mergeCell ref="H4:H5"/>
    <mergeCell ref="I4:I5"/>
    <mergeCell ref="J4:J5"/>
    <mergeCell ref="K4:K5"/>
    <mergeCell ref="L4:L5"/>
    <mergeCell ref="F4:F5"/>
    <mergeCell ref="B3:C3"/>
    <mergeCell ref="B4:B5"/>
    <mergeCell ref="C4:C5"/>
    <mergeCell ref="D4:D5"/>
    <mergeCell ref="C14:D14"/>
  </mergeCells>
  <conditionalFormatting sqref="C4">
    <cfRule type="duplicateValues" dxfId="16" priority="12"/>
  </conditionalFormatting>
  <conditionalFormatting sqref="C17">
    <cfRule type="duplicateValues" dxfId="15" priority="9"/>
  </conditionalFormatting>
  <conditionalFormatting sqref="C31">
    <cfRule type="duplicateValues" dxfId="14" priority="6"/>
  </conditionalFormatting>
  <conditionalFormatting sqref="C44">
    <cfRule type="duplicateValues" dxfId="13" priority="3"/>
  </conditionalFormatting>
  <conditionalFormatting sqref="D4">
    <cfRule type="duplicateValues" dxfId="12" priority="11"/>
  </conditionalFormatting>
  <conditionalFormatting sqref="D17">
    <cfRule type="duplicateValues" dxfId="11" priority="8"/>
  </conditionalFormatting>
  <conditionalFormatting sqref="D31">
    <cfRule type="duplicateValues" dxfId="10" priority="5"/>
  </conditionalFormatting>
  <conditionalFormatting sqref="D44">
    <cfRule type="duplicateValues" dxfId="9" priority="2"/>
  </conditionalFormatting>
  <conditionalFormatting sqref="F17:K17">
    <cfRule type="duplicateValues" dxfId="8" priority="7"/>
  </conditionalFormatting>
  <conditionalFormatting sqref="F31:K31">
    <cfRule type="duplicateValues" dxfId="7" priority="4"/>
  </conditionalFormatting>
  <conditionalFormatting sqref="F44:K44">
    <cfRule type="duplicateValues" dxfId="6" priority="1"/>
  </conditionalFormatting>
  <conditionalFormatting sqref="F4:L4">
    <cfRule type="duplicateValues" dxfId="5" priority="1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workbookViewId="0"/>
  </sheetViews>
  <sheetFormatPr defaultColWidth="11.42578125" defaultRowHeight="15"/>
  <cols>
    <col min="1" max="1" width="39.42578125" customWidth="1"/>
    <col min="2" max="2" width="75.42578125" customWidth="1"/>
    <col min="3" max="3" width="27.85546875" customWidth="1"/>
    <col min="4" max="4" width="24.28515625" customWidth="1"/>
    <col min="5" max="5" width="16.7109375" customWidth="1"/>
    <col min="7" max="7" width="13.42578125" customWidth="1"/>
  </cols>
  <sheetData>
    <row r="1" spans="1:9" ht="16.5">
      <c r="A1" s="13" t="s">
        <v>29</v>
      </c>
      <c r="B1" s="13" t="s">
        <v>30</v>
      </c>
      <c r="C1" s="13" t="s">
        <v>31</v>
      </c>
      <c r="D1" s="13" t="s">
        <v>32</v>
      </c>
      <c r="E1" s="13" t="s">
        <v>33</v>
      </c>
    </row>
    <row r="2" spans="1:9" ht="16.5">
      <c r="A2" s="13" t="s">
        <v>34</v>
      </c>
      <c r="B2" s="18" cm="1">
        <f t="array" ref="B2">SUMPRODUCT(
  (IFERROR(VALUE('PRESUPUESTO '!$B$5:$B$163),0)&gt;=1)*
  (IFERROR(VALUE('PRESUPUESTO '!$B$5:$B$163),0)&lt;=8)*
  IFERROR(VALUE('PRESUPUESTO '!$C$5:$C$163),0)*
  IFERROR(VALUE('PRESUPUESTO '!$E$5:$E$163),0)
)</f>
        <v>176735915</v>
      </c>
      <c r="C2" s="19" cm="1">
        <f t="array" ref="C2">SUMPRODUCT(
  (IFERROR(VALUE('PRESUPUESTO '!$B$5:$B$163),0)&gt;=1)*
  (IFERROR(VALUE('PRESUPUESTO '!$B$5:$B$163),0)&lt;=8)*
  IFERROR(VALUE('PRESUPUESTO '!$C$5:$C$163),0)*
  IFERROR(VALUE('PRESUPUESTO '!$F$5:$F$163),0)
)</f>
        <v>143878298.27999997</v>
      </c>
      <c r="D2" s="18" cm="1">
        <f t="array" ref="D2">SUMPRODUCT(
  (IFERROR(VALUE('PRESUPUESTO '!$B$5:$B$163),0)&gt;=1)*
  (IFERROR(VALUE('PRESUPUESTO '!$B$5:$B$163),0)&lt;=8)*
  IFERROR(VALUE('PRESUPUESTO '!$C$5:$C$163),0)*
  IFERROR(VALUE('PRESUPUESTO '!$G$5:$G$163),0)
)</f>
        <v>658000000</v>
      </c>
      <c r="E2" s="18" cm="1">
        <f t="array" ref="E2">SUMPRODUCT(
  (IFERROR(VALUE('PRESUPUESTO '!$B$5:$B$163),0)&gt;=1)*
  (IFERROR(VALUE('PRESUPUESTO '!$B$5:$B$163),0)&lt;=8)*
  IFERROR(VALUE('PRESUPUESTO '!$C$5:$C$163),0)*
  IFERROR(VALUE('PRESUPUESTO '!$H$5:$H$163),0)
)</f>
        <v>482160000</v>
      </c>
    </row>
    <row r="3" spans="1:9" ht="16.5">
      <c r="A3" s="13" t="s">
        <v>35</v>
      </c>
      <c r="B3" s="18">
        <f>+'PRESUPUESTO '!E13</f>
        <v>18815187</v>
      </c>
      <c r="C3" s="19">
        <f>+'PRESUPUESTO '!F13</f>
        <v>158266128.63145259</v>
      </c>
      <c r="D3" s="18">
        <f>+'PRESUPUESTO '!G13</f>
        <v>80000000</v>
      </c>
      <c r="E3" s="18">
        <f>+'PRESUPUESTO '!H13</f>
        <v>76845000</v>
      </c>
    </row>
    <row r="4" spans="1:9" ht="16.5">
      <c r="A4" s="13" t="s">
        <v>36</v>
      </c>
      <c r="B4" s="20">
        <f>+B3/B2</f>
        <v>0.10645932944642293</v>
      </c>
      <c r="C4" s="20">
        <f t="shared" ref="C4:E4" si="0">+C3/C2</f>
        <v>1.1000000036381625</v>
      </c>
      <c r="D4" s="20">
        <f t="shared" si="0"/>
        <v>0.12158054711246201</v>
      </c>
      <c r="E4" s="20">
        <f t="shared" si="0"/>
        <v>0.15937655550024887</v>
      </c>
    </row>
    <row r="5" spans="1:9" ht="16.5">
      <c r="A5" s="13"/>
      <c r="B5" s="20"/>
      <c r="C5" s="20"/>
      <c r="D5" s="20"/>
      <c r="E5" s="20"/>
    </row>
    <row r="6" spans="1:9" ht="16.5">
      <c r="A6" s="13" t="s">
        <v>37</v>
      </c>
      <c r="B6">
        <f>ROUND(_xlfn.PERCENTILE.INC(B4:E4, 0.75), 6)</f>
        <v>0.39453199999999999</v>
      </c>
      <c r="I6" s="17" cm="1">
        <f t="array" ref="I6">SUMPRODUCT(--ISNUMBER('PRESUPUESTO '!$C$5:$C$18))</f>
        <v>8</v>
      </c>
    </row>
    <row r="7" spans="1:9" ht="16.5">
      <c r="A7" s="13" t="s">
        <v>38</v>
      </c>
      <c r="B7" s="20">
        <f>+B6</f>
        <v>0.39453199999999999</v>
      </c>
      <c r="I7" cm="1">
        <f t="array" ref="I7">SUMPRODUCT(--ISNUMBER('PRESUPUESTO '!$F$5:$F$18))</f>
        <v>11</v>
      </c>
    </row>
    <row r="8" spans="1:9" ht="16.5">
      <c r="A8" s="13" t="s">
        <v>39</v>
      </c>
      <c r="B8" s="18">
        <f>ROUND(_xlfn.PERCENTILE.INC(B2:E2, 0.9), 0)</f>
        <v>605248000</v>
      </c>
      <c r="I8" cm="1">
        <f t="array" ref="I8">SUMPRODUCT(--ISNUMBER('PRESUPUESTO '!$B$5:$B$18))</f>
        <v>9</v>
      </c>
    </row>
    <row r="9" spans="1:9" ht="16.5">
      <c r="A9" s="13" t="s">
        <v>40</v>
      </c>
      <c r="B9" s="18">
        <f>ROUND($B$7 * $B$8, 0)</f>
        <v>238789704</v>
      </c>
    </row>
    <row r="11" spans="1:9" ht="16.5">
      <c r="A11" s="13" t="s">
        <v>2</v>
      </c>
      <c r="B11" t="s">
        <v>41</v>
      </c>
      <c r="C11" s="21" t="s">
        <v>42</v>
      </c>
      <c r="D11" t="s">
        <v>43</v>
      </c>
      <c r="E11" t="s">
        <v>44</v>
      </c>
      <c r="F11" t="s">
        <v>45</v>
      </c>
      <c r="G11" t="s">
        <v>46</v>
      </c>
      <c r="H11" s="14" t="s">
        <v>47</v>
      </c>
    </row>
    <row r="12" spans="1:9">
      <c r="A12">
        <v>1</v>
      </c>
      <c r="B12" t="str">
        <f>'PRESUPUESTO '!D5</f>
        <v>Gerente de Interventoría</v>
      </c>
      <c r="C12" s="18">
        <f>IF($A12=9,
    $B$9,
    IFERROR(
      ROUND(_xlfn.PERCENTILE.INC(E12:H12, 0.9), 0),
    "")
)</f>
        <v>72676035</v>
      </c>
      <c r="D12" cm="1">
        <f t="array" ref="D12">IFERROR(
  _xlfn.AGGREGATE(15,6,
    ROW('PRESUPUESTO '!$B$5:$B$163) /
    (IFERROR(VALUE('PRESUPUESTO '!$B$5:$B$163),0)=$A12),1),"")</f>
        <v>5</v>
      </c>
      <c r="E12" cm="1">
        <f t="array" ref="E12">IF($A12=9,
    "",
    IFERROR(VALUE(INDEX('PRESUPUESTO '!$E:$E, $D12))*(1+$B$7), "")
)</f>
        <v>32008296.948911998</v>
      </c>
      <c r="F12" cm="1">
        <f t="array" ref="F12">IF($A12=9,
    "",
    IFERROR(VALUE(INDEX('PRESUPUESTO '!$F:$F, $D12))*(1+$B$7), "")
)</f>
        <v>18761769.180514079</v>
      </c>
      <c r="G12" cm="1">
        <f t="array" ref="G12">IF($A12=9,
    "",
    IFERROR(VALUE(INDEX('PRESUPUESTO '!$G:$G, $D12))*(1+$B$7), "")
)</f>
        <v>78093792</v>
      </c>
      <c r="H12" cm="1">
        <f t="array" ref="H12">IF($A12=9,
    "",
    IFERROR(VALUE(INDEX('PRESUPUESTO '!$H:$H, $D12))*(1+$B$7), "")
)</f>
        <v>60034602.599999994</v>
      </c>
    </row>
    <row r="13" spans="1:9">
      <c r="A13">
        <v>2</v>
      </c>
      <c r="B13" t="str">
        <f>'PRESUPUESTO '!D6</f>
        <v>Coordinador Técnico</v>
      </c>
      <c r="C13" s="18">
        <f t="shared" ref="C13:C20" si="1">IF($A13=9,
    $B$9,
    IFERROR(
      ROUND(_xlfn.PERCENTILE.INC(E13:H13, 0.9), 0),
    "")
)</f>
        <v>61340233</v>
      </c>
      <c r="D13" cm="1">
        <f t="array" ref="D13">IFERROR(
  _xlfn.AGGREGATE(15,6,
    ROW('PRESUPUESTO '!$B$5:$B$163) /
    (IFERROR(VALUE('PRESUPUESTO '!$B$5:$B$163),0)=$A13),1),"")</f>
        <v>6</v>
      </c>
      <c r="E13" cm="1">
        <f t="array" ref="E13">IF($A13=9,
    "",
    IFERROR(VALUE(INDEX('PRESUPUESTO '!$E:$E, $D13))*(1+$B$7), "")
)</f>
        <v>23472751.467743997</v>
      </c>
      <c r="F13" cm="1">
        <f t="array" ref="F13">IF($A13=9,
    "",
    IFERROR(VALUE(INDEX('PRESUPUESTO '!$F:$F, $D13))*(1+$B$7), "")
)</f>
        <v>14912741.990606397</v>
      </c>
      <c r="G13" cm="1">
        <f t="array" ref="G13">IF($A13=9,
    "",
    IFERROR(VALUE(INDEX('PRESUPUESTO '!$G:$G, $D13))*(1+$B$7), "")
)</f>
        <v>68332068</v>
      </c>
      <c r="H13" cm="1">
        <f t="array" ref="H13">IF($A13=9,
    "",
    IFERROR(VALUE(INDEX('PRESUPUESTO '!$H:$H, $D13))*(1+$B$7), "")
)</f>
        <v>45025951.949999996</v>
      </c>
    </row>
    <row r="14" spans="1:9">
      <c r="A14">
        <v>3</v>
      </c>
      <c r="B14" t="str">
        <f>'PRESUPUESTO '!D7</f>
        <v>Ingeniero de calidad y soporte de servicio</v>
      </c>
      <c r="C14" s="18">
        <f t="shared" si="1"/>
        <v>52705988</v>
      </c>
      <c r="D14" cm="1">
        <f t="array" ref="D14">IFERROR(
  _xlfn.AGGREGATE(15,6,
    ROW('PRESUPUESTO '!$B$5:$B$163) /
    (IFERROR(VALUE('PRESUPUESTO '!$B$5:$B$163),0)=$A14),1),"")</f>
        <v>7</v>
      </c>
      <c r="E14" cm="1">
        <f t="array" ref="E14">IF($A14=9,
    "",
    IFERROR(VALUE(INDEX('PRESUPUESTO '!$E:$E, $D14))*(1+$B$7), "")
)</f>
        <v>14937205.986575998</v>
      </c>
      <c r="F14" cm="1">
        <f t="array" ref="F14">IF($A14=9,
    "",
    IFERROR(VALUE(INDEX('PRESUPUESTO '!$F:$F, $D14))*(1+$B$7), "")
)</f>
        <v>14912741.990606397</v>
      </c>
      <c r="G14" cm="1">
        <f t="array" ref="G14">IF($A14=9,
    "",
    IFERROR(VALUE(INDEX('PRESUPUESTO '!$G:$G, $D14))*(1+$B$7), "")
)</f>
        <v>58570343.999999993</v>
      </c>
      <c r="H14" cm="1">
        <f t="array" ref="H14">IF($A14=9,
    "",
    IFERROR(VALUE(INDEX('PRESUPUESTO '!$H:$H, $D14))*(1+$B$7), "")
)</f>
        <v>39022491.689999998</v>
      </c>
    </row>
    <row r="15" spans="1:9">
      <c r="A15">
        <v>4</v>
      </c>
      <c r="B15" t="str">
        <f>'PRESUPUESTO '!D8</f>
        <v>Ingeniero de seguridad de la información</v>
      </c>
      <c r="C15" s="18">
        <f t="shared" si="1"/>
        <v>56122592</v>
      </c>
      <c r="D15" cm="1">
        <f t="array" ref="D15">IFERROR(
  _xlfn.AGGREGATE(15,6,
    ROW('PRESUPUESTO '!$B$5:$B$163) /
    (IFERROR(VALUE('PRESUPUESTO '!$B$5:$B$163),0)=$A15),1),"")</f>
        <v>8</v>
      </c>
      <c r="E15" cm="1">
        <f t="array" ref="E15">IF($A15=9,
    "",
    IFERROR(VALUE(INDEX('PRESUPUESTO '!$E:$E, $D15))*(1+$B$7), "")
)</f>
        <v>19204978.727159999</v>
      </c>
      <c r="F15" cm="1">
        <f t="array" ref="F15">IF($A15=9,
    "",
    IFERROR(VALUE(INDEX('PRESUPUESTO '!$F:$F, $D15))*(1+$B$7), "")
)</f>
        <v>14912741.990606397</v>
      </c>
      <c r="G15" cm="1">
        <f t="array" ref="G15">IF($A15=9,
    "",
    IFERROR(VALUE(INDEX('PRESUPUESTO '!$G:$G, $D15))*(1+$B$7), "")
)</f>
        <v>63451205.999999993</v>
      </c>
      <c r="H15" cm="1">
        <f t="array" ref="H15">IF($A15=9,
    "",
    IFERROR(VALUE(INDEX('PRESUPUESTO '!$H:$H, $D15))*(1+$B$7), "")
)</f>
        <v>39022491.689999998</v>
      </c>
    </row>
    <row r="16" spans="1:9">
      <c r="A16">
        <v>5</v>
      </c>
      <c r="B16" t="str">
        <f>'PRESUPUESTO '!D9</f>
        <v>Profesional de apoyo administrativo</v>
      </c>
      <c r="C16" s="18">
        <f t="shared" si="1"/>
        <v>39039575</v>
      </c>
      <c r="D16" cm="1">
        <f t="array" ref="D16">IFERROR(
  _xlfn.AGGREGATE(15,6,
    ROW('PRESUPUESTO '!$B$5:$B$163) /
    (IFERROR(VALUE('PRESUPUESTO '!$B$5:$B$163),0)=$A16),1),"")</f>
        <v>9</v>
      </c>
      <c r="E16" cm="1">
        <f t="array" ref="E16">IF($A16=9,
    "",
    IFERROR(VALUE(INDEX('PRESUPUESTO '!$E:$E, $D16))*(1+$B$7), "")
)</f>
        <v>10669431.851459999</v>
      </c>
      <c r="F16" cm="1">
        <f t="array" ref="F16">IF($A16=9,
    "",
    IFERROR(VALUE(INDEX('PRESUPUESTO '!$F:$F, $D16))*(1+$B$7), "")
)</f>
        <v>9840960.7783178389</v>
      </c>
      <c r="G16" cm="1">
        <f t="array" ref="G16">IF($A16=9,
    "",
    IFERROR(VALUE(INDEX('PRESUPUESTO '!$G:$G, $D16))*(1+$B$7), "")
)</f>
        <v>39046896</v>
      </c>
      <c r="H16" cm="1">
        <f t="array" ref="H16">IF($A16=9,
    "",
    IFERROR(VALUE(INDEX('PRESUPUESTO '!$H:$H, $D16))*(1+$B$7), "")
)</f>
        <v>39022491.689999998</v>
      </c>
    </row>
    <row r="17" spans="1:8">
      <c r="A17">
        <v>6</v>
      </c>
      <c r="B17" t="str">
        <f>'PRESUPUESTO '!D10</f>
        <v>Contador Titulado</v>
      </c>
      <c r="C17" s="18">
        <f t="shared" si="1"/>
        <v>34536980</v>
      </c>
      <c r="D17" cm="1">
        <f t="array" ref="D17">IFERROR(
  _xlfn.AGGREGATE(15,6,
    ROW('PRESUPUESTO '!$B$5:$B$163) /
    (IFERROR(VALUE('PRESUPUESTO '!$B$5:$B$163),0)=$A17),1),"")</f>
        <v>10</v>
      </c>
      <c r="E17" cm="1">
        <f t="array" ref="E17">IF($A17=9,
    "",
    IFERROR(VALUE(INDEX('PRESUPUESTO '!$E:$E, $D17))*(1+$B$7), "")
)</f>
        <v>6401659.1108759996</v>
      </c>
      <c r="F17" cm="1">
        <f t="array" ref="F17">IF($A17=9,
    "",
    IFERROR(VALUE(INDEX('PRESUPUESTO '!$F:$F, $D17))*(1+$B$7), "")
)</f>
        <v>9062621.8615515586</v>
      </c>
      <c r="G17" cm="1">
        <f t="array" ref="G17">IF($A17=9,
    "",
    IFERROR(VALUE(INDEX('PRESUPUESTO '!$G:$G, $D17))*(1+$B$7), "")
)</f>
        <v>39046896</v>
      </c>
      <c r="H17" cm="1">
        <f t="array" ref="H17">IF($A17=9,
    "",
    IFERROR(VALUE(INDEX('PRESUPUESTO '!$H:$H, $D17))*(1+$B$7), "")
)</f>
        <v>24013841.039999999</v>
      </c>
    </row>
    <row r="18" spans="1:8">
      <c r="A18">
        <v>7</v>
      </c>
      <c r="B18" t="str">
        <f>'PRESUPUESTO '!D11</f>
        <v>Abogado</v>
      </c>
      <c r="C18" s="18">
        <f t="shared" si="1"/>
        <v>38139056</v>
      </c>
      <c r="D18" cm="1">
        <f t="array" ref="D18">IFERROR(
  _xlfn.AGGREGATE(15,6,
    ROW('PRESUPUESTO '!$B$5:$B$163) /
    (IFERROR(VALUE('PRESUPUESTO '!$B$5:$B$163),0)=$A18),1),"")</f>
        <v>11</v>
      </c>
      <c r="E18" cm="1">
        <f t="array" ref="E18">IF($A18=9,
    "",
    IFERROR(VALUE(INDEX('PRESUPUESTO '!$E:$E, $D18))*(1+$B$7), "")
)</f>
        <v>7468602.9932879992</v>
      </c>
      <c r="F18" cm="1">
        <f t="array" ref="F18">IF($A18=9,
    "",
    IFERROR(VALUE(INDEX('PRESUPUESTO '!$F:$F, $D18))*(1+$B$7), "")
)</f>
        <v>6807510.9162975596</v>
      </c>
      <c r="G18" cm="1">
        <f t="array" ref="G18">IF($A18=9,
    "",
    IFERROR(VALUE(INDEX('PRESUPUESTO '!$G:$G, $D18))*(1+$B$7), "")
)</f>
        <v>39046896</v>
      </c>
      <c r="H18" cm="1">
        <f t="array" ref="H18">IF($A18=9,
    "",
    IFERROR(VALUE(INDEX('PRESUPUESTO '!$H:$H, $D18))*(1+$B$7), "")
)</f>
        <v>36020761.559999995</v>
      </c>
    </row>
    <row r="19" spans="1:8">
      <c r="A19">
        <v>8</v>
      </c>
      <c r="B19" t="str">
        <f>'PRESUPUESTO '!D12</f>
        <v>Técnico en sistemas para gestionar el estado de los servicios</v>
      </c>
      <c r="C19" s="18">
        <f t="shared" si="1"/>
        <v>27703773</v>
      </c>
      <c r="D19" cm="1">
        <f t="array" ref="D19">IFERROR(
  _xlfn.AGGREGATE(15,6,
    ROW('PRESUPUESTO '!$B$5:$B$163) /
    (IFERROR(VALUE('PRESUPUESTO '!$B$5:$B$163),0)=$A19),1),"")</f>
        <v>12</v>
      </c>
      <c r="E19" cm="1">
        <f t="array" ref="E19">IF($A19=9,
    "",
    IFERROR(VALUE(INDEX('PRESUPUESTO '!$E:$E, $D19))*(1+$B$7), "")
)</f>
        <v>4267772.740584</v>
      </c>
      <c r="F19" cm="1">
        <f t="array" ref="F19">IF($A19=9,
    "",
    IFERROR(VALUE(INDEX('PRESUPUESTO '!$F:$F, $D19))*(1+$B$7), "")
)</f>
        <v>4504521.9361924799</v>
      </c>
      <c r="G19" cm="1">
        <f t="array" ref="G19">IF($A19=9,
    "",
    IFERROR(VALUE(INDEX('PRESUPUESTO '!$G:$G, $D19))*(1+$B$7), "")
)</f>
        <v>29285171.999999996</v>
      </c>
      <c r="H19" cm="1">
        <f t="array" ref="H19">IF($A19=9,
    "",
    IFERROR(VALUE(INDEX('PRESUPUESTO '!$H:$H, $D19))*(1+$B$7), "")
)</f>
        <v>24013841.039999999</v>
      </c>
    </row>
    <row r="20" spans="1:8">
      <c r="A20">
        <v>9</v>
      </c>
      <c r="B20" t="str">
        <f>+'PRESUPUESTO '!C13</f>
        <v>Costos indirectos derivados de la  prestación mensual del servicio de interventoría.</v>
      </c>
      <c r="C20" s="18">
        <f t="shared" si="1"/>
        <v>238789704</v>
      </c>
      <c r="D20" cm="1">
        <f t="array" ref="D20">IFERROR(
  _xlfn.AGGREGATE(15,6,
    ROW('PRESUPUESTO '!$B$5:$B$163) /
    (IFERROR(VALUE('PRESUPUESTO '!$B$5:$B$163),0)=$A20),1),"")</f>
        <v>13</v>
      </c>
      <c r="E20" t="str" cm="1">
        <f t="array" ref="E20">IF($A20=9,
    "",
    IFERROR(VALUE(INDEX('PRESUPUESTO '!$E:$E, $D20))*(1+$B$7), "")
)</f>
        <v/>
      </c>
      <c r="F20" t="str" cm="1">
        <f t="array" ref="F20">IF($A20=9,
    "",
    IFERROR(VALUE(INDEX('PRESUPUESTO '!$F:$F, $D20))*(1+$B$7), "")
)</f>
        <v/>
      </c>
      <c r="G20" t="str" cm="1">
        <f t="array" ref="G20">IF($A20=9,
    "",
    IFERROR(VALUE(INDEX('PRESUPUESTO '!$G:$G, $D20))*(1+$B$7), "")
)</f>
        <v/>
      </c>
      <c r="H20" t="str" cm="1">
        <f t="array" ref="H20">IF($A20=9,
    "",
    IFERROR(VALUE(INDEX('PRESUPUESTO '!$H:$H, $D20))*(1+$B$7), "")
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28"/>
  <sheetViews>
    <sheetView topLeftCell="F1" workbookViewId="0">
      <selection activeCell="J5" sqref="J5"/>
    </sheetView>
  </sheetViews>
  <sheetFormatPr defaultColWidth="11.42578125" defaultRowHeight="15"/>
  <cols>
    <col min="2" max="2" width="7.28515625" customWidth="1"/>
    <col min="3" max="3" width="63.140625" customWidth="1"/>
    <col min="4" max="13" width="23.5703125" customWidth="1"/>
  </cols>
  <sheetData>
    <row r="2" spans="2:13" s="29" customFormat="1" ht="32.25" customHeight="1">
      <c r="D2" s="76" t="s">
        <v>48</v>
      </c>
      <c r="E2" s="76"/>
      <c r="F2" s="76"/>
      <c r="G2" s="77" t="s">
        <v>49</v>
      </c>
      <c r="H2" s="77"/>
      <c r="I2" s="77"/>
      <c r="J2" s="78" t="s">
        <v>50</v>
      </c>
      <c r="K2" s="78"/>
      <c r="L2" s="78"/>
      <c r="M2" s="71" t="s">
        <v>51</v>
      </c>
    </row>
    <row r="3" spans="2:13" ht="15" customHeight="1">
      <c r="B3" s="72" t="s">
        <v>2</v>
      </c>
      <c r="C3" s="72" t="s">
        <v>52</v>
      </c>
      <c r="D3" s="75" t="s">
        <v>53</v>
      </c>
      <c r="E3" s="75" t="s">
        <v>54</v>
      </c>
      <c r="F3" s="75" t="s">
        <v>55</v>
      </c>
      <c r="G3" s="73" t="s">
        <v>56</v>
      </c>
      <c r="H3" s="73" t="s">
        <v>54</v>
      </c>
      <c r="I3" s="73" t="s">
        <v>57</v>
      </c>
      <c r="J3" s="74" t="s">
        <v>58</v>
      </c>
      <c r="K3" s="74" t="s">
        <v>54</v>
      </c>
      <c r="L3" s="74" t="s">
        <v>59</v>
      </c>
      <c r="M3" s="71"/>
    </row>
    <row r="4" spans="2:13" ht="70.5" customHeight="1">
      <c r="B4" s="72"/>
      <c r="C4" s="72"/>
      <c r="D4" s="75"/>
      <c r="E4" s="75"/>
      <c r="F4" s="75"/>
      <c r="G4" s="73"/>
      <c r="H4" s="73"/>
      <c r="I4" s="73"/>
      <c r="J4" s="74"/>
      <c r="K4" s="74"/>
      <c r="L4" s="74"/>
      <c r="M4" s="71"/>
    </row>
    <row r="5" spans="2:13">
      <c r="B5" s="1">
        <v>1</v>
      </c>
      <c r="C5" s="2" t="s">
        <v>17</v>
      </c>
      <c r="D5" s="23">
        <f>12076379/1.19</f>
        <v>10148217.647058824</v>
      </c>
      <c r="E5" s="23">
        <f>+D5*19%</f>
        <v>1928161.3529411766</v>
      </c>
      <c r="F5" s="23">
        <f>+D5+E5</f>
        <v>12076379</v>
      </c>
      <c r="G5" s="23">
        <f>+D5*1.051</f>
        <v>10665776.747058824</v>
      </c>
      <c r="H5" s="23">
        <f>+G5*19%</f>
        <v>2026497.5819411764</v>
      </c>
      <c r="I5" s="23">
        <f>+G5+H5</f>
        <v>12692274.329</v>
      </c>
      <c r="J5" s="62">
        <f>ROUND(G5*1.063,0)</f>
        <v>11337721</v>
      </c>
      <c r="K5" s="23">
        <f>+J5*19%</f>
        <v>2154166.9900000002</v>
      </c>
      <c r="L5" s="23">
        <f>+J5+K5</f>
        <v>13491887.99</v>
      </c>
      <c r="M5" s="24">
        <f>ROUND(L5,0)</f>
        <v>13491888</v>
      </c>
    </row>
    <row r="6" spans="2:13">
      <c r="B6" s="1">
        <v>2</v>
      </c>
      <c r="C6" s="2" t="s">
        <v>18</v>
      </c>
      <c r="D6" s="23">
        <f>9598877/1.19</f>
        <v>8066283.1932773115</v>
      </c>
      <c r="E6" s="23">
        <f t="shared" ref="E6:E12" si="0">+D6*19%</f>
        <v>1532593.8067226892</v>
      </c>
      <c r="F6" s="23">
        <f t="shared" ref="F6:F12" si="1">+D6+E6</f>
        <v>9598877</v>
      </c>
      <c r="G6" s="23">
        <f t="shared" ref="G6:G12" si="2">+D6*1.051</f>
        <v>8477663.6361344531</v>
      </c>
      <c r="H6" s="23">
        <f t="shared" ref="H6:H12" si="3">+G6*19%</f>
        <v>1610756.0908655461</v>
      </c>
      <c r="I6" s="23">
        <f t="shared" ref="I6:I12" si="4">+G6+H6</f>
        <v>10088419.727</v>
      </c>
      <c r="J6" s="23">
        <f t="shared" ref="J6:J12" si="5">ROUND(G6*1.063,0)</f>
        <v>9011756</v>
      </c>
      <c r="K6" s="23">
        <f t="shared" ref="K6:K12" si="6">+J6*19%</f>
        <v>1712233.6400000001</v>
      </c>
      <c r="L6" s="23">
        <f t="shared" ref="L6:L12" si="7">+J6+K6</f>
        <v>10723989.640000001</v>
      </c>
      <c r="M6" s="24">
        <f>ROUND(L6,0)</f>
        <v>10723990</v>
      </c>
    </row>
    <row r="7" spans="2:13">
      <c r="B7" s="1">
        <f>B6+1</f>
        <v>3</v>
      </c>
      <c r="C7" s="3" t="s">
        <v>19</v>
      </c>
      <c r="D7" s="23">
        <f>9598877/1.19</f>
        <v>8066283.1932773115</v>
      </c>
      <c r="E7" s="23">
        <f t="shared" si="0"/>
        <v>1532593.8067226892</v>
      </c>
      <c r="F7" s="23">
        <f t="shared" si="1"/>
        <v>9598877</v>
      </c>
      <c r="G7" s="23">
        <f t="shared" si="2"/>
        <v>8477663.6361344531</v>
      </c>
      <c r="H7" s="23">
        <f t="shared" si="3"/>
        <v>1610756.0908655461</v>
      </c>
      <c r="I7" s="23">
        <f t="shared" si="4"/>
        <v>10088419.727</v>
      </c>
      <c r="J7" s="23">
        <f t="shared" si="5"/>
        <v>9011756</v>
      </c>
      <c r="K7" s="23">
        <f t="shared" si="6"/>
        <v>1712233.6400000001</v>
      </c>
      <c r="L7" s="23">
        <f t="shared" si="7"/>
        <v>10723989.640000001</v>
      </c>
      <c r="M7" s="24">
        <f t="shared" ref="M7:M12" si="8">ROUND(L7,0)</f>
        <v>10723990</v>
      </c>
    </row>
    <row r="8" spans="2:13">
      <c r="B8" s="1">
        <f t="shared" ref="B8:B11" si="9">B7+1</f>
        <v>4</v>
      </c>
      <c r="C8" s="3" t="s">
        <v>20</v>
      </c>
      <c r="D8" s="23">
        <f>9598877/1.19</f>
        <v>8066283.1932773115</v>
      </c>
      <c r="E8" s="23">
        <f t="shared" si="0"/>
        <v>1532593.8067226892</v>
      </c>
      <c r="F8" s="23">
        <f t="shared" si="1"/>
        <v>9598877</v>
      </c>
      <c r="G8" s="23">
        <f t="shared" si="2"/>
        <v>8477663.6361344531</v>
      </c>
      <c r="H8" s="23">
        <f t="shared" si="3"/>
        <v>1610756.0908655461</v>
      </c>
      <c r="I8" s="23">
        <f t="shared" si="4"/>
        <v>10088419.727</v>
      </c>
      <c r="J8" s="23">
        <f t="shared" si="5"/>
        <v>9011756</v>
      </c>
      <c r="K8" s="23">
        <f t="shared" si="6"/>
        <v>1712233.6400000001</v>
      </c>
      <c r="L8" s="23">
        <f t="shared" si="7"/>
        <v>10723989.640000001</v>
      </c>
      <c r="M8" s="24">
        <f t="shared" si="8"/>
        <v>10723990</v>
      </c>
    </row>
    <row r="9" spans="2:13">
      <c r="B9" s="1">
        <f t="shared" si="9"/>
        <v>5</v>
      </c>
      <c r="C9" s="3" t="s">
        <v>60</v>
      </c>
      <c r="D9" s="23">
        <f>6334326/1.19</f>
        <v>5322963.0252100844</v>
      </c>
      <c r="E9" s="23">
        <f t="shared" si="0"/>
        <v>1011362.9747899161</v>
      </c>
      <c r="F9" s="23">
        <f t="shared" si="1"/>
        <v>6334326</v>
      </c>
      <c r="G9" s="23">
        <f t="shared" si="2"/>
        <v>5594434.1394957984</v>
      </c>
      <c r="H9" s="23">
        <f t="shared" si="3"/>
        <v>1062942.4865042018</v>
      </c>
      <c r="I9" s="23">
        <f t="shared" si="4"/>
        <v>6657376.6260000002</v>
      </c>
      <c r="J9" s="23">
        <f t="shared" si="5"/>
        <v>5946883</v>
      </c>
      <c r="K9" s="23">
        <f t="shared" si="6"/>
        <v>1129907.77</v>
      </c>
      <c r="L9" s="23">
        <f t="shared" si="7"/>
        <v>7076790.7699999996</v>
      </c>
      <c r="M9" s="24">
        <f t="shared" si="8"/>
        <v>7076791</v>
      </c>
    </row>
    <row r="10" spans="2:13">
      <c r="B10" s="1">
        <f t="shared" si="9"/>
        <v>6</v>
      </c>
      <c r="C10" s="3" t="s">
        <v>22</v>
      </c>
      <c r="D10" s="23">
        <f>8763572/1.19</f>
        <v>7364346.218487395</v>
      </c>
      <c r="E10" s="23">
        <f t="shared" si="0"/>
        <v>1399225.781512605</v>
      </c>
      <c r="F10" s="23">
        <f t="shared" si="1"/>
        <v>8763572</v>
      </c>
      <c r="G10" s="23">
        <f t="shared" si="2"/>
        <v>7739927.8756302521</v>
      </c>
      <c r="H10" s="23">
        <f t="shared" si="3"/>
        <v>1470586.296369748</v>
      </c>
      <c r="I10" s="23">
        <f t="shared" si="4"/>
        <v>9210514.1720000003</v>
      </c>
      <c r="J10" s="23">
        <f t="shared" si="5"/>
        <v>8227543</v>
      </c>
      <c r="K10" s="23">
        <f t="shared" si="6"/>
        <v>1563233.17</v>
      </c>
      <c r="L10" s="23">
        <f t="shared" si="7"/>
        <v>9790776.1699999999</v>
      </c>
      <c r="M10" s="24">
        <f t="shared" si="8"/>
        <v>9790776</v>
      </c>
    </row>
    <row r="11" spans="2:13">
      <c r="B11" s="1">
        <f t="shared" si="9"/>
        <v>7</v>
      </c>
      <c r="C11" s="3" t="s">
        <v>23</v>
      </c>
      <c r="D11" s="23">
        <f>8763572/1.19</f>
        <v>7364346.218487395</v>
      </c>
      <c r="E11" s="23">
        <f t="shared" si="0"/>
        <v>1399225.781512605</v>
      </c>
      <c r="F11" s="23">
        <f t="shared" si="1"/>
        <v>8763572</v>
      </c>
      <c r="G11" s="23">
        <f t="shared" si="2"/>
        <v>7739927.8756302521</v>
      </c>
      <c r="H11" s="23">
        <f t="shared" si="3"/>
        <v>1470586.296369748</v>
      </c>
      <c r="I11" s="23">
        <f t="shared" si="4"/>
        <v>9210514.1720000003</v>
      </c>
      <c r="J11" s="23">
        <f t="shared" si="5"/>
        <v>8227543</v>
      </c>
      <c r="K11" s="23">
        <f t="shared" si="6"/>
        <v>1563233.17</v>
      </c>
      <c r="L11" s="23">
        <f t="shared" si="7"/>
        <v>9790776.1699999999</v>
      </c>
      <c r="M11" s="24">
        <f t="shared" si="8"/>
        <v>9790776</v>
      </c>
    </row>
    <row r="12" spans="2:13">
      <c r="B12" s="1">
        <v>8</v>
      </c>
      <c r="C12" s="3" t="s">
        <v>24</v>
      </c>
      <c r="D12" s="23">
        <f>2899423/1.19</f>
        <v>2436489.9159663864</v>
      </c>
      <c r="E12" s="23">
        <f t="shared" si="0"/>
        <v>462933.08403361344</v>
      </c>
      <c r="F12" s="23">
        <f t="shared" si="1"/>
        <v>2899423</v>
      </c>
      <c r="G12" s="23">
        <f t="shared" si="2"/>
        <v>2560750.9016806721</v>
      </c>
      <c r="H12" s="23">
        <f t="shared" si="3"/>
        <v>486542.67131932772</v>
      </c>
      <c r="I12" s="23">
        <f t="shared" si="4"/>
        <v>3047293.5729999999</v>
      </c>
      <c r="J12" s="23">
        <f t="shared" si="5"/>
        <v>2722078</v>
      </c>
      <c r="K12" s="23">
        <f t="shared" si="6"/>
        <v>517194.82</v>
      </c>
      <c r="L12" s="23">
        <f t="shared" si="7"/>
        <v>3239272.82</v>
      </c>
      <c r="M12" s="24">
        <f t="shared" si="8"/>
        <v>3239273</v>
      </c>
    </row>
    <row r="13" spans="2:13">
      <c r="G13" s="22"/>
      <c r="H13" s="22"/>
      <c r="I13" s="22"/>
    </row>
    <row r="14" spans="2:13">
      <c r="G14" s="25"/>
      <c r="H14" s="25"/>
      <c r="I14" s="25"/>
      <c r="J14" s="16"/>
    </row>
    <row r="15" spans="2:13">
      <c r="G15" s="18"/>
      <c r="H15" s="18"/>
      <c r="I15" s="18"/>
      <c r="J15" s="16"/>
    </row>
    <row r="16" spans="2:13">
      <c r="G16" s="18"/>
      <c r="H16" s="18"/>
      <c r="I16" s="18"/>
      <c r="J16" s="16"/>
    </row>
    <row r="17" spans="7:10">
      <c r="G17" s="18"/>
      <c r="H17" s="18"/>
      <c r="I17" s="18"/>
      <c r="J17" s="16"/>
    </row>
    <row r="18" spans="7:10">
      <c r="G18" s="18"/>
      <c r="H18" s="18"/>
      <c r="I18" s="18"/>
      <c r="J18" s="16"/>
    </row>
    <row r="19" spans="7:10">
      <c r="G19" s="18"/>
      <c r="H19" s="18"/>
      <c r="I19" s="18"/>
      <c r="J19" s="16"/>
    </row>
    <row r="20" spans="7:10">
      <c r="G20" s="18"/>
      <c r="H20" s="18"/>
      <c r="I20" s="18"/>
      <c r="J20" s="16"/>
    </row>
    <row r="21" spans="7:10">
      <c r="G21" s="18"/>
      <c r="H21" s="18"/>
      <c r="I21" s="18"/>
      <c r="J21" s="16"/>
    </row>
    <row r="22" spans="7:10">
      <c r="G22" s="18"/>
      <c r="H22" s="18"/>
      <c r="I22" s="18"/>
      <c r="J22" s="16"/>
    </row>
    <row r="23" spans="7:10">
      <c r="J23" s="16"/>
    </row>
    <row r="26" spans="7:10">
      <c r="J26" s="18"/>
    </row>
    <row r="28" spans="7:10">
      <c r="J28" s="16"/>
    </row>
  </sheetData>
  <mergeCells count="15">
    <mergeCell ref="M2:M4"/>
    <mergeCell ref="B3:B4"/>
    <mergeCell ref="C3:C4"/>
    <mergeCell ref="G3:G4"/>
    <mergeCell ref="J3:J4"/>
    <mergeCell ref="E3:E4"/>
    <mergeCell ref="F3:F4"/>
    <mergeCell ref="H3:H4"/>
    <mergeCell ref="D2:F2"/>
    <mergeCell ref="G2:I2"/>
    <mergeCell ref="I3:I4"/>
    <mergeCell ref="J2:L2"/>
    <mergeCell ref="K3:K4"/>
    <mergeCell ref="L3:L4"/>
    <mergeCell ref="D3:D4"/>
  </mergeCells>
  <conditionalFormatting sqref="C3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23"/>
  <sheetViews>
    <sheetView tabSelected="1" topLeftCell="A11" zoomScale="70" zoomScaleNormal="70" workbookViewId="0">
      <selection activeCell="E17" sqref="E17:H17"/>
    </sheetView>
  </sheetViews>
  <sheetFormatPr defaultColWidth="11.42578125" defaultRowHeight="15"/>
  <cols>
    <col min="1" max="1" width="11.42578125" style="31"/>
    <col min="2" max="2" width="11.140625" style="31" customWidth="1"/>
    <col min="3" max="3" width="12.5703125" style="31" customWidth="1"/>
    <col min="4" max="4" width="36" style="31" customWidth="1"/>
    <col min="5" max="8" width="19.5703125" style="31" customWidth="1"/>
    <col min="9" max="9" width="23.140625" style="31" customWidth="1"/>
    <col min="10" max="10" width="15.5703125" style="31" customWidth="1"/>
    <col min="11" max="11" width="14.28515625" style="31" customWidth="1"/>
    <col min="12" max="12" width="15" style="31" customWidth="1"/>
    <col min="13" max="13" width="16" style="31" customWidth="1"/>
    <col min="14" max="14" width="16.28515625" style="31" customWidth="1"/>
    <col min="15" max="18" width="15.28515625" style="31" customWidth="1"/>
    <col min="19" max="19" width="20.28515625" style="31" customWidth="1"/>
    <col min="20" max="20" width="24.42578125" style="31" customWidth="1"/>
    <col min="21" max="21" width="22.85546875" style="31" customWidth="1"/>
    <col min="22" max="22" width="11.42578125" style="31" customWidth="1"/>
    <col min="23" max="23" width="21.42578125" style="31" customWidth="1"/>
    <col min="24" max="24" width="14.7109375" style="31" customWidth="1"/>
    <col min="25" max="25" width="20.140625" style="31" customWidth="1"/>
    <col min="26" max="26" width="28.28515625" style="31" customWidth="1"/>
    <col min="27" max="27" width="24.85546875" style="31" customWidth="1"/>
    <col min="28" max="28" width="32.85546875" style="31" customWidth="1"/>
    <col min="29" max="29" width="11.42578125" style="31"/>
    <col min="30" max="30" width="15.5703125" style="31" bestFit="1" customWidth="1"/>
    <col min="31" max="16384" width="11.42578125" style="31"/>
  </cols>
  <sheetData>
    <row r="1" spans="2:30" ht="15.75" thickBot="1"/>
    <row r="2" spans="2:30" ht="41.25" customHeight="1" thickBot="1">
      <c r="B2" s="112" t="s">
        <v>0</v>
      </c>
      <c r="C2" s="112"/>
      <c r="D2" s="30">
        <v>12.5</v>
      </c>
      <c r="E2" s="114" t="s">
        <v>53</v>
      </c>
      <c r="F2" s="115"/>
      <c r="G2" s="115"/>
      <c r="H2" s="116"/>
      <c r="I2" s="120" t="s">
        <v>61</v>
      </c>
      <c r="J2" s="100" t="s">
        <v>62</v>
      </c>
      <c r="K2" s="101"/>
      <c r="L2" s="101"/>
      <c r="M2" s="101"/>
      <c r="N2" s="102"/>
      <c r="O2" s="106" t="s">
        <v>63</v>
      </c>
      <c r="P2" s="107"/>
      <c r="Q2" s="107"/>
      <c r="R2" s="108"/>
      <c r="S2" s="100" t="s">
        <v>64</v>
      </c>
      <c r="T2" s="101"/>
      <c r="U2" s="102"/>
      <c r="Y2" s="64" t="s">
        <v>65</v>
      </c>
      <c r="Z2" s="65">
        <v>0.5</v>
      </c>
      <c r="AA2" s="65">
        <v>12</v>
      </c>
      <c r="AB2" s="66">
        <f>AA2+Z2</f>
        <v>12.5</v>
      </c>
    </row>
    <row r="3" spans="2:30" ht="42.75" customHeight="1" thickBot="1">
      <c r="B3" s="71" t="s">
        <v>2</v>
      </c>
      <c r="C3" s="71" t="s">
        <v>66</v>
      </c>
      <c r="D3" s="71" t="s">
        <v>4</v>
      </c>
      <c r="E3" s="117"/>
      <c r="F3" s="118"/>
      <c r="G3" s="118"/>
      <c r="H3" s="119"/>
      <c r="I3" s="121"/>
      <c r="J3" s="103"/>
      <c r="K3" s="104"/>
      <c r="L3" s="104"/>
      <c r="M3" s="104"/>
      <c r="N3" s="105"/>
      <c r="O3" s="109"/>
      <c r="P3" s="110"/>
      <c r="Q3" s="110"/>
      <c r="R3" s="111"/>
      <c r="S3" s="103"/>
      <c r="T3" s="104"/>
      <c r="U3" s="105"/>
      <c r="W3" s="96" t="s">
        <v>67</v>
      </c>
      <c r="X3" s="96"/>
      <c r="Y3" s="97"/>
      <c r="Z3" s="97"/>
      <c r="AA3" s="97"/>
      <c r="AB3" s="97"/>
    </row>
    <row r="4" spans="2:30" ht="63.75" customHeight="1">
      <c r="B4" s="71"/>
      <c r="C4" s="71"/>
      <c r="D4" s="71"/>
      <c r="E4" s="55" t="s">
        <v>68</v>
      </c>
      <c r="F4" s="56" t="s">
        <v>69</v>
      </c>
      <c r="G4" s="57" t="s">
        <v>70</v>
      </c>
      <c r="H4" s="58" t="s">
        <v>71</v>
      </c>
      <c r="I4" s="122"/>
      <c r="J4" s="67" t="s">
        <v>72</v>
      </c>
      <c r="K4" s="67" t="s">
        <v>73</v>
      </c>
      <c r="L4" s="67" t="s">
        <v>74</v>
      </c>
      <c r="M4" s="67" t="s">
        <v>75</v>
      </c>
      <c r="N4" s="67" t="s">
        <v>76</v>
      </c>
      <c r="O4" s="54" t="s">
        <v>68</v>
      </c>
      <c r="P4" s="59" t="s">
        <v>69</v>
      </c>
      <c r="Q4" s="60" t="s">
        <v>70</v>
      </c>
      <c r="R4" s="61" t="s">
        <v>71</v>
      </c>
      <c r="S4" s="68" t="s">
        <v>77</v>
      </c>
      <c r="T4" s="67" t="s">
        <v>61</v>
      </c>
      <c r="U4" s="67" t="s">
        <v>78</v>
      </c>
      <c r="W4" s="50" t="s">
        <v>79</v>
      </c>
      <c r="X4" s="50" t="s">
        <v>54</v>
      </c>
      <c r="Y4" s="69" t="s">
        <v>80</v>
      </c>
      <c r="Z4" s="50" t="s">
        <v>81</v>
      </c>
      <c r="AA4" s="50" t="s">
        <v>82</v>
      </c>
      <c r="AB4" s="50" t="s">
        <v>83</v>
      </c>
    </row>
    <row r="5" spans="2:30" ht="27.75" customHeight="1">
      <c r="B5" s="15">
        <v>1</v>
      </c>
      <c r="C5" s="1">
        <v>1</v>
      </c>
      <c r="D5" s="2" t="s">
        <v>17</v>
      </c>
      <c r="E5" s="32">
        <f>22952716</f>
        <v>22952716</v>
      </c>
      <c r="F5" s="33">
        <v>13453810.439999999</v>
      </c>
      <c r="G5" s="33">
        <v>56000000</v>
      </c>
      <c r="H5" s="33">
        <v>43050000</v>
      </c>
      <c r="I5" s="32">
        <f>'Precios_Históricos_2025-2026'!J5</f>
        <v>11337721</v>
      </c>
      <c r="J5" s="45">
        <f>QUARTILE(($E5,$F5,$G5,$H5),1)</f>
        <v>20577989.609999999</v>
      </c>
      <c r="K5" s="45">
        <f>QUARTILE(($E5,$F5,$G5,$H5),3)</f>
        <v>46287500</v>
      </c>
      <c r="L5" s="45">
        <f>K5-J5</f>
        <v>25709510.390000001</v>
      </c>
      <c r="M5" s="45">
        <f>J5-1.5*L5</f>
        <v>-17986275.975000001</v>
      </c>
      <c r="N5" s="45">
        <f t="shared" ref="N5" si="0">K5+1.5*L5</f>
        <v>84851765.585000008</v>
      </c>
      <c r="O5" s="45">
        <f t="shared" ref="O5:O13" si="1">IF(AND(E5&gt;=$M5,E5&lt;=$N5),E5,"REVISAR / EXCLUIR")</f>
        <v>22952716</v>
      </c>
      <c r="P5" s="45">
        <f t="shared" ref="P5:P13" si="2">IF(AND(F5&gt;=$M5,F5&lt;=$N5),F5,"REVISAR / EXCLUIR")</f>
        <v>13453810.439999999</v>
      </c>
      <c r="Q5" s="45">
        <f t="shared" ref="Q5:Q13" si="3">IF(AND(G5&gt;=$M5,G5&lt;=$N5),G5,"REVISAR / EXCLUIR")</f>
        <v>56000000</v>
      </c>
      <c r="R5" s="45">
        <f t="shared" ref="R5:R13" si="4">IF(AND(H5&gt;=$M5,H5&lt;=$N5),H5,"REVISAR / EXCLUIR")</f>
        <v>43050000</v>
      </c>
      <c r="S5" s="46">
        <f>ROUND(HARMEAN(O5:R5),0)</f>
        <v>25160056</v>
      </c>
      <c r="T5" s="45">
        <f t="shared" ref="T5:T13" si="5">I5</f>
        <v>11337721</v>
      </c>
      <c r="U5" s="33">
        <f>ROUND(HARMEAN(S5,T5),0)</f>
        <v>15631511</v>
      </c>
      <c r="W5" s="45">
        <f>U5</f>
        <v>15631511</v>
      </c>
      <c r="X5" s="45">
        <f>ROUND(W5*19%,0)</f>
        <v>2969987</v>
      </c>
      <c r="Y5" s="70">
        <f>+W5+X5</f>
        <v>18601498</v>
      </c>
      <c r="Z5" s="45">
        <f t="shared" ref="Z5:Z12" si="6">$Y5*$C5*$Z$2</f>
        <v>9300749</v>
      </c>
      <c r="AA5" s="45">
        <f t="shared" ref="AA5:AA12" si="7">$Y5*$C5*$AA$2</f>
        <v>223217976</v>
      </c>
      <c r="AB5" s="47">
        <f>Z5+AA5</f>
        <v>232518725</v>
      </c>
      <c r="AD5" s="44"/>
    </row>
    <row r="6" spans="2:30" ht="27.75" customHeight="1">
      <c r="B6" s="15">
        <v>2</v>
      </c>
      <c r="C6" s="1">
        <v>3</v>
      </c>
      <c r="D6" s="2" t="s">
        <v>18</v>
      </c>
      <c r="E6" s="33">
        <v>16831992</v>
      </c>
      <c r="F6" s="33">
        <v>10693725.199999999</v>
      </c>
      <c r="G6" s="33">
        <v>49000000</v>
      </c>
      <c r="H6" s="33">
        <v>32287500</v>
      </c>
      <c r="I6" s="32">
        <f>'Precios_Históricos_2025-2026'!J6</f>
        <v>9011756</v>
      </c>
      <c r="J6" s="45">
        <f>QUARTILE(($E6,$F6,$G6,$H6),1)</f>
        <v>15297425.300000001</v>
      </c>
      <c r="K6" s="45">
        <f>QUARTILE(($E6,$F6,$G6,$H6),3)</f>
        <v>36465625</v>
      </c>
      <c r="L6" s="45">
        <f t="shared" ref="L6:L13" si="8">K6-J6</f>
        <v>21168199.699999999</v>
      </c>
      <c r="M6" s="45">
        <f t="shared" ref="M6:M13" si="9">J6-1.5*L6</f>
        <v>-16454874.249999996</v>
      </c>
      <c r="N6" s="45">
        <f t="shared" ref="N6:N13" si="10">K6+1.5*L6</f>
        <v>68217924.549999997</v>
      </c>
      <c r="O6" s="45">
        <f t="shared" si="1"/>
        <v>16831992</v>
      </c>
      <c r="P6" s="45">
        <f t="shared" si="2"/>
        <v>10693725.199999999</v>
      </c>
      <c r="Q6" s="45">
        <f t="shared" si="3"/>
        <v>49000000</v>
      </c>
      <c r="R6" s="45">
        <f t="shared" si="4"/>
        <v>32287500</v>
      </c>
      <c r="S6" s="46">
        <f t="shared" ref="S6:S13" si="11">ROUND(HARMEAN(O6:R6),0)</f>
        <v>19578729</v>
      </c>
      <c r="T6" s="45">
        <f t="shared" si="5"/>
        <v>9011756</v>
      </c>
      <c r="U6" s="33">
        <f t="shared" ref="U6:U13" si="12">ROUND(HARMEAN(S6,T6),0)</f>
        <v>12342479</v>
      </c>
      <c r="W6" s="45">
        <f t="shared" ref="W6:W13" si="13">U6</f>
        <v>12342479</v>
      </c>
      <c r="X6" s="45">
        <f t="shared" ref="X6:X13" si="14">ROUND(W6*19%,0)</f>
        <v>2345071</v>
      </c>
      <c r="Y6" s="70">
        <f t="shared" ref="Y6:Y13" si="15">+W6+X6</f>
        <v>14687550</v>
      </c>
      <c r="Z6" s="45">
        <f t="shared" si="6"/>
        <v>22031325</v>
      </c>
      <c r="AA6" s="45">
        <f t="shared" si="7"/>
        <v>528751800</v>
      </c>
      <c r="AB6" s="47">
        <f t="shared" ref="AB6:AB13" si="16">Z6+AA6</f>
        <v>550783125</v>
      </c>
      <c r="AD6" s="44"/>
    </row>
    <row r="7" spans="2:30" ht="27.75" customHeight="1">
      <c r="B7" s="15">
        <f>B6+1</f>
        <v>3</v>
      </c>
      <c r="C7" s="1">
        <v>3</v>
      </c>
      <c r="D7" s="3" t="s">
        <v>19</v>
      </c>
      <c r="E7" s="33">
        <v>10711268</v>
      </c>
      <c r="F7" s="33">
        <v>10693725.199999999</v>
      </c>
      <c r="G7" s="33">
        <v>42000000</v>
      </c>
      <c r="H7" s="33">
        <v>27982500</v>
      </c>
      <c r="I7" s="32">
        <f>'Precios_Históricos_2025-2026'!J7</f>
        <v>9011756</v>
      </c>
      <c r="J7" s="45">
        <f>QUARTILE(($E7,$F7,$G7,$H7),1)</f>
        <v>10706882.300000001</v>
      </c>
      <c r="K7" s="45">
        <f>QUARTILE(($E7,$F7,$G7,$H7),3)</f>
        <v>31486875</v>
      </c>
      <c r="L7" s="45">
        <f t="shared" si="8"/>
        <v>20779992.699999999</v>
      </c>
      <c r="M7" s="45">
        <f t="shared" si="9"/>
        <v>-20463106.749999996</v>
      </c>
      <c r="N7" s="45">
        <f t="shared" si="10"/>
        <v>62656864.049999997</v>
      </c>
      <c r="O7" s="45">
        <f t="shared" si="1"/>
        <v>10711268</v>
      </c>
      <c r="P7" s="45">
        <f t="shared" si="2"/>
        <v>10693725.199999999</v>
      </c>
      <c r="Q7" s="45">
        <f t="shared" si="3"/>
        <v>42000000</v>
      </c>
      <c r="R7" s="45">
        <f t="shared" si="4"/>
        <v>27982500</v>
      </c>
      <c r="S7" s="46">
        <f t="shared" si="11"/>
        <v>16232544</v>
      </c>
      <c r="T7" s="45">
        <f t="shared" si="5"/>
        <v>9011756</v>
      </c>
      <c r="U7" s="33">
        <f t="shared" si="12"/>
        <v>11589446</v>
      </c>
      <c r="W7" s="45">
        <f t="shared" si="13"/>
        <v>11589446</v>
      </c>
      <c r="X7" s="45">
        <f t="shared" si="14"/>
        <v>2201995</v>
      </c>
      <c r="Y7" s="70">
        <f t="shared" si="15"/>
        <v>13791441</v>
      </c>
      <c r="Z7" s="45">
        <f t="shared" si="6"/>
        <v>20687161.5</v>
      </c>
      <c r="AA7" s="45">
        <f t="shared" si="7"/>
        <v>496491876</v>
      </c>
      <c r="AB7" s="47">
        <f t="shared" si="16"/>
        <v>517179037.5</v>
      </c>
      <c r="AD7" s="44"/>
    </row>
    <row r="8" spans="2:30" ht="27.75" customHeight="1">
      <c r="B8" s="15">
        <f t="shared" ref="B8:B11" si="17">B7+1</f>
        <v>4</v>
      </c>
      <c r="C8" s="1">
        <v>2</v>
      </c>
      <c r="D8" s="3" t="s">
        <v>20</v>
      </c>
      <c r="E8" s="33">
        <v>13771630</v>
      </c>
      <c r="F8" s="33">
        <v>10693725.199999999</v>
      </c>
      <c r="G8" s="33">
        <v>45500000</v>
      </c>
      <c r="H8" s="33">
        <v>27982500</v>
      </c>
      <c r="I8" s="32">
        <f>'Precios_Históricos_2025-2026'!J8</f>
        <v>9011756</v>
      </c>
      <c r="J8" s="45">
        <f>QUARTILE(($E8,$F8,$G8,$H8),1)</f>
        <v>13002153.800000001</v>
      </c>
      <c r="K8" s="45">
        <f>QUARTILE(($E8,$F8,$G8,$H8),3)</f>
        <v>32361875</v>
      </c>
      <c r="L8" s="45">
        <f t="shared" si="8"/>
        <v>19359721.199999999</v>
      </c>
      <c r="M8" s="45">
        <f t="shared" si="9"/>
        <v>-16037427.999999996</v>
      </c>
      <c r="N8" s="45">
        <f t="shared" si="10"/>
        <v>61401456.799999997</v>
      </c>
      <c r="O8" s="45">
        <f t="shared" si="1"/>
        <v>13771630</v>
      </c>
      <c r="P8" s="45">
        <f t="shared" si="2"/>
        <v>10693725.199999999</v>
      </c>
      <c r="Q8" s="45">
        <f t="shared" si="3"/>
        <v>45500000</v>
      </c>
      <c r="R8" s="45">
        <f t="shared" si="4"/>
        <v>27982500</v>
      </c>
      <c r="S8" s="46">
        <f t="shared" si="11"/>
        <v>17869869</v>
      </c>
      <c r="T8" s="45">
        <f t="shared" si="5"/>
        <v>9011756</v>
      </c>
      <c r="U8" s="33">
        <f t="shared" si="12"/>
        <v>11981337</v>
      </c>
      <c r="W8" s="45">
        <f t="shared" si="13"/>
        <v>11981337</v>
      </c>
      <c r="X8" s="45">
        <f t="shared" si="14"/>
        <v>2276454</v>
      </c>
      <c r="Y8" s="70">
        <f t="shared" si="15"/>
        <v>14257791</v>
      </c>
      <c r="Z8" s="45">
        <f t="shared" si="6"/>
        <v>14257791</v>
      </c>
      <c r="AA8" s="45">
        <f t="shared" si="7"/>
        <v>342186984</v>
      </c>
      <c r="AB8" s="47">
        <f t="shared" si="16"/>
        <v>356444775</v>
      </c>
      <c r="AD8" s="44"/>
    </row>
    <row r="9" spans="2:30" ht="27.75" customHeight="1">
      <c r="B9" s="15">
        <f t="shared" si="17"/>
        <v>5</v>
      </c>
      <c r="C9" s="1">
        <v>2</v>
      </c>
      <c r="D9" s="3" t="s">
        <v>60</v>
      </c>
      <c r="E9" s="33">
        <v>7650905</v>
      </c>
      <c r="F9" s="33">
        <v>7056819.6200000001</v>
      </c>
      <c r="G9" s="33">
        <v>28000000</v>
      </c>
      <c r="H9" s="33">
        <v>27982500</v>
      </c>
      <c r="I9" s="32">
        <f>'Precios_Históricos_2025-2026'!J9</f>
        <v>5946883</v>
      </c>
      <c r="J9" s="45">
        <f>QUARTILE(($E9,$F9,$G9,$H9),1)</f>
        <v>7502383.6550000003</v>
      </c>
      <c r="K9" s="45">
        <f>QUARTILE(($E9,$F9,$G9,$H9),3)</f>
        <v>27986875</v>
      </c>
      <c r="L9" s="45">
        <f t="shared" si="8"/>
        <v>20484491.344999999</v>
      </c>
      <c r="M9" s="45">
        <f t="shared" si="9"/>
        <v>-23224353.362499997</v>
      </c>
      <c r="N9" s="45">
        <f t="shared" si="10"/>
        <v>58713612.017499998</v>
      </c>
      <c r="O9" s="45">
        <f t="shared" si="1"/>
        <v>7650905</v>
      </c>
      <c r="P9" s="45">
        <f t="shared" si="2"/>
        <v>7056819.6200000001</v>
      </c>
      <c r="Q9" s="45">
        <f t="shared" si="3"/>
        <v>28000000</v>
      </c>
      <c r="R9" s="45">
        <f t="shared" si="4"/>
        <v>27982500</v>
      </c>
      <c r="S9" s="46">
        <f t="shared" si="11"/>
        <v>11632597</v>
      </c>
      <c r="T9" s="45">
        <f t="shared" si="5"/>
        <v>5946883</v>
      </c>
      <c r="U9" s="33">
        <f t="shared" si="12"/>
        <v>7870278</v>
      </c>
      <c r="W9" s="45">
        <f t="shared" si="13"/>
        <v>7870278</v>
      </c>
      <c r="X9" s="45">
        <f t="shared" si="14"/>
        <v>1495353</v>
      </c>
      <c r="Y9" s="70">
        <f t="shared" si="15"/>
        <v>9365631</v>
      </c>
      <c r="Z9" s="45">
        <f t="shared" si="6"/>
        <v>9365631</v>
      </c>
      <c r="AA9" s="45">
        <f t="shared" si="7"/>
        <v>224775144</v>
      </c>
      <c r="AB9" s="47">
        <f t="shared" si="16"/>
        <v>234140775</v>
      </c>
      <c r="AD9" s="44"/>
    </row>
    <row r="10" spans="2:30" ht="27.75" customHeight="1">
      <c r="B10" s="15">
        <f t="shared" si="17"/>
        <v>6</v>
      </c>
      <c r="C10" s="1">
        <v>1</v>
      </c>
      <c r="D10" s="3" t="s">
        <v>22</v>
      </c>
      <c r="E10" s="33">
        <v>4590543</v>
      </c>
      <c r="F10" s="33">
        <v>6498683.3300000001</v>
      </c>
      <c r="G10" s="33">
        <v>28000000</v>
      </c>
      <c r="H10" s="33">
        <v>17220000</v>
      </c>
      <c r="I10" s="32">
        <f>'Precios_Históricos_2025-2026'!J10</f>
        <v>8227543</v>
      </c>
      <c r="J10" s="45">
        <f>QUARTILE(($E10,$F10,$G10,$H10),1)</f>
        <v>6021648.2475000005</v>
      </c>
      <c r="K10" s="45">
        <f>QUARTILE(($E10,$F10,$G10,$H10),3)</f>
        <v>19915000</v>
      </c>
      <c r="L10" s="45">
        <f t="shared" si="8"/>
        <v>13893351.752499999</v>
      </c>
      <c r="M10" s="45">
        <f t="shared" si="9"/>
        <v>-14818379.38125</v>
      </c>
      <c r="N10" s="45">
        <f t="shared" si="10"/>
        <v>40755027.628749996</v>
      </c>
      <c r="O10" s="45">
        <f t="shared" si="1"/>
        <v>4590543</v>
      </c>
      <c r="P10" s="45">
        <f t="shared" si="2"/>
        <v>6498683.3300000001</v>
      </c>
      <c r="Q10" s="45">
        <f t="shared" si="3"/>
        <v>28000000</v>
      </c>
      <c r="R10" s="45">
        <f t="shared" si="4"/>
        <v>17220000</v>
      </c>
      <c r="S10" s="46">
        <f t="shared" si="11"/>
        <v>8592860</v>
      </c>
      <c r="T10" s="45">
        <f t="shared" si="5"/>
        <v>8227543</v>
      </c>
      <c r="U10" s="33">
        <f t="shared" si="12"/>
        <v>8406234</v>
      </c>
      <c r="W10" s="45">
        <f t="shared" si="13"/>
        <v>8406234</v>
      </c>
      <c r="X10" s="45">
        <f t="shared" si="14"/>
        <v>1597184</v>
      </c>
      <c r="Y10" s="70">
        <f t="shared" si="15"/>
        <v>10003418</v>
      </c>
      <c r="Z10" s="45">
        <f t="shared" si="6"/>
        <v>5001709</v>
      </c>
      <c r="AA10" s="45">
        <f t="shared" si="7"/>
        <v>120041016</v>
      </c>
      <c r="AB10" s="47">
        <f t="shared" si="16"/>
        <v>125042725</v>
      </c>
      <c r="AD10" s="44"/>
    </row>
    <row r="11" spans="2:30" ht="27.75" customHeight="1">
      <c r="B11" s="15">
        <f t="shared" si="17"/>
        <v>7</v>
      </c>
      <c r="C11" s="1">
        <v>1</v>
      </c>
      <c r="D11" s="3" t="s">
        <v>23</v>
      </c>
      <c r="E11" s="33">
        <v>5355634</v>
      </c>
      <c r="F11" s="33">
        <v>4881573.83</v>
      </c>
      <c r="G11" s="33">
        <v>28000000</v>
      </c>
      <c r="H11" s="33">
        <v>25830000</v>
      </c>
      <c r="I11" s="32">
        <f>'Precios_Históricos_2025-2026'!J11</f>
        <v>8227543</v>
      </c>
      <c r="J11" s="45">
        <f>QUARTILE(($E11,$F11,$G11,$H11),1)</f>
        <v>5237118.9574999996</v>
      </c>
      <c r="K11" s="45">
        <f>QUARTILE(($E11,$F11,$G11,$H11),3)</f>
        <v>26372500</v>
      </c>
      <c r="L11" s="45">
        <f t="shared" si="8"/>
        <v>21135381.0425</v>
      </c>
      <c r="M11" s="45">
        <f t="shared" si="9"/>
        <v>-26465952.606249999</v>
      </c>
      <c r="N11" s="45">
        <f t="shared" si="10"/>
        <v>58075571.563749999</v>
      </c>
      <c r="O11" s="45">
        <f t="shared" si="1"/>
        <v>5355634</v>
      </c>
      <c r="P11" s="45">
        <f t="shared" si="2"/>
        <v>4881573.83</v>
      </c>
      <c r="Q11" s="45">
        <f t="shared" si="3"/>
        <v>28000000</v>
      </c>
      <c r="R11" s="45">
        <f t="shared" si="4"/>
        <v>25830000</v>
      </c>
      <c r="S11" s="46">
        <f t="shared" si="11"/>
        <v>8583688</v>
      </c>
      <c r="T11" s="45">
        <f t="shared" si="5"/>
        <v>8227543</v>
      </c>
      <c r="U11" s="33">
        <f t="shared" si="12"/>
        <v>8401843</v>
      </c>
      <c r="W11" s="45">
        <f t="shared" si="13"/>
        <v>8401843</v>
      </c>
      <c r="X11" s="45">
        <f t="shared" si="14"/>
        <v>1596350</v>
      </c>
      <c r="Y11" s="70">
        <f t="shared" si="15"/>
        <v>9998193</v>
      </c>
      <c r="Z11" s="45">
        <f t="shared" si="6"/>
        <v>4999096.5</v>
      </c>
      <c r="AA11" s="45">
        <f t="shared" si="7"/>
        <v>119978316</v>
      </c>
      <c r="AB11" s="47">
        <f t="shared" si="16"/>
        <v>124977412.5</v>
      </c>
      <c r="AD11" s="44"/>
    </row>
    <row r="12" spans="2:30" ht="27.75" customHeight="1">
      <c r="B12" s="15">
        <v>8</v>
      </c>
      <c r="C12" s="1">
        <v>6</v>
      </c>
      <c r="D12" s="3" t="s">
        <v>24</v>
      </c>
      <c r="E12" s="34">
        <v>3060362</v>
      </c>
      <c r="F12" s="34">
        <v>3230131.64</v>
      </c>
      <c r="G12" s="34">
        <v>21000000</v>
      </c>
      <c r="H12" s="34">
        <v>17220000</v>
      </c>
      <c r="I12" s="32">
        <f>'Precios_Históricos_2025-2026'!J12</f>
        <v>2722078</v>
      </c>
      <c r="J12" s="45">
        <f>QUARTILE(($E12,$F12,$G12,$H12),1)</f>
        <v>3187689.23</v>
      </c>
      <c r="K12" s="45">
        <f>QUARTILE(($E12,$F12,$G12,$H12),3)</f>
        <v>18165000</v>
      </c>
      <c r="L12" s="45">
        <f t="shared" si="8"/>
        <v>14977310.77</v>
      </c>
      <c r="M12" s="45">
        <f t="shared" si="9"/>
        <v>-19278276.925000001</v>
      </c>
      <c r="N12" s="45">
        <f t="shared" si="10"/>
        <v>40630966.155000001</v>
      </c>
      <c r="O12" s="45">
        <f t="shared" si="1"/>
        <v>3060362</v>
      </c>
      <c r="P12" s="45">
        <f t="shared" si="2"/>
        <v>3230131.64</v>
      </c>
      <c r="Q12" s="45">
        <f t="shared" si="3"/>
        <v>21000000</v>
      </c>
      <c r="R12" s="45">
        <f t="shared" si="4"/>
        <v>17220000</v>
      </c>
      <c r="S12" s="46">
        <f t="shared" si="11"/>
        <v>5390584</v>
      </c>
      <c r="T12" s="45">
        <f t="shared" si="5"/>
        <v>2722078</v>
      </c>
      <c r="U12" s="33">
        <f t="shared" si="12"/>
        <v>3617454</v>
      </c>
      <c r="W12" s="45">
        <f t="shared" si="13"/>
        <v>3617454</v>
      </c>
      <c r="X12" s="45">
        <f t="shared" si="14"/>
        <v>687316</v>
      </c>
      <c r="Y12" s="70">
        <f t="shared" si="15"/>
        <v>4304770</v>
      </c>
      <c r="Z12" s="45">
        <f t="shared" si="6"/>
        <v>12914310</v>
      </c>
      <c r="AA12" s="45">
        <f t="shared" si="7"/>
        <v>309943440</v>
      </c>
      <c r="AB12" s="47">
        <f t="shared" si="16"/>
        <v>322857750</v>
      </c>
      <c r="AD12" s="44"/>
    </row>
    <row r="13" spans="2:30" ht="27.75" customHeight="1">
      <c r="B13" s="15">
        <v>9</v>
      </c>
      <c r="C13" s="99" t="s">
        <v>25</v>
      </c>
      <c r="D13" s="99"/>
      <c r="E13" s="33">
        <v>18815187</v>
      </c>
      <c r="F13" s="32">
        <f>(2636713703/1.19/14)</f>
        <v>158266128.63145259</v>
      </c>
      <c r="G13" s="33">
        <v>80000000</v>
      </c>
      <c r="H13" s="33">
        <v>76845000</v>
      </c>
      <c r="I13" s="32" t="s">
        <v>84</v>
      </c>
      <c r="J13" s="45">
        <f>QUARTILE(($E13,$F13,$G13,$H13),1)</f>
        <v>62337546.75</v>
      </c>
      <c r="K13" s="45">
        <f>QUARTILE(($E13,$F13,$G13,$H13),3)</f>
        <v>99566532.15786314</v>
      </c>
      <c r="L13" s="45">
        <f t="shared" si="8"/>
        <v>37228985.40786314</v>
      </c>
      <c r="M13" s="45">
        <f t="shared" si="9"/>
        <v>6494068.6382052898</v>
      </c>
      <c r="N13" s="45">
        <f t="shared" si="10"/>
        <v>155410010.26965785</v>
      </c>
      <c r="O13" s="45">
        <f t="shared" si="1"/>
        <v>18815187</v>
      </c>
      <c r="P13" s="45" t="str">
        <f t="shared" si="2"/>
        <v>REVISAR / EXCLUIR</v>
      </c>
      <c r="Q13" s="45">
        <f t="shared" si="3"/>
        <v>80000000</v>
      </c>
      <c r="R13" s="45">
        <f t="shared" si="4"/>
        <v>76845000</v>
      </c>
      <c r="S13" s="46">
        <f t="shared" si="11"/>
        <v>38137970</v>
      </c>
      <c r="T13" s="45" t="str">
        <f t="shared" si="5"/>
        <v>NO APLICA</v>
      </c>
      <c r="U13" s="33">
        <f t="shared" si="12"/>
        <v>38137970</v>
      </c>
      <c r="W13" s="45">
        <f t="shared" si="13"/>
        <v>38137970</v>
      </c>
      <c r="X13" s="45">
        <f t="shared" si="14"/>
        <v>7246214</v>
      </c>
      <c r="Y13" s="70">
        <f t="shared" si="15"/>
        <v>45384184</v>
      </c>
      <c r="Z13" s="45">
        <f>$Y13*$Z$2</f>
        <v>22692092</v>
      </c>
      <c r="AA13" s="45">
        <f>$Y13*$AA$2</f>
        <v>544610208</v>
      </c>
      <c r="AB13" s="47">
        <f t="shared" si="16"/>
        <v>567302300</v>
      </c>
      <c r="AD13" s="44"/>
    </row>
    <row r="14" spans="2:30">
      <c r="B14" s="35"/>
      <c r="E14" s="36"/>
      <c r="F14" s="36"/>
      <c r="G14" s="36"/>
      <c r="H14" s="36"/>
      <c r="I14" s="36"/>
    </row>
    <row r="15" spans="2:30">
      <c r="B15" s="35"/>
      <c r="C15" s="113" t="s">
        <v>85</v>
      </c>
      <c r="D15" s="113"/>
      <c r="E15" s="37">
        <f>SUM(E5:E13)</f>
        <v>103740237</v>
      </c>
      <c r="F15" s="38">
        <f t="shared" ref="F15:H15" si="18">SUM(F5:F13)</f>
        <v>225468323.0914526</v>
      </c>
      <c r="G15" s="39">
        <f t="shared" si="18"/>
        <v>377500000</v>
      </c>
      <c r="H15" s="40">
        <f t="shared" si="18"/>
        <v>296400000</v>
      </c>
      <c r="I15" s="36"/>
      <c r="S15" s="41">
        <f t="shared" ref="S15:U15" si="19">SUM(S5:S13)</f>
        <v>151178897</v>
      </c>
      <c r="U15" s="41">
        <f t="shared" si="19"/>
        <v>117978552</v>
      </c>
      <c r="W15" s="93" t="s">
        <v>86</v>
      </c>
      <c r="X15" s="94"/>
      <c r="Y15" s="95"/>
      <c r="Z15" s="51">
        <f>SUM(Z5:Z13)</f>
        <v>121249865</v>
      </c>
      <c r="AA15" s="51">
        <f>SUM(AA5:AA13)</f>
        <v>2909996760</v>
      </c>
      <c r="AB15" s="53">
        <f>SUM(AB5:AB13)</f>
        <v>3031246625</v>
      </c>
    </row>
    <row r="16" spans="2:30">
      <c r="B16" s="35"/>
      <c r="H16" s="42"/>
      <c r="I16" s="36"/>
    </row>
    <row r="17" spans="2:27" ht="36.75" customHeight="1">
      <c r="B17" s="98" t="s">
        <v>87</v>
      </c>
      <c r="C17" s="98"/>
      <c r="D17" s="98"/>
      <c r="E17" s="26">
        <f>+E13/E15</f>
        <v>0.1813682669724381</v>
      </c>
      <c r="F17" s="27">
        <f>+F13/F15</f>
        <v>0.70194396472828691</v>
      </c>
      <c r="G17" s="28">
        <f>+G13/G15</f>
        <v>0.2119205298013245</v>
      </c>
      <c r="H17" s="28">
        <f>+H13/H15</f>
        <v>0.25926113360323888</v>
      </c>
      <c r="I17" s="36"/>
      <c r="Y17" s="9" t="s">
        <v>88</v>
      </c>
      <c r="Z17" s="33">
        <f>Z15</f>
        <v>121249865</v>
      </c>
      <c r="AA17" s="52">
        <f>Z17/Z18</f>
        <v>4.1666666666666664E-2</v>
      </c>
    </row>
    <row r="18" spans="2:27" ht="22.5" customHeight="1">
      <c r="B18" s="35"/>
      <c r="I18" s="36"/>
      <c r="Y18" s="9" t="s">
        <v>89</v>
      </c>
      <c r="Z18" s="33">
        <f>AA15</f>
        <v>2909996760</v>
      </c>
    </row>
    <row r="19" spans="2:27" ht="27" customHeight="1">
      <c r="Z19" s="48">
        <f>SUM(Z17:Z18)</f>
        <v>3031246625</v>
      </c>
    </row>
    <row r="21" spans="2:27">
      <c r="Z21" s="63"/>
      <c r="AA21" s="36"/>
    </row>
    <row r="22" spans="2:27" ht="24" customHeight="1">
      <c r="B22" s="49" t="s">
        <v>90</v>
      </c>
      <c r="C22" s="49"/>
      <c r="D22" s="49"/>
      <c r="E22" s="49"/>
      <c r="F22" s="49"/>
      <c r="G22" s="49"/>
      <c r="H22" s="49"/>
      <c r="I22" s="49"/>
      <c r="Z22" s="63"/>
    </row>
    <row r="23" spans="2:27" ht="24" customHeight="1">
      <c r="B23" s="43"/>
      <c r="C23" s="43"/>
      <c r="D23" s="43"/>
      <c r="E23" s="43"/>
      <c r="F23" s="43"/>
      <c r="G23" s="43"/>
      <c r="H23" s="43"/>
      <c r="I23" s="43"/>
    </row>
  </sheetData>
  <mergeCells count="14">
    <mergeCell ref="W15:Y15"/>
    <mergeCell ref="W3:AB3"/>
    <mergeCell ref="B17:D17"/>
    <mergeCell ref="C13:D13"/>
    <mergeCell ref="J2:N3"/>
    <mergeCell ref="O2:R3"/>
    <mergeCell ref="S2:U3"/>
    <mergeCell ref="B2:C2"/>
    <mergeCell ref="B3:B4"/>
    <mergeCell ref="C3:C4"/>
    <mergeCell ref="D3:D4"/>
    <mergeCell ref="C15:D15"/>
    <mergeCell ref="E2:H3"/>
    <mergeCell ref="I2:I4"/>
  </mergeCells>
  <phoneticPr fontId="13" type="noConversion"/>
  <conditionalFormatting sqref="C3">
    <cfRule type="duplicateValues" dxfId="3" priority="10"/>
  </conditionalFormatting>
  <conditionalFormatting sqref="D3">
    <cfRule type="duplicateValues" dxfId="2" priority="9"/>
  </conditionalFormatting>
  <conditionalFormatting sqref="J5:R13">
    <cfRule type="containsText" dxfId="1" priority="1" stopIfTrue="1" operator="containsText" text="EXCLUIR">
      <formula>NOT(ISERROR(SEARCH("EXCLUIR",J5)))</formula>
    </cfRule>
  </conditionalFormatting>
  <conditionalFormatting sqref="T5:U13">
    <cfRule type="containsText" dxfId="0" priority="2" stopIfTrue="1" operator="containsText" text="EXCLUIR">
      <formula>NOT(ISERROR(SEARCH("EXCLUIR",T5)))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4426077361A3C4F8337887E6B8DA0DF" ma:contentTypeVersion="15" ma:contentTypeDescription="Crear nuevo documento." ma:contentTypeScope="" ma:versionID="d8b9b11b3927478b92af50ae4aa092ee">
  <xsd:schema xmlns:xsd="http://www.w3.org/2001/XMLSchema" xmlns:xs="http://www.w3.org/2001/XMLSchema" xmlns:p="http://schemas.microsoft.com/office/2006/metadata/properties" xmlns:ns2="50016dce-9552-4d5c-9110-792cdc3dcb79" xmlns:ns3="8b63aa53-9726-48e2-9049-ea754b8cfa7d" targetNamespace="http://schemas.microsoft.com/office/2006/metadata/properties" ma:root="true" ma:fieldsID="3e9631d1fe563817304821e8e615064b" ns2:_="" ns3:_="">
    <xsd:import namespace="50016dce-9552-4d5c-9110-792cdc3dcb79"/>
    <xsd:import namespace="8b63aa53-9726-48e2-9049-ea754b8cfa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16dce-9552-4d5c-9110-792cdc3dcb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ab9ab8b6-9d30-47d7-bbb6-b53186be7e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3aa53-9726-48e2-9049-ea754b8cfa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cc829345-69d7-455a-8f52-71590a8d5126}" ma:internalName="TaxCatchAll" ma:showField="CatchAllData" ma:web="8b63aa53-9726-48e2-9049-ea754b8cfa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16dce-9552-4d5c-9110-792cdc3dcb79">
      <Terms xmlns="http://schemas.microsoft.com/office/infopath/2007/PartnerControls"/>
    </lcf76f155ced4ddcb4097134ff3c332f>
    <TaxCatchAll xmlns="8b63aa53-9726-48e2-9049-ea754b8cfa7d" xsi:nil="true"/>
  </documentManagement>
</p:properties>
</file>

<file path=customXml/itemProps1.xml><?xml version="1.0" encoding="utf-8"?>
<ds:datastoreItem xmlns:ds="http://schemas.openxmlformats.org/officeDocument/2006/customXml" ds:itemID="{BE35865B-6DE7-4969-A6DE-73717AB2D743}"/>
</file>

<file path=customXml/itemProps2.xml><?xml version="1.0" encoding="utf-8"?>
<ds:datastoreItem xmlns:ds="http://schemas.openxmlformats.org/officeDocument/2006/customXml" ds:itemID="{A97A1A02-10A1-497B-B598-79BC5BB1CF93}"/>
</file>

<file path=customXml/itemProps3.xml><?xml version="1.0" encoding="utf-8"?>
<ds:datastoreItem xmlns:ds="http://schemas.openxmlformats.org/officeDocument/2006/customXml" ds:itemID="{C1CDD991-6230-4B34-94EF-06FDF5AEF3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 QUITIAN</dc:creator>
  <cp:keywords/>
  <dc:description/>
  <cp:lastModifiedBy>CAROL ADRIANA QUITIAN NINO</cp:lastModifiedBy>
  <cp:revision/>
  <dcterms:created xsi:type="dcterms:W3CDTF">2026-10-13T16:00:00Z</dcterms:created>
  <dcterms:modified xsi:type="dcterms:W3CDTF">2026-10-13T22:17:46Z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0x010100A4426077361A3C4F8337887E6B8DA0DF</vt:lpwstr>
  </property>
  <property fmtid="{D5CDD505-2E9C-101B-9397-08002B2CF9AE}" pid="3" name="MediaServiceImageTags">
    <vt:lpwstr/>
  </property>
</Properties>
</file>