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1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4B5DD99E-5023-4299-8E58-2670C74D654E}" xr6:coauthVersionLast="47" xr6:coauthVersionMax="47" xr10:uidLastSave="{00000000-0000-0000-0000-000000000000}"/>
  <bookViews>
    <workbookView xWindow="-120" yWindow="-120" windowWidth="29040" windowHeight="15720" activeTab="1" xr2:uid="{46EB482B-09D8-46D7-8E48-55E7C1F829FA}"/>
  </bookViews>
  <sheets>
    <sheet name="PPTO FINAL" sheetId="3" r:id="rId1"/>
    <sheet name="ESTUDIO DE MERCADO" sheetId="1" r:id="rId2"/>
    <sheet name="Hoja1" sheetId="4" state="hidden" r:id="rId3"/>
  </sheets>
  <externalReferences>
    <externalReference r:id="rId4"/>
  </externalReferences>
  <definedNames>
    <definedName name="_xlnm.Print_Area" localSheetId="1">'ESTUDIO DE MERCADO'!$A$1:$R$98</definedName>
    <definedName name="_xlnm.Print_Area" localSheetId="0">'PPTO FINAL'!$A$1:$H$97</definedName>
    <definedName name="Dato">OFFSET(Listado,1,0,COUNTA('[1]RELACION DE INGRESOS Y GASTOS'!$D:$D)-COUNTA('[1]RELACION DE INGRESOS Y GASTOS'!$D$8),1)</definedName>
    <definedName name="dkdk">OFFSET(Listado,1,0,COUNTA('[1]RELACION DE INGRESOS Y GASTOS'!$D:$D)-COUNTA('[1]RELACION DE INGRESOS Y GASTOS'!$D$8),1)</definedName>
    <definedName name="Listado">'[1]RELACION DE INGRESOS Y GASTOS'!$D$8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63" i="1" l="1"/>
  <c r="Q62" i="1"/>
  <c r="Q61" i="1"/>
  <c r="Q60" i="1"/>
  <c r="Q59" i="1"/>
  <c r="R59" i="1" s="1"/>
  <c r="P59" i="1"/>
  <c r="P60" i="1"/>
  <c r="P61" i="1"/>
  <c r="P62" i="1"/>
  <c r="P63" i="1"/>
  <c r="P58" i="1"/>
  <c r="Q58" i="1"/>
  <c r="N63" i="1"/>
  <c r="N62" i="1"/>
  <c r="N61" i="1"/>
  <c r="N60" i="1"/>
  <c r="N59" i="1"/>
  <c r="N58" i="1"/>
  <c r="Q50" i="1"/>
  <c r="N50" i="1"/>
  <c r="N55" i="1"/>
  <c r="K61" i="1"/>
  <c r="K60" i="1"/>
  <c r="K58" i="1"/>
  <c r="F50" i="3"/>
  <c r="R63" i="1"/>
  <c r="J63" i="1"/>
  <c r="F62" i="3"/>
  <c r="G62" i="3" s="1"/>
  <c r="J62" i="1"/>
  <c r="J61" i="1"/>
  <c r="J60" i="1"/>
  <c r="J59" i="1"/>
  <c r="J58" i="1"/>
  <c r="F60" i="3" l="1"/>
  <c r="G60" i="3" s="1"/>
  <c r="F58" i="3"/>
  <c r="G58" i="3" s="1"/>
  <c r="F61" i="3"/>
  <c r="G61" i="3" s="1"/>
  <c r="L58" i="1"/>
  <c r="L60" i="1"/>
  <c r="R62" i="1"/>
  <c r="L61" i="1"/>
  <c r="F62" i="1"/>
  <c r="G62" i="1" s="1"/>
  <c r="F63" i="3"/>
  <c r="G63" i="3" s="1"/>
  <c r="R60" i="1"/>
  <c r="R58" i="1"/>
  <c r="F63" i="1"/>
  <c r="G63" i="1" s="1"/>
  <c r="F61" i="1"/>
  <c r="G61" i="1" s="1"/>
  <c r="F60" i="1"/>
  <c r="G60" i="1" s="1"/>
  <c r="R61" i="1"/>
  <c r="F59" i="3"/>
  <c r="G59" i="3" s="1"/>
  <c r="F58" i="1"/>
  <c r="G58" i="1" s="1"/>
  <c r="F59" i="1"/>
  <c r="G59" i="1" s="1"/>
  <c r="Q49" i="1"/>
  <c r="L49" i="1"/>
  <c r="Q55" i="1"/>
  <c r="Q54" i="1"/>
  <c r="Q53" i="1"/>
  <c r="Q52" i="1"/>
  <c r="Q51" i="1"/>
  <c r="N49" i="1"/>
  <c r="P55" i="1"/>
  <c r="P54" i="1"/>
  <c r="N54" i="1"/>
  <c r="P53" i="1"/>
  <c r="N53" i="1"/>
  <c r="P52" i="1"/>
  <c r="N52" i="1"/>
  <c r="P51" i="1"/>
  <c r="N51" i="1"/>
  <c r="P50" i="1"/>
  <c r="P49" i="1"/>
  <c r="G55" i="1"/>
  <c r="G54" i="1"/>
  <c r="G53" i="1"/>
  <c r="G52" i="1"/>
  <c r="G51" i="1"/>
  <c r="G50" i="1"/>
  <c r="G49" i="1"/>
  <c r="M74" i="1"/>
  <c r="Q76" i="1"/>
  <c r="R76" i="1" s="1"/>
  <c r="Q75" i="1"/>
  <c r="R75" i="1" s="1"/>
  <c r="Q46" i="1"/>
  <c r="F46" i="3" s="1"/>
  <c r="G46" i="3" s="1"/>
  <c r="Q45" i="1"/>
  <c r="R45" i="1" s="1"/>
  <c r="Q44" i="1"/>
  <c r="R44" i="1" s="1"/>
  <c r="Q43" i="1"/>
  <c r="R43" i="1" s="1"/>
  <c r="Q42" i="1"/>
  <c r="R42" i="1" s="1"/>
  <c r="Q32" i="1"/>
  <c r="F32" i="3" s="1"/>
  <c r="G32" i="3" s="1"/>
  <c r="Q25" i="1"/>
  <c r="R25" i="1" s="1"/>
  <c r="Q26" i="1"/>
  <c r="F26" i="3" s="1"/>
  <c r="G26" i="3" s="1"/>
  <c r="Q24" i="1"/>
  <c r="R24" i="1" s="1"/>
  <c r="Q21" i="1"/>
  <c r="F21" i="3" s="1"/>
  <c r="G21" i="3" s="1"/>
  <c r="Q20" i="1"/>
  <c r="F20" i="3" s="1"/>
  <c r="G20" i="3" s="1"/>
  <c r="Q37" i="1"/>
  <c r="F37" i="3" s="1"/>
  <c r="G37" i="3" s="1"/>
  <c r="P75" i="1"/>
  <c r="P76" i="1"/>
  <c r="P74" i="1"/>
  <c r="N75" i="1"/>
  <c r="N76" i="1"/>
  <c r="Q41" i="1"/>
  <c r="R41" i="1" s="1"/>
  <c r="Q31" i="1"/>
  <c r="R31" i="1" s="1"/>
  <c r="Q40" i="1"/>
  <c r="R40" i="1" s="1"/>
  <c r="Q39" i="1"/>
  <c r="R39" i="1" s="1"/>
  <c r="Q38" i="1"/>
  <c r="R38" i="1" s="1"/>
  <c r="Q36" i="1"/>
  <c r="R36" i="1" s="1"/>
  <c r="Q35" i="1"/>
  <c r="R35" i="1" s="1"/>
  <c r="Q29" i="1"/>
  <c r="R29" i="1" s="1"/>
  <c r="Q30" i="1"/>
  <c r="R30" i="1" s="1"/>
  <c r="Q28" i="1"/>
  <c r="R28" i="1" s="1"/>
  <c r="Q27" i="1"/>
  <c r="R27" i="1" s="1"/>
  <c r="Q13" i="1"/>
  <c r="R13" i="1" s="1"/>
  <c r="Q14" i="1"/>
  <c r="R14" i="1" s="1"/>
  <c r="Q15" i="1"/>
  <c r="R15" i="1" s="1"/>
  <c r="Q16" i="1"/>
  <c r="R16" i="1" s="1"/>
  <c r="Q17" i="1"/>
  <c r="R17" i="1" s="1"/>
  <c r="Q18" i="1"/>
  <c r="R18" i="1" s="1"/>
  <c r="Q19" i="1"/>
  <c r="R19" i="1" s="1"/>
  <c r="Q12" i="1"/>
  <c r="R12" i="1" s="1"/>
  <c r="P13" i="1"/>
  <c r="P14" i="1"/>
  <c r="P15" i="1"/>
  <c r="P16" i="1"/>
  <c r="P17" i="1"/>
  <c r="P18" i="1"/>
  <c r="P19" i="1"/>
  <c r="P20" i="1"/>
  <c r="P21" i="1"/>
  <c r="P24" i="1"/>
  <c r="P25" i="1"/>
  <c r="P26" i="1"/>
  <c r="P27" i="1"/>
  <c r="P28" i="1"/>
  <c r="P29" i="1"/>
  <c r="P30" i="1"/>
  <c r="P31" i="1"/>
  <c r="P32" i="1"/>
  <c r="P35" i="1"/>
  <c r="P36" i="1"/>
  <c r="P37" i="1"/>
  <c r="P38" i="1"/>
  <c r="P39" i="1"/>
  <c r="P40" i="1"/>
  <c r="P41" i="1"/>
  <c r="P42" i="1"/>
  <c r="P43" i="1"/>
  <c r="P44" i="1"/>
  <c r="P45" i="1"/>
  <c r="P46" i="1"/>
  <c r="P12" i="1"/>
  <c r="N13" i="1"/>
  <c r="N14" i="1"/>
  <c r="N15" i="1"/>
  <c r="N16" i="1"/>
  <c r="N17" i="1"/>
  <c r="N18" i="1"/>
  <c r="N19" i="1"/>
  <c r="N20" i="1"/>
  <c r="N21" i="1"/>
  <c r="N24" i="1"/>
  <c r="N25" i="1"/>
  <c r="N26" i="1"/>
  <c r="N27" i="1"/>
  <c r="N28" i="1"/>
  <c r="N29" i="1"/>
  <c r="N30" i="1"/>
  <c r="N31" i="1"/>
  <c r="N32" i="1"/>
  <c r="N35" i="1"/>
  <c r="N36" i="1"/>
  <c r="N37" i="1"/>
  <c r="N38" i="1"/>
  <c r="N39" i="1"/>
  <c r="N40" i="1"/>
  <c r="N41" i="1"/>
  <c r="N42" i="1"/>
  <c r="N43" i="1"/>
  <c r="N44" i="1"/>
  <c r="N45" i="1"/>
  <c r="N46" i="1"/>
  <c r="N12" i="1"/>
  <c r="N66" i="1" l="1"/>
  <c r="P66" i="1"/>
  <c r="G57" i="3"/>
  <c r="G57" i="1"/>
  <c r="R53" i="1"/>
  <c r="F53" i="3"/>
  <c r="G53" i="3" s="1"/>
  <c r="R49" i="1"/>
  <c r="F49" i="3"/>
  <c r="G49" i="3" s="1"/>
  <c r="G48" i="1"/>
  <c r="R55" i="1"/>
  <c r="F55" i="3"/>
  <c r="G55" i="3" s="1"/>
  <c r="R54" i="1"/>
  <c r="F54" i="3"/>
  <c r="G54" i="3" s="1"/>
  <c r="R50" i="1"/>
  <c r="G50" i="3"/>
  <c r="R51" i="1"/>
  <c r="F51" i="3"/>
  <c r="G51" i="3" s="1"/>
  <c r="R52" i="1"/>
  <c r="F52" i="3"/>
  <c r="G52" i="3" s="1"/>
  <c r="R20" i="1"/>
  <c r="R26" i="1"/>
  <c r="F24" i="3"/>
  <c r="G24" i="3" s="1"/>
  <c r="F45" i="3"/>
  <c r="G45" i="3" s="1"/>
  <c r="F44" i="3"/>
  <c r="G44" i="3" s="1"/>
  <c r="F13" i="3"/>
  <c r="G13" i="3" s="1"/>
  <c r="F31" i="3"/>
  <c r="G31" i="3" s="1"/>
  <c r="F41" i="3"/>
  <c r="G41" i="3" s="1"/>
  <c r="F39" i="3"/>
  <c r="G39" i="3" s="1"/>
  <c r="F43" i="3"/>
  <c r="G43" i="3" s="1"/>
  <c r="F42" i="3"/>
  <c r="G42" i="3" s="1"/>
  <c r="F40" i="3"/>
  <c r="G40" i="3" s="1"/>
  <c r="R37" i="1"/>
  <c r="F12" i="3"/>
  <c r="G12" i="3" s="1"/>
  <c r="F18" i="3"/>
  <c r="G18" i="3" s="1"/>
  <c r="F19" i="3"/>
  <c r="G19" i="3" s="1"/>
  <c r="F38" i="3"/>
  <c r="G38" i="3" s="1"/>
  <c r="F30" i="3"/>
  <c r="G30" i="3" s="1"/>
  <c r="F29" i="3"/>
  <c r="G29" i="3" s="1"/>
  <c r="F36" i="3"/>
  <c r="G36" i="3" s="1"/>
  <c r="F27" i="3"/>
  <c r="G27" i="3" s="1"/>
  <c r="F76" i="3"/>
  <c r="G76" i="3" s="1"/>
  <c r="F28" i="3"/>
  <c r="G28" i="3" s="1"/>
  <c r="F75" i="3"/>
  <c r="G75" i="3" s="1"/>
  <c r="F25" i="3"/>
  <c r="G25" i="3" s="1"/>
  <c r="F15" i="3"/>
  <c r="G15" i="3" s="1"/>
  <c r="F35" i="3"/>
  <c r="G35" i="3" s="1"/>
  <c r="F14" i="3"/>
  <c r="G14" i="3" s="1"/>
  <c r="N74" i="1"/>
  <c r="Q74" i="1"/>
  <c r="R46" i="1"/>
  <c r="R32" i="1"/>
  <c r="G48" i="3" l="1"/>
  <c r="G17" i="3"/>
  <c r="G23" i="3"/>
  <c r="G11" i="3"/>
  <c r="G34" i="3"/>
  <c r="R74" i="1"/>
  <c r="F74" i="3"/>
  <c r="G74" i="3" s="1"/>
  <c r="G73" i="3" s="1"/>
  <c r="G77" i="3" s="1"/>
  <c r="G10" i="3" l="1"/>
  <c r="G66" i="3" s="1"/>
  <c r="R73" i="1"/>
  <c r="R77" i="1" s="1"/>
  <c r="P73" i="1"/>
  <c r="P77" i="1" s="1"/>
  <c r="N73" i="1"/>
  <c r="N77" i="1" s="1"/>
  <c r="J41" i="1"/>
  <c r="J40" i="1"/>
  <c r="J37" i="1"/>
  <c r="J39" i="1"/>
  <c r="J38" i="1"/>
  <c r="J36" i="1"/>
  <c r="L32" i="1"/>
  <c r="P71" i="1"/>
  <c r="N70" i="1"/>
  <c r="L20" i="1"/>
  <c r="L24" i="1"/>
  <c r="L25" i="1"/>
  <c r="L26" i="1"/>
  <c r="L42" i="1"/>
  <c r="L43" i="1"/>
  <c r="L44" i="1"/>
  <c r="L45" i="1"/>
  <c r="L46" i="1"/>
  <c r="L74" i="1"/>
  <c r="L75" i="1"/>
  <c r="L76" i="1"/>
  <c r="J13" i="1"/>
  <c r="J14" i="1"/>
  <c r="J15" i="1"/>
  <c r="J18" i="1"/>
  <c r="J19" i="1"/>
  <c r="J20" i="1"/>
  <c r="J21" i="1"/>
  <c r="J28" i="1"/>
  <c r="J29" i="1"/>
  <c r="J30" i="1"/>
  <c r="J35" i="1"/>
  <c r="J12" i="1"/>
  <c r="K21" i="1"/>
  <c r="G71" i="3" l="1"/>
  <c r="G82" i="3" s="1"/>
  <c r="G81" i="3" s="1"/>
  <c r="G69" i="3"/>
  <c r="G70" i="3"/>
  <c r="L73" i="1"/>
  <c r="L77" i="1" s="1"/>
  <c r="L21" i="1"/>
  <c r="L66" i="1" s="1"/>
  <c r="R21" i="1"/>
  <c r="R66" i="1" s="1"/>
  <c r="P82" i="1"/>
  <c r="P81" i="1" s="1"/>
  <c r="P69" i="1"/>
  <c r="P70" i="1"/>
  <c r="N69" i="1"/>
  <c r="N71" i="1"/>
  <c r="N82" i="1" s="1"/>
  <c r="N81" i="1" s="1"/>
  <c r="J66" i="1"/>
  <c r="J71" i="1" s="1"/>
  <c r="G76" i="1"/>
  <c r="G75" i="1"/>
  <c r="G74" i="1"/>
  <c r="G46" i="1"/>
  <c r="G45" i="1"/>
  <c r="G44" i="1"/>
  <c r="G43" i="1"/>
  <c r="G42" i="1"/>
  <c r="G41" i="1"/>
  <c r="G40" i="1"/>
  <c r="G39" i="1"/>
  <c r="G38" i="1"/>
  <c r="G37" i="1"/>
  <c r="G36" i="1"/>
  <c r="G35" i="1"/>
  <c r="G32" i="1"/>
  <c r="G31" i="1"/>
  <c r="G30" i="1"/>
  <c r="G29" i="1"/>
  <c r="G28" i="1"/>
  <c r="G27" i="1"/>
  <c r="G26" i="1"/>
  <c r="G25" i="1"/>
  <c r="G24" i="1"/>
  <c r="G21" i="1"/>
  <c r="G20" i="1"/>
  <c r="G19" i="1"/>
  <c r="G18" i="1"/>
  <c r="G15" i="1"/>
  <c r="G14" i="1"/>
  <c r="G13" i="1"/>
  <c r="G12" i="1"/>
  <c r="G68" i="3" l="1"/>
  <c r="G79" i="3" s="1"/>
  <c r="G84" i="3" s="1"/>
  <c r="G88" i="3" s="1"/>
  <c r="R71" i="1"/>
  <c r="R82" i="1" s="1"/>
  <c r="R81" i="1" s="1"/>
  <c r="L71" i="1"/>
  <c r="L82" i="1" s="1"/>
  <c r="L81" i="1" s="1"/>
  <c r="L70" i="1"/>
  <c r="L69" i="1"/>
  <c r="R69" i="1"/>
  <c r="R70" i="1"/>
  <c r="J82" i="1"/>
  <c r="J81" i="1" s="1"/>
  <c r="P68" i="1"/>
  <c r="P79" i="1" s="1"/>
  <c r="P84" i="1" s="1"/>
  <c r="N68" i="1"/>
  <c r="N79" i="1" s="1"/>
  <c r="N84" i="1" s="1"/>
  <c r="J70" i="1"/>
  <c r="J69" i="1"/>
  <c r="G23" i="1"/>
  <c r="G73" i="1"/>
  <c r="G77" i="1" s="1"/>
  <c r="G17" i="1"/>
  <c r="G34" i="1"/>
  <c r="G11" i="1"/>
  <c r="G10" i="1" l="1"/>
  <c r="G66" i="1" s="1"/>
  <c r="G71" i="1" s="1"/>
  <c r="G82" i="1" s="1"/>
  <c r="L68" i="1"/>
  <c r="L79" i="1" s="1"/>
  <c r="L84" i="1" s="1"/>
  <c r="R68" i="1"/>
  <c r="R79" i="1" s="1"/>
  <c r="R84" i="1" s="1"/>
  <c r="J68" i="1"/>
  <c r="J79" i="1" s="1"/>
  <c r="J84" i="1" s="1"/>
  <c r="G69" i="1" l="1"/>
  <c r="G70" i="1"/>
  <c r="G81" i="1"/>
  <c r="G68" i="1" l="1"/>
  <c r="G79" i="1" s="1"/>
  <c r="G84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JHON GAMEZ</author>
    <author>PC</author>
  </authors>
  <commentList>
    <comment ref="K24" authorId="0" shapeId="0" xr:uid="{B7965BC5-08C6-47CA-8ACC-FC95CB1AD021}">
      <text>
        <r>
          <rPr>
            <b/>
            <sz val="9"/>
            <color indexed="81"/>
            <rFont val="Tahoma"/>
            <family val="2"/>
          </rPr>
          <t>JHON GAMEZ:</t>
        </r>
        <r>
          <rPr>
            <sz val="9"/>
            <color indexed="81"/>
            <rFont val="Tahoma"/>
            <family val="2"/>
          </rPr>
          <t xml:space="preserve">
https://www.homecenter.com.co/homecenter-co/product/613649/paneles-wpc-para-pared-tavola-maple/613649/</t>
        </r>
      </text>
    </comment>
    <comment ref="K25" authorId="0" shapeId="0" xr:uid="{941131D2-A7A0-483B-851A-A94BA975CFD6}">
      <text>
        <r>
          <rPr>
            <b/>
            <sz val="9"/>
            <color indexed="81"/>
            <rFont val="Tahoma"/>
            <family val="2"/>
          </rPr>
          <t>JHON GAMEZ:</t>
        </r>
        <r>
          <rPr>
            <sz val="9"/>
            <color indexed="81"/>
            <rFont val="Tahoma"/>
            <family val="2"/>
          </rPr>
          <t xml:space="preserve">
https://www.homecenter.com.co/homecenter-co/product/186023/pino-cepillado-2x10-pulgadas-41x23cm-32m-timbermac/186023/</t>
        </r>
      </text>
    </comment>
    <comment ref="K26" authorId="0" shapeId="0" xr:uid="{9768C42D-D6AA-401D-897F-7263748670BC}">
      <text>
        <r>
          <rPr>
            <b/>
            <sz val="9"/>
            <color indexed="81"/>
            <rFont val="Tahoma"/>
            <family val="2"/>
          </rPr>
          <t>JHON GAMEZ:</t>
        </r>
        <r>
          <rPr>
            <sz val="9"/>
            <color indexed="81"/>
            <rFont val="Tahoma"/>
            <family val="2"/>
          </rPr>
          <t xml:space="preserve">
https://www.homecenter.com.co/homecenter-co/product/799419/cortina-enrollable-blackout-llovizna-blanco-130x220-cm/799411/</t>
        </r>
      </text>
    </comment>
    <comment ref="K32" authorId="0" shapeId="0" xr:uid="{D9C4299B-A7E1-4066-927D-08E3C10FBFC0}">
      <text>
        <r>
          <rPr>
            <b/>
            <sz val="9"/>
            <color indexed="81"/>
            <rFont val="Tahoma"/>
            <family val="2"/>
          </rPr>
          <t>JHON GAMEZ:</t>
        </r>
        <r>
          <rPr>
            <sz val="9"/>
            <color indexed="81"/>
            <rFont val="Tahoma"/>
            <family val="2"/>
          </rPr>
          <t xml:space="preserve">
https://industriascruz.co/producto/archivo-rodante-manual?srsltid=AfmBOorMuPZeXXtgtlYaRHVvYdwGPFzQVtkPCITdEkCzOQyI054d0PVuyCQ</t>
        </r>
      </text>
    </comment>
    <comment ref="K42" authorId="0" shapeId="0" xr:uid="{E1924EB9-DF6F-4736-B8E9-17F884610430}">
      <text>
        <r>
          <rPr>
            <b/>
            <sz val="9"/>
            <color indexed="81"/>
            <rFont val="Tahoma"/>
            <family val="2"/>
          </rPr>
          <t>JHON GAMEZ:</t>
        </r>
        <r>
          <rPr>
            <sz val="9"/>
            <color indexed="81"/>
            <rFont val="Tahoma"/>
            <family val="2"/>
          </rPr>
          <t xml:space="preserve">
https://www.homecenter.com.co/homecenter-co/search?Ntt=L%C3%A1mpara%20panel%20led%20sobre%20poner%2060%20x%2060%2048%20W
</t>
        </r>
      </text>
    </comment>
    <comment ref="K43" authorId="0" shapeId="0" xr:uid="{5C7C7209-2404-4044-BAE0-6AECF85F7117}">
      <text>
        <r>
          <rPr>
            <b/>
            <sz val="9"/>
            <color indexed="81"/>
            <rFont val="Tahoma"/>
            <family val="2"/>
          </rPr>
          <t>JHON GAMEZ:</t>
        </r>
        <r>
          <rPr>
            <sz val="9"/>
            <color indexed="81"/>
            <rFont val="Tahoma"/>
            <family val="2"/>
          </rPr>
          <t xml:space="preserve">
https://www.homecenter.com.co/homecenter-co/product/917517/panel-led-de-techo-60x30-cm-24w-luz-fria-halux/917517/</t>
        </r>
      </text>
    </comment>
    <comment ref="K44" authorId="0" shapeId="0" xr:uid="{C85495F6-22D5-431A-80B3-B6E45B93CB17}">
      <text>
        <r>
          <rPr>
            <b/>
            <sz val="9"/>
            <color indexed="81"/>
            <rFont val="Tahoma"/>
            <family val="2"/>
          </rPr>
          <t>JHON GAMEZ:</t>
        </r>
        <r>
          <rPr>
            <sz val="9"/>
            <color indexed="81"/>
            <rFont val="Tahoma"/>
            <family val="2"/>
          </rPr>
          <t xml:space="preserve">
109.900
</t>
        </r>
      </text>
    </comment>
    <comment ref="K45" authorId="0" shapeId="0" xr:uid="{D434FDF1-BD44-4DE9-8403-03D3F3752B8C}">
      <text>
        <r>
          <rPr>
            <b/>
            <sz val="9"/>
            <color indexed="81"/>
            <rFont val="Tahoma"/>
            <family val="2"/>
          </rPr>
          <t>JHON GAMEZ:</t>
        </r>
        <r>
          <rPr>
            <sz val="9"/>
            <color indexed="81"/>
            <rFont val="Tahoma"/>
            <family val="2"/>
          </rPr>
          <t xml:space="preserve">
https://www.homecenter.com.co/homecenter-co/product/774834/lineales-para-empotrar-sobreponer-o-suspender-sin-accesorios-led-integrado-4000k-38w-negra/774834/</t>
        </r>
      </text>
    </comment>
    <comment ref="K49" authorId="0" shapeId="0" xr:uid="{6D2A17BE-98E7-44D1-832A-7BFE82979A25}">
      <text>
        <r>
          <rPr>
            <b/>
            <sz val="9"/>
            <color indexed="81"/>
            <rFont val="Tahoma"/>
            <family val="2"/>
          </rPr>
          <t>JHON GAMEZ:</t>
        </r>
        <r>
          <rPr>
            <sz val="9"/>
            <color indexed="81"/>
            <rFont val="Tahoma"/>
            <family val="2"/>
          </rPr>
          <t xml:space="preserve">
https://www.fiberoptics4sale.com/products/fs-ies5100-24tf-24-port-gigabit-ethernet-l2-managed-industrial-switch-24-x-10-100-1000base-t-with-4-x-1gb-sfp-40-to-85-c-operating-temperature?variant=41959024263266&amp;country=AE&amp;currency=USD&amp;utm_medium=product_sync&amp;utm_source=google&amp;utm_content=sag_organic&amp;utm_campaign=sag_organic&amp;srsltid=AU7gw4UuP2HxzPcFGVPbXr0RvrgTkUj6SMrNeNBFHkGcrTMmdevLv4xfEts</t>
        </r>
      </text>
    </comment>
    <comment ref="K58" authorId="1" shapeId="0" xr:uid="{0F41777E-C364-4DE3-B47D-616E3E6A88AE}">
      <text>
        <r>
          <rPr>
            <b/>
            <sz val="9"/>
            <color indexed="81"/>
            <rFont val="Tahoma"/>
            <charset val="1"/>
          </rPr>
          <t>Fuente oficial: ICCU – Instituto de Infraestructura y Concesiones de Cundinamarca, Resolución 070 de 2025, cartilla de precios unitarios de referencia 2025.
Ítem: MURO SUPERBOARD DOBLE CARA 0.10 M (M2).
Valor 2025: promedio de los 116 municipios de la cartilla = $159,153.
Actualizado a 2026 × 1,0603 (ICOCED Centro Occidente jul-25 → jul-26) = $168,750.
Equivalente directo.
https://www.iccu.gov.co/wcm/connect/ICCU/8455ae14-62a2-4597-842a-57d66960e5df/LISTA+DE+PRECIOS+ICCU+2025.pdf</t>
        </r>
      </text>
    </comment>
    <comment ref="K60" authorId="1" shapeId="0" xr:uid="{FF9C1D34-785F-4BA4-9C15-739B97F34230}">
      <text>
        <r>
          <rPr>
            <b/>
            <sz val="9"/>
            <color indexed="81"/>
            <rFont val="Tahoma"/>
            <charset val="1"/>
          </rPr>
          <t>Fuente oficial: ICCU – Instituto de Infraestructura y Concesiones de Cundinamarca, Resolución 070 de 2025, cartilla de precios unitarios de referencia 2025.
Ítem: SELLADO DE JUNTAS EN PAVIMENTO DE CONCRETO RÍGIDO (incluye limpieza, suministro e instalación de fondo y sellante) (ML).
Valor 2025: promedio de los 116 municipios de la cartilla = $11,457.
Actualizado a 2026 × 1,0603 (ICOCED Centro Occidente jul-25 → jul-26) = $12,148.
Actividad análoga: misma operación (limpieza, fondo de junta y sellante) en otro elemento.
https://www.iccu.gov.co/wcm/connect/ICCU/8455ae14-62a2-4597-842a-57d66960e5df/LISTA+DE+PRECIOS+ICCU+2025.pdf</t>
        </r>
      </text>
    </comment>
    <comment ref="K61" authorId="1" shapeId="0" xr:uid="{84D4CA58-E66D-4719-8025-0E537A0644E8}">
      <text>
        <r>
          <rPr>
            <b/>
            <sz val="9"/>
            <color indexed="81"/>
            <rFont val="Tahoma"/>
            <charset val="1"/>
          </rPr>
          <t>Fuente oficial: ICCU – Instituto de Infraestructura y Concesiones de Cundinamarca, Resolución 070 de 2025, cartilla de precios unitarios de referencia 2025.
Ítem: PAÑETE LISO PLACAS 1:4, E=2 CM (M2).
Valor 2025: promedio de los 116 municipios de la cartilla = $35,129.
Actualizado a 2026 × 1,0603 (ICOCED Centro Occidente jul-25 → jul-26) = $37,247.
Actividad análoga: mortero bajo placa; el ítem del presupuesto es de 8 mm con adhesivo acrílico.
https://www.iccu.gov.co/wcm/connect/ICCU/8455ae14-62a2-4597-842a-57d66960e5df/LISTA+DE+PRECIOS+ICCU+2025.pdf</t>
        </r>
      </text>
    </comment>
    <comment ref="K74" authorId="0" shapeId="0" xr:uid="{EFDD962A-3190-470D-B162-257B8BC911FD}">
      <text>
        <r>
          <rPr>
            <b/>
            <sz val="9"/>
            <color indexed="81"/>
            <rFont val="Tahoma"/>
            <family val="2"/>
          </rPr>
          <t>JHON GAMEZ:</t>
        </r>
        <r>
          <rPr>
            <sz val="9"/>
            <color indexed="81"/>
            <rFont val="Tahoma"/>
            <family val="2"/>
          </rPr>
          <t xml:space="preserve">
https://www.homecenter.com.co/homecenter-co/product/3037091/silla-ergonomica-oficina-giratoria116x52x49cm-negro/3037091/</t>
        </r>
      </text>
    </comment>
    <comment ref="K75" authorId="0" shapeId="0" xr:uid="{3D79ADC1-6CE2-4742-B19D-0E70DDEBA3E7}">
      <text>
        <r>
          <rPr>
            <b/>
            <sz val="9"/>
            <color indexed="81"/>
            <rFont val="Tahoma"/>
            <family val="2"/>
          </rPr>
          <t>JHON GAMEZ:</t>
        </r>
        <r>
          <rPr>
            <sz val="9"/>
            <color indexed="81"/>
            <rFont val="Tahoma"/>
            <family val="2"/>
          </rPr>
          <t xml:space="preserve">
https://www.homecenter.com.co/homecenter-co/product/788522/mesa-de-juntas-tt-220x75x120-cm/788522/</t>
        </r>
      </text>
    </comment>
    <comment ref="K76" authorId="0" shapeId="0" xr:uid="{0EF448A0-7166-400C-8FC0-887E975C0A6B}">
      <text>
        <r>
          <rPr>
            <b/>
            <sz val="9"/>
            <color indexed="81"/>
            <rFont val="Tahoma"/>
            <family val="2"/>
          </rPr>
          <t>JHON GAMEZ:</t>
        </r>
        <r>
          <rPr>
            <sz val="9"/>
            <color indexed="81"/>
            <rFont val="Tahoma"/>
            <family val="2"/>
          </rPr>
          <t xml:space="preserve">
https://www.mublex.com/accesorios-para-oficina/caja-de-conectividad-o-grommet-electricos/grommet-intelligent-iv?srsltid=AfmBOooaVq39Y9Gi_hiZUJZQquOjTPLlg3i7oVAgFNVLClb1I5GZ8znPY4c</t>
        </r>
      </text>
    </comment>
  </commentList>
</comments>
</file>

<file path=xl/sharedStrings.xml><?xml version="1.0" encoding="utf-8"?>
<sst xmlns="http://schemas.openxmlformats.org/spreadsheetml/2006/main" count="346" uniqueCount="134">
  <si>
    <t/>
  </si>
  <si>
    <t>FORMULARIO DE CANTIDADES Y PRESUPUESTO DE OBRA</t>
  </si>
  <si>
    <t>ITEM</t>
  </si>
  <si>
    <t>DESCRIPCIÓN</t>
  </si>
  <si>
    <t>UNIDAD</t>
  </si>
  <si>
    <t>CANTIDAD</t>
  </si>
  <si>
    <t>VR UNITARIO</t>
  </si>
  <si>
    <t>VR PARCIAL</t>
  </si>
  <si>
    <t>PERSONERIA DE PEREIRA</t>
  </si>
  <si>
    <t>DESMONTE</t>
  </si>
  <si>
    <t>1.1</t>
  </si>
  <si>
    <t>Localización y replanteo</t>
  </si>
  <si>
    <t>M2</t>
  </si>
  <si>
    <t>1.2</t>
  </si>
  <si>
    <t>1.3</t>
  </si>
  <si>
    <t>1.4</t>
  </si>
  <si>
    <t>Aseo de obra de construcción</t>
  </si>
  <si>
    <t>PISOS</t>
  </si>
  <si>
    <t>2.1</t>
  </si>
  <si>
    <t>2.2</t>
  </si>
  <si>
    <t>Suministro transporte e instalacion de Piso vinílico antideslizante, tráfico alto e = 4 mm de aproximadamente 18 x 122 cm.</t>
  </si>
  <si>
    <t>2.3</t>
  </si>
  <si>
    <t>construccion de Boca puerta en granito pulido, incluye dilataciones de bronce, a = 0,15 m</t>
  </si>
  <si>
    <t>M</t>
  </si>
  <si>
    <t>2.4</t>
  </si>
  <si>
    <t>suministro transporte e instalacion de Guarda escobas en listón de lámina de vinilo click ± h = 8 cm,  Incluye accesorios necesarios para la instalacion</t>
  </si>
  <si>
    <t>ML</t>
  </si>
  <si>
    <t>ACABADOS</t>
  </si>
  <si>
    <t>3.1</t>
  </si>
  <si>
    <t>suministro transporte e instalacion de LAMINA WPC de 2,90 metros de alto x 16 cm de ancho y 2,3 cm de profundidad,  Incluye accesorios necesarios para la instalacion</t>
  </si>
  <si>
    <t>UN</t>
  </si>
  <si>
    <t>3.2</t>
  </si>
  <si>
    <t>suministro transporte e instalacion de listones de madera incluye accesorios necesarios para la instalacion según especificaciones tecnicas .</t>
  </si>
  <si>
    <t>3.3</t>
  </si>
  <si>
    <t>3.4</t>
  </si>
  <si>
    <t>3.5</t>
  </si>
  <si>
    <t>3.6</t>
  </si>
  <si>
    <t>3.7</t>
  </si>
  <si>
    <t>3.8</t>
  </si>
  <si>
    <t>suministro transporte e instalacion de Persiana Enrollable Blackout 130X200Cm Blanco,  Incluye accesorios necesarios para la instalacion</t>
  </si>
  <si>
    <t>3.9</t>
  </si>
  <si>
    <t xml:space="preserve">Reinstalación  paneleria existente en lámina, suministro demarco en lámina, incluye resane, anticorrosivo y pintura sobre estructura, puertas y marcos a dos caras en la totalidad del elemento a dos manos,  Incluye accesorios necesarios para la instalacion. </t>
  </si>
  <si>
    <t>aplicación de Estuco y pintura con vinilo tipo I muros 3 capas según especificaciones tecnicas.</t>
  </si>
  <si>
    <t>suministro y aplicación de Estuco y pintura cielo raso con vinilo tipo II 3 capas</t>
  </si>
  <si>
    <t>Suministro e instalación de archivo rodante metalico, doble faz con estantería ajustable, base movil y sistema de rieles. Dimensión de 2,4m de ancho x 2,0m de alto x 1,2m de profundidad.</t>
  </si>
  <si>
    <t>INSTALACIÓN ELÉCTRICA</t>
  </si>
  <si>
    <t>4.1</t>
  </si>
  <si>
    <t>Salida toma corriente doble polo a tierra cable Cu #12 THHN AWG, tubería conduit PVC
3/4" longitud promedio 6 m</t>
  </si>
  <si>
    <t>4.2</t>
  </si>
  <si>
    <t xml:space="preserve">SUMINISTRO E INSTALACIÓN DE ACOMETIDA EN CABLE DE COBRE LIBRE DE HALOGENOS 1N°12 (F) + 1N°12 (N) + 1N°12 (T) </t>
  </si>
  <si>
    <t>4.3</t>
  </si>
  <si>
    <t>Salida interruptor sencillo,con aparato, cable de cobre aislado libre de halogenos calibre N°12 THHN y  tubería PVC ø3/4" .Conductores libres de halógenos y baja emisión de humos  longitud promedio 4.5 m</t>
  </si>
  <si>
    <t>4.4</t>
  </si>
  <si>
    <t>Salida interruptor doble, con aparato, cable de cobre aislado libre de halogenos calibre N°12 THHN y tubería PVC ø3/4" incluye accesorios de fijación a estructura, longitud promedio 4.5 m</t>
  </si>
  <si>
    <t>4.5</t>
  </si>
  <si>
    <t>Salida interruptor doble Conmutable, con aparato, cable de cobre aislado libre de halogenos calibre N°12 THHN y tubería PVC ø3/4" incluye accesorios de fijación a estructura, longitud promedio 4.5 m</t>
  </si>
  <si>
    <t>4.6</t>
  </si>
  <si>
    <t>Salida interruptor triple, con aparato, cable de cobre aislado libre de halogenos calibre N°12 THHN y tubería PVC ø3/4" incluye accesorios de fijación a estructura, longitud promedio 4.5 m</t>
  </si>
  <si>
    <t>4.7</t>
  </si>
  <si>
    <t>4.8</t>
  </si>
  <si>
    <t>suministro transporte e instalacion de Lámpara panel led sobre poner 60 x 60 48 W, blanca Halux o similar. Incluye accesorios necesarios para la conexión e instalacion.</t>
  </si>
  <si>
    <t>4.9</t>
  </si>
  <si>
    <t>suministro transporte e instalacion de Lámpara panel led sobre poner 60 x 30 24 W, blanca Halux o similar. Incluye accesorios necesarios para la conexión e instalacion.</t>
  </si>
  <si>
    <t>4.10</t>
  </si>
  <si>
    <t>suministro transporte e instalacion de Panel LED de sobreponer, 120 X 30 CM, 48 W. Incluye accesorios necesarios para la conexión e instalacion.</t>
  </si>
  <si>
    <t>4.11</t>
  </si>
  <si>
    <t>suministro transporte e instalacion de Lámpara Lineal LED 17W de Descolgar Negra 120 x 5cm,  Incluye accesorios necesarios para la conexión e instalacion.</t>
  </si>
  <si>
    <t>4.12</t>
  </si>
  <si>
    <t>suministro transporte e instalacion de Lámpara Aplique De Pared Ojo De Lupa Alto Brillo,  Incluye accesorios necesarios para la conexión e instalacion.</t>
  </si>
  <si>
    <t>TOTAL COSTOS DIRECTOS (NO INCLUYE AIU)=</t>
  </si>
  <si>
    <t>ADMINISTRACIÓN (24%) =</t>
  </si>
  <si>
    <t>IMPREVISTOS (1%) =</t>
  </si>
  <si>
    <t>UTILIDAD (5%) =</t>
  </si>
  <si>
    <t>SUMINISTROS</t>
  </si>
  <si>
    <t>5.1</t>
  </si>
  <si>
    <t>Silla Escritorio Ergonomica Negro Con Cabecero y reposa brazos</t>
  </si>
  <si>
    <t>5.2</t>
  </si>
  <si>
    <t>5.3</t>
  </si>
  <si>
    <t>5.4</t>
  </si>
  <si>
    <t>Grommet 4 funciones (grommet 4 funciones 1 hdmi, 1usb y 2 tomas)</t>
  </si>
  <si>
    <t>SUMINISTROS + ADMINISTRACIÓN (12%) =</t>
  </si>
  <si>
    <t xml:space="preserve">IVA SOBRE UTILIDAD </t>
  </si>
  <si>
    <t>IVA SOBRE UTILIDAD (19%)</t>
  </si>
  <si>
    <t>TOTAL COSTOS DIRECTOS ( incluye AIU 30% + Suministros)</t>
  </si>
  <si>
    <t>TOTAL COSTOS INDIRECTOS (A.I.U.) =</t>
  </si>
  <si>
    <t>EMPRESA #1</t>
  </si>
  <si>
    <t>EMPRESA #2</t>
  </si>
  <si>
    <t>PROMEDIO DE 
PRECIOS</t>
  </si>
  <si>
    <t>GOBERNACION RISARALDA 2025 + ICOCED JUL 2026 (6,03%) EDIFICACIONES DESTINO OFICINAS - VALIDAR ANEXO 3.3)</t>
  </si>
  <si>
    <t>CABLEADO ESTRUCTURADO</t>
  </si>
  <si>
    <t>Suministro e instalacion de bandeja tipo malla 60x300 EZ tramo de 3 m con accesorios</t>
  </si>
  <si>
    <t>Suministro e instalacion de Canaleta Metalica 20x5 Cm x2.40M Con Division Calibre 22- Atornillable Con Tapa</t>
  </si>
  <si>
    <t>5.5</t>
  </si>
  <si>
    <t>Suministro e instalacion de punto de datos cat 6a (incluye cable u/utp cat 6a, jack, face plate y patch cords y caja de salida)</t>
  </si>
  <si>
    <t>5.6</t>
  </si>
  <si>
    <t>Suministro e instalacion de red regulada (incluye tuberia, cable THHN calibre 12, toma y caja de salida y accesorios)</t>
  </si>
  <si>
    <t>5.7</t>
  </si>
  <si>
    <t>Tablero trifasico de 24 circuitos 220/127v - con puerta chapa y llave, con espacio para totalizador</t>
  </si>
  <si>
    <t>6.1</t>
  </si>
  <si>
    <t>6.2</t>
  </si>
  <si>
    <t>6.3</t>
  </si>
  <si>
    <t>WEB</t>
  </si>
  <si>
    <t>Nivelación de superficie de piso existente con material compatible con el acabado final (mortero de nivelación o autonivelante), incluye preparación de la superficie</t>
  </si>
  <si>
    <t>suministro y aplicación de Pintura con esmalte estructura metálica 2 capas</t>
  </si>
  <si>
    <t xml:space="preserve">Puertas Batientes en vidrios 10mm Templado, dos alas, Tubo Bisagras en acero inoxidable de 2 pulgadas con 4 puntos de fijacion. Cerradura Yale 170 falleba de piso en hoja pasiva. 1 cierrepuertas de piso Yale en Hoja Activo. Ancho 1800 mm, alto 2135 mm (verificar vano en sitio antes de fabricar). </t>
  </si>
  <si>
    <t>Salida de iluminación, cable de cobre aislado libre de halogenos calibre N°12 THHN y tubería PVC ø3/4", incluye accesorios de fijación a estructura, longitud promedio 6.0 m</t>
  </si>
  <si>
    <t>Suministro e Instalación de Switch 24 Puertos 10/100/1000 2 Pto SFP</t>
  </si>
  <si>
    <t>Mesa de Juntas con dimensiones minimas de 2 x 1,1 mts, En Aglomerado RH, para 6 puestos, (Incluye todos sus accesorios para su correcta instalación)</t>
  </si>
  <si>
    <t>TOTAL COSTOS DEL PROYECTO ( incluye AIU 30% + Suministros + IVA 19%)</t>
  </si>
  <si>
    <t>Suministro e instalación de acometida para red regulada en cable de cobre libre de halógenos 1N°12 (F) + 1N°12 (N) + 1N°12 (T), desde el tablero de circuitos regulados</t>
  </si>
  <si>
    <t>REPARACIÓN DE DAÑOS DEL SISMO – PISO 3 (MUROS EN ESTRUCTURA LIVIANA Y RESANE DE PLACA)</t>
  </si>
  <si>
    <t>Muro en estructura liviana con placa de fibrocemento tipo Superboard e = 10 mm a dos caras, perfilería galvanizada (canal y paral 59 c/0,61 m), fijada a losa y piso. Sin tratamiento de juntas ni acabado</t>
  </si>
  <si>
    <t>Resane: tratamiento de juntas con cinta y masilla, tapado de tornillos y lijado (ambas caras)</t>
  </si>
  <si>
    <t>6.4</t>
  </si>
  <si>
    <t>Junta de separación perimetral de 10 a 15 mm entre muro liviano y estructura (placa y columnas): fondo de junta y sellante acrílico elastomérico pintable, por cara</t>
  </si>
  <si>
    <t>6.5</t>
  </si>
  <si>
    <t>Resane de placa (cara inferior) con mortero 1:3 de arena fina lavada, modificado con adhesivo acrílico, aplicado sobre cabeza en capa delgada de 8 mm (máximo 10 mm por capa). Incluye escarificado y limpieza de la superficie, saturación y lechada de adherencia con adhesivo acrílico</t>
  </si>
  <si>
    <t>6.6</t>
  </si>
  <si>
    <t>Resane de fisuras en cielo raso: apertura de la fisura en V, limpieza, relleno con yeso y estuco, cinta en fisuras mayores y lijado (sin pintura). Medido sobre el área con fisuras</t>
  </si>
  <si>
    <t>Retiro de sobrantes de obra: trasiego desde el piso 3, cargue, transporte en volqueta 10 km y disposición final en sitio autorizado</t>
  </si>
  <si>
    <t>M3</t>
  </si>
  <si>
    <t>7</t>
  </si>
  <si>
    <t>7.1</t>
  </si>
  <si>
    <t>7.2</t>
  </si>
  <si>
    <t>7.3</t>
  </si>
  <si>
    <t xml:space="preserve">Desmonte de puerta metálicas o de madera, incluye marco disposicion final donde indique la supervision del contrato </t>
  </si>
  <si>
    <t xml:space="preserve">Desmonte de división metálica o de vidrio templado disposicion final donde indique la supervision del contrato </t>
  </si>
  <si>
    <t>______________________________________</t>
  </si>
  <si>
    <t>Ingeniero civil, especialista en estructuras (CUC)</t>
  </si>
  <si>
    <t>Elaboró:</t>
  </si>
  <si>
    <t>ING. JOSÉ ÁNGEL ROMERO OLMEDO</t>
  </si>
  <si>
    <t>Matrícula profesional 071037-0555921-CES</t>
  </si>
  <si>
    <t>Contratista CD-CPS-150-2026 – Personería Municipal de Pereira</t>
  </si>
  <si>
    <t>ORIGINAL FIRMADO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</si>
</sst>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164" formatCode="&quot;$&quot;\ #,##0.00"/>
    <numFmt numFmtId="165" formatCode="&quot;$&quot;\ #,##0"/>
    <numFmt numFmtId="166" formatCode="_-&quot;$&quot;\ * #,##0.0000_-;\-&quot;$&quot;\ * #,##0.0000_-;_-&quot;$&quot;\ * &quot;-&quot;??_-;_-@_-"/>
    <numFmt numFmtId="167" formatCode="_-&quot;$&quot;\ * #,##0_-;\-&quot;$&quot;\ * #,##0_-;_-&quot;$&quot;\ * &quot;-&quot;??_-;_-@_-"/>
  </numFmts>
  <fonts count="17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 Nova"/>
      <family val="2"/>
    </font>
    <font>
      <sz val="9"/>
      <color theme="1"/>
      <name val="Arial Nova"/>
      <family val="2"/>
    </font>
    <font>
      <b/>
      <sz val="9"/>
      <color theme="0"/>
      <name val="Arial Nova"/>
      <family val="2"/>
    </font>
    <font>
      <sz val="12"/>
      <color theme="1"/>
      <name val="Calibri"/>
      <family val="2"/>
      <scheme val="minor"/>
    </font>
    <font>
      <b/>
      <sz val="12"/>
      <color theme="1"/>
      <name val="Arial Nova"/>
      <family val="2"/>
    </font>
    <font>
      <b/>
      <sz val="8"/>
      <color theme="1"/>
      <name val="Arial Nova"/>
      <family val="2"/>
    </font>
    <font>
      <sz val="8"/>
      <color theme="1"/>
      <name val="Arial Nova"/>
      <family val="2"/>
    </font>
    <font>
      <sz val="8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rgb="FFFFFFFF"/>
      <name val="Arial Nova"/>
      <family val="2"/>
    </font>
    <font>
      <sz val="9"/>
      <name val="Arial Nova"/>
      <family val="2"/>
    </font>
    <font>
      <sz val="10"/>
      <color theme="1"/>
      <name val="Arial Nova"/>
      <family val="2"/>
    </font>
    <font>
      <b/>
      <sz val="9"/>
      <color rgb="FFC00000"/>
      <name val="Arial Nova"/>
      <family val="2"/>
    </font>
    <font>
      <b/>
      <sz val="9"/>
      <color indexed="81"/>
      <name val="Tahoma"/>
      <charset val="1"/>
    </font>
  </fonts>
  <fills count="16">
    <fill>
      <patternFill patternType="none"/>
    </fill>
    <fill>
      <patternFill patternType="gray125"/>
    </fill>
    <fill>
      <patternFill patternType="solid">
        <fgColor rgb="FF0071E1"/>
        <bgColor indexed="64"/>
      </patternFill>
    </fill>
    <fill>
      <patternFill patternType="solid">
        <fgColor rgb="FFCAE4FF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FCFC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DB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4">
    <xf numFmtId="0" fontId="0" fillId="0" borderId="0"/>
    <xf numFmtId="44" fontId="5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</cellStyleXfs>
  <cellXfs count="166">
    <xf numFmtId="0" fontId="0" fillId="0" borderId="0" xfId="0"/>
    <xf numFmtId="0" fontId="3" fillId="0" borderId="0" xfId="2" applyFont="1"/>
    <xf numFmtId="49" fontId="3" fillId="0" borderId="0" xfId="2" applyNumberFormat="1" applyFont="1" applyAlignment="1">
      <alignment horizontal="center" vertical="center"/>
    </xf>
    <xf numFmtId="0" fontId="3" fillId="0" borderId="0" xfId="2" applyFont="1" applyAlignment="1">
      <alignment horizontal="left" vertical="center" wrapText="1"/>
    </xf>
    <xf numFmtId="0" fontId="3" fillId="0" borderId="0" xfId="2" applyFont="1" applyAlignment="1">
      <alignment horizontal="center" vertical="center"/>
    </xf>
    <xf numFmtId="4" fontId="3" fillId="0" borderId="0" xfId="2" applyNumberFormat="1" applyFont="1" applyAlignment="1">
      <alignment horizontal="center" vertical="center"/>
    </xf>
    <xf numFmtId="44" fontId="3" fillId="0" borderId="0" xfId="3" applyFont="1" applyAlignment="1">
      <alignment horizontal="right" vertical="center"/>
    </xf>
    <xf numFmtId="0" fontId="3" fillId="0" borderId="2" xfId="2" applyFont="1" applyBorder="1" applyAlignment="1">
      <alignment horizontal="center" vertical="center"/>
    </xf>
    <xf numFmtId="0" fontId="2" fillId="3" borderId="5" xfId="2" applyFont="1" applyFill="1" applyBorder="1" applyAlignment="1">
      <alignment horizontal="center" vertical="center" wrapText="1"/>
    </xf>
    <xf numFmtId="0" fontId="2" fillId="3" borderId="5" xfId="2" applyFont="1" applyFill="1" applyBorder="1" applyAlignment="1">
      <alignment horizontal="center" vertical="center"/>
    </xf>
    <xf numFmtId="4" fontId="2" fillId="3" borderId="5" xfId="2" applyNumberFormat="1" applyFont="1" applyFill="1" applyBorder="1" applyAlignment="1">
      <alignment horizontal="center" vertical="center"/>
    </xf>
    <xf numFmtId="164" fontId="2" fillId="3" borderId="5" xfId="3" applyNumberFormat="1" applyFont="1" applyFill="1" applyBorder="1" applyAlignment="1">
      <alignment horizontal="right" vertical="center"/>
    </xf>
    <xf numFmtId="0" fontId="4" fillId="4" borderId="2" xfId="2" applyFont="1" applyFill="1" applyBorder="1" applyAlignment="1">
      <alignment horizontal="center" vertical="center" wrapText="1"/>
    </xf>
    <xf numFmtId="0" fontId="4" fillId="4" borderId="2" xfId="2" applyFont="1" applyFill="1" applyBorder="1" applyAlignment="1">
      <alignment horizontal="center" vertical="center"/>
    </xf>
    <xf numFmtId="4" fontId="4" fillId="4" borderId="2" xfId="2" applyNumberFormat="1" applyFont="1" applyFill="1" applyBorder="1" applyAlignment="1">
      <alignment horizontal="center" vertical="center"/>
    </xf>
    <xf numFmtId="164" fontId="4" fillId="4" borderId="2" xfId="3" applyNumberFormat="1" applyFont="1" applyFill="1" applyBorder="1" applyAlignment="1">
      <alignment horizontal="right" vertical="center"/>
    </xf>
    <xf numFmtId="165" fontId="4" fillId="4" borderId="5" xfId="3" applyNumberFormat="1" applyFont="1" applyFill="1" applyBorder="1" applyAlignment="1">
      <alignment horizontal="right" vertical="center"/>
    </xf>
    <xf numFmtId="0" fontId="2" fillId="5" borderId="1" xfId="2" applyFont="1" applyFill="1" applyBorder="1" applyAlignment="1">
      <alignment horizontal="center" vertical="center" wrapText="1"/>
    </xf>
    <xf numFmtId="0" fontId="2" fillId="5" borderId="2" xfId="2" applyFont="1" applyFill="1" applyBorder="1" applyAlignment="1">
      <alignment horizontal="center" vertical="center"/>
    </xf>
    <xf numFmtId="4" fontId="2" fillId="5" borderId="2" xfId="2" applyNumberFormat="1" applyFont="1" applyFill="1" applyBorder="1" applyAlignment="1">
      <alignment horizontal="center" vertical="center"/>
    </xf>
    <xf numFmtId="164" fontId="2" fillId="5" borderId="3" xfId="3" applyNumberFormat="1" applyFont="1" applyFill="1" applyBorder="1" applyAlignment="1">
      <alignment horizontal="right" vertical="center"/>
    </xf>
    <xf numFmtId="165" fontId="2" fillId="6" borderId="5" xfId="3" applyNumberFormat="1" applyFont="1" applyFill="1" applyBorder="1" applyAlignment="1">
      <alignment horizontal="right" vertical="center"/>
    </xf>
    <xf numFmtId="49" fontId="3" fillId="0" borderId="5" xfId="2" applyNumberFormat="1" applyFont="1" applyBorder="1" applyAlignment="1">
      <alignment horizontal="center" vertical="center"/>
    </xf>
    <xf numFmtId="0" fontId="3" fillId="0" borderId="5" xfId="2" applyFont="1" applyBorder="1" applyAlignment="1">
      <alignment horizontal="justify" vertical="center" wrapText="1"/>
    </xf>
    <xf numFmtId="0" fontId="3" fillId="0" borderId="5" xfId="2" applyFont="1" applyBorder="1" applyAlignment="1">
      <alignment horizontal="center" vertical="center"/>
    </xf>
    <xf numFmtId="164" fontId="3" fillId="0" borderId="5" xfId="3" applyNumberFormat="1" applyFont="1" applyBorder="1" applyAlignment="1">
      <alignment vertical="center"/>
    </xf>
    <xf numFmtId="165" fontId="3" fillId="0" borderId="5" xfId="3" applyNumberFormat="1" applyFont="1" applyBorder="1" applyAlignment="1">
      <alignment horizontal="right" vertical="center"/>
    </xf>
    <xf numFmtId="4" fontId="3" fillId="0" borderId="5" xfId="2" applyNumberFormat="1" applyFont="1" applyBorder="1" applyAlignment="1">
      <alignment horizontal="center" vertical="center"/>
    </xf>
    <xf numFmtId="164" fontId="3" fillId="0" borderId="0" xfId="3" applyNumberFormat="1" applyFont="1" applyAlignment="1">
      <alignment horizontal="right" vertical="center"/>
    </xf>
    <xf numFmtId="49" fontId="3" fillId="0" borderId="1" xfId="2" applyNumberFormat="1" applyFont="1" applyBorder="1" applyAlignment="1">
      <alignment horizontal="center" vertical="center"/>
    </xf>
    <xf numFmtId="164" fontId="3" fillId="0" borderId="5" xfId="3" applyNumberFormat="1" applyFont="1" applyFill="1" applyBorder="1" applyAlignment="1">
      <alignment vertical="center"/>
    </xf>
    <xf numFmtId="0" fontId="3" fillId="0" borderId="1" xfId="2" applyFont="1" applyBorder="1" applyAlignment="1">
      <alignment horizontal="justify" vertical="center" wrapText="1"/>
    </xf>
    <xf numFmtId="4" fontId="3" fillId="0" borderId="2" xfId="2" applyNumberFormat="1" applyFont="1" applyBorder="1" applyAlignment="1">
      <alignment horizontal="center" vertical="center"/>
    </xf>
    <xf numFmtId="164" fontId="3" fillId="0" borderId="3" xfId="3" applyNumberFormat="1" applyFont="1" applyBorder="1" applyAlignment="1">
      <alignment vertical="center"/>
    </xf>
    <xf numFmtId="165" fontId="3" fillId="0" borderId="5" xfId="3" applyNumberFormat="1" applyFont="1" applyFill="1" applyBorder="1" applyAlignment="1">
      <alignment horizontal="right" vertical="center"/>
    </xf>
    <xf numFmtId="0" fontId="3" fillId="0" borderId="0" xfId="2" applyFont="1" applyAlignment="1">
      <alignment horizontal="justify" vertical="center" wrapText="1"/>
    </xf>
    <xf numFmtId="164" fontId="3" fillId="0" borderId="0" xfId="3" applyNumberFormat="1" applyFont="1" applyBorder="1" applyAlignment="1">
      <alignment vertical="center"/>
    </xf>
    <xf numFmtId="165" fontId="3" fillId="0" borderId="0" xfId="3" applyNumberFormat="1" applyFont="1" applyBorder="1" applyAlignment="1">
      <alignment horizontal="right" vertical="center"/>
    </xf>
    <xf numFmtId="49" fontId="2" fillId="7" borderId="0" xfId="2" applyNumberFormat="1" applyFont="1" applyFill="1" applyAlignment="1">
      <alignment horizontal="center" vertical="center"/>
    </xf>
    <xf numFmtId="49" fontId="2" fillId="7" borderId="5" xfId="2" applyNumberFormat="1" applyFont="1" applyFill="1" applyBorder="1" applyAlignment="1">
      <alignment vertical="center"/>
    </xf>
    <xf numFmtId="49" fontId="2" fillId="7" borderId="1" xfId="2" applyNumberFormat="1" applyFont="1" applyFill="1" applyBorder="1" applyAlignment="1">
      <alignment horizontal="center" vertical="center"/>
    </xf>
    <xf numFmtId="165" fontId="2" fillId="7" borderId="5" xfId="3" applyNumberFormat="1" applyFont="1" applyFill="1" applyBorder="1" applyAlignment="1">
      <alignment horizontal="right" vertical="center"/>
    </xf>
    <xf numFmtId="49" fontId="2" fillId="0" borderId="5" xfId="2" applyNumberFormat="1" applyFont="1" applyBorder="1" applyAlignment="1">
      <alignment horizontal="center" vertical="center"/>
    </xf>
    <xf numFmtId="49" fontId="2" fillId="7" borderId="5" xfId="2" applyNumberFormat="1" applyFont="1" applyFill="1" applyBorder="1" applyAlignment="1">
      <alignment horizontal="center" vertical="center"/>
    </xf>
    <xf numFmtId="0" fontId="2" fillId="7" borderId="0" xfId="2" applyFont="1" applyFill="1" applyAlignment="1">
      <alignment horizontal="right" vertical="center" wrapText="1"/>
    </xf>
    <xf numFmtId="0" fontId="2" fillId="7" borderId="0" xfId="2" applyFont="1" applyFill="1" applyAlignment="1">
      <alignment horizontal="center" vertical="center"/>
    </xf>
    <xf numFmtId="165" fontId="2" fillId="7" borderId="0" xfId="3" applyNumberFormat="1" applyFont="1" applyFill="1" applyBorder="1" applyAlignment="1">
      <alignment horizontal="right" vertical="center"/>
    </xf>
    <xf numFmtId="165" fontId="2" fillId="8" borderId="5" xfId="3" applyNumberFormat="1" applyFont="1" applyFill="1" applyBorder="1" applyAlignment="1">
      <alignment horizontal="right" vertical="center"/>
    </xf>
    <xf numFmtId="44" fontId="3" fillId="0" borderId="0" xfId="3" applyFont="1" applyBorder="1" applyAlignment="1">
      <alignment horizontal="right" vertical="center"/>
    </xf>
    <xf numFmtId="165" fontId="3" fillId="0" borderId="7" xfId="3" applyNumberFormat="1" applyFont="1" applyBorder="1" applyAlignment="1">
      <alignment horizontal="right" vertical="center"/>
    </xf>
    <xf numFmtId="165" fontId="3" fillId="0" borderId="0" xfId="3" applyNumberFormat="1" applyFont="1" applyAlignment="1">
      <alignment horizontal="right" vertical="center"/>
    </xf>
    <xf numFmtId="0" fontId="3" fillId="0" borderId="5" xfId="2" applyFont="1" applyBorder="1" applyAlignment="1">
      <alignment horizontal="left" vertical="center" wrapText="1"/>
    </xf>
    <xf numFmtId="3" fontId="3" fillId="0" borderId="5" xfId="2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center" vertical="center"/>
    </xf>
    <xf numFmtId="4" fontId="3" fillId="0" borderId="5" xfId="0" applyNumberFormat="1" applyFont="1" applyBorder="1" applyAlignment="1">
      <alignment horizontal="center" vertical="center"/>
    </xf>
    <xf numFmtId="164" fontId="3" fillId="0" borderId="5" xfId="1" applyNumberFormat="1" applyFont="1" applyFill="1" applyBorder="1" applyAlignment="1">
      <alignment vertical="center"/>
    </xf>
    <xf numFmtId="165" fontId="3" fillId="0" borderId="5" xfId="1" applyNumberFormat="1" applyFont="1" applyFill="1" applyBorder="1" applyAlignment="1">
      <alignment horizontal="right" vertical="center"/>
    </xf>
    <xf numFmtId="0" fontId="3" fillId="0" borderId="0" xfId="2" applyFont="1" applyAlignment="1">
      <alignment horizontal="center"/>
    </xf>
    <xf numFmtId="164" fontId="3" fillId="0" borderId="0" xfId="2" applyNumberFormat="1" applyFont="1" applyAlignment="1">
      <alignment horizontal="center"/>
    </xf>
    <xf numFmtId="0" fontId="8" fillId="0" borderId="0" xfId="2" applyFont="1" applyAlignment="1">
      <alignment horizontal="center"/>
    </xf>
    <xf numFmtId="164" fontId="8" fillId="0" borderId="11" xfId="2" applyNumberFormat="1" applyFont="1" applyBorder="1" applyAlignment="1">
      <alignment horizontal="center"/>
    </xf>
    <xf numFmtId="164" fontId="8" fillId="0" borderId="7" xfId="2" applyNumberFormat="1" applyFont="1" applyBorder="1" applyAlignment="1">
      <alignment horizontal="center"/>
    </xf>
    <xf numFmtId="164" fontId="8" fillId="9" borderId="11" xfId="2" applyNumberFormat="1" applyFont="1" applyFill="1" applyBorder="1" applyAlignment="1">
      <alignment horizontal="center"/>
    </xf>
    <xf numFmtId="44" fontId="8" fillId="0" borderId="11" xfId="1" applyFont="1" applyBorder="1" applyAlignment="1">
      <alignment horizontal="center"/>
    </xf>
    <xf numFmtId="0" fontId="8" fillId="0" borderId="11" xfId="2" applyFont="1" applyBorder="1" applyAlignment="1">
      <alignment horizontal="center"/>
    </xf>
    <xf numFmtId="4" fontId="8" fillId="9" borderId="7" xfId="2" applyNumberFormat="1" applyFont="1" applyFill="1" applyBorder="1" applyAlignment="1">
      <alignment horizontal="center"/>
    </xf>
    <xf numFmtId="4" fontId="8" fillId="0" borderId="7" xfId="2" applyNumberFormat="1" applyFont="1" applyBorder="1" applyAlignment="1">
      <alignment horizontal="center"/>
    </xf>
    <xf numFmtId="164" fontId="8" fillId="9" borderId="7" xfId="2" applyNumberFormat="1" applyFont="1" applyFill="1" applyBorder="1" applyAlignment="1">
      <alignment horizontal="center"/>
    </xf>
    <xf numFmtId="44" fontId="8" fillId="9" borderId="11" xfId="1" applyFont="1" applyFill="1" applyBorder="1" applyAlignment="1">
      <alignment horizontal="center"/>
    </xf>
    <xf numFmtId="0" fontId="8" fillId="9" borderId="11" xfId="2" applyFont="1" applyFill="1" applyBorder="1" applyAlignment="1">
      <alignment horizontal="center"/>
    </xf>
    <xf numFmtId="44" fontId="8" fillId="9" borderId="6" xfId="1" applyFont="1" applyFill="1" applyBorder="1" applyAlignment="1">
      <alignment horizontal="center"/>
    </xf>
    <xf numFmtId="164" fontId="8" fillId="0" borderId="12" xfId="2" applyNumberFormat="1" applyFont="1" applyBorder="1" applyAlignment="1">
      <alignment horizontal="center"/>
    </xf>
    <xf numFmtId="164" fontId="8" fillId="0" borderId="6" xfId="2" applyNumberFormat="1" applyFont="1" applyBorder="1" applyAlignment="1">
      <alignment horizontal="center"/>
    </xf>
    <xf numFmtId="4" fontId="8" fillId="0" borderId="12" xfId="2" applyNumberFormat="1" applyFont="1" applyBorder="1" applyAlignment="1">
      <alignment horizontal="center"/>
    </xf>
    <xf numFmtId="0" fontId="8" fillId="9" borderId="4" xfId="2" applyFont="1" applyFill="1" applyBorder="1" applyAlignment="1">
      <alignment horizontal="center"/>
    </xf>
    <xf numFmtId="164" fontId="8" fillId="9" borderId="13" xfId="2" applyNumberFormat="1" applyFont="1" applyFill="1" applyBorder="1" applyAlignment="1">
      <alignment horizontal="center"/>
    </xf>
    <xf numFmtId="164" fontId="8" fillId="0" borderId="4" xfId="2" applyNumberFormat="1" applyFont="1" applyBorder="1" applyAlignment="1">
      <alignment horizontal="center"/>
    </xf>
    <xf numFmtId="4" fontId="8" fillId="0" borderId="13" xfId="2" applyNumberFormat="1" applyFont="1" applyBorder="1" applyAlignment="1">
      <alignment horizontal="center"/>
    </xf>
    <xf numFmtId="164" fontId="8" fillId="9" borderId="12" xfId="2" applyNumberFormat="1" applyFont="1" applyFill="1" applyBorder="1" applyAlignment="1">
      <alignment horizontal="center"/>
    </xf>
    <xf numFmtId="44" fontId="8" fillId="0" borderId="11" xfId="1" applyFont="1" applyFill="1" applyBorder="1" applyAlignment="1">
      <alignment horizontal="center"/>
    </xf>
    <xf numFmtId="44" fontId="3" fillId="0" borderId="0" xfId="1" applyFont="1"/>
    <xf numFmtId="44" fontId="3" fillId="0" borderId="11" xfId="1" applyFont="1" applyBorder="1"/>
    <xf numFmtId="44" fontId="3" fillId="0" borderId="0" xfId="1" applyFont="1" applyBorder="1" applyAlignment="1">
      <alignment horizontal="right" vertical="center"/>
    </xf>
    <xf numFmtId="44" fontId="3" fillId="0" borderId="0" xfId="1" applyFont="1" applyAlignment="1">
      <alignment horizontal="right" vertical="center"/>
    </xf>
    <xf numFmtId="44" fontId="2" fillId="6" borderId="5" xfId="1" applyFont="1" applyFill="1" applyBorder="1" applyAlignment="1">
      <alignment horizontal="right" vertical="center"/>
    </xf>
    <xf numFmtId="44" fontId="2" fillId="7" borderId="5" xfId="1" applyFont="1" applyFill="1" applyBorder="1" applyAlignment="1">
      <alignment horizontal="right" vertical="center"/>
    </xf>
    <xf numFmtId="44" fontId="3" fillId="0" borderId="5" xfId="1" applyFont="1" applyBorder="1" applyAlignment="1">
      <alignment horizontal="right" vertical="center"/>
    </xf>
    <xf numFmtId="44" fontId="3" fillId="0" borderId="0" xfId="1" applyFont="1" applyBorder="1" applyAlignment="1">
      <alignment vertical="center"/>
    </xf>
    <xf numFmtId="44" fontId="2" fillId="8" borderId="5" xfId="1" applyFont="1" applyFill="1" applyBorder="1" applyAlignment="1">
      <alignment horizontal="right" vertical="center"/>
    </xf>
    <xf numFmtId="44" fontId="3" fillId="0" borderId="7" xfId="1" applyFont="1" applyBorder="1" applyAlignment="1">
      <alignment horizontal="right" vertical="center"/>
    </xf>
    <xf numFmtId="166" fontId="3" fillId="0" borderId="0" xfId="1" applyNumberFormat="1" applyFont="1"/>
    <xf numFmtId="164" fontId="3" fillId="0" borderId="0" xfId="2" applyNumberFormat="1" applyFont="1"/>
    <xf numFmtId="165" fontId="2" fillId="0" borderId="5" xfId="3" applyNumberFormat="1" applyFont="1" applyFill="1" applyBorder="1" applyAlignment="1">
      <alignment horizontal="right" vertical="center"/>
    </xf>
    <xf numFmtId="164" fontId="8" fillId="0" borderId="10" xfId="2" applyNumberFormat="1" applyFont="1" applyBorder="1" applyAlignment="1">
      <alignment horizontal="center"/>
    </xf>
    <xf numFmtId="164" fontId="3" fillId="0" borderId="0" xfId="1" applyNumberFormat="1" applyFont="1"/>
    <xf numFmtId="44" fontId="3" fillId="0" borderId="0" xfId="2" applyNumberFormat="1" applyFont="1"/>
    <xf numFmtId="164" fontId="2" fillId="6" borderId="5" xfId="3" applyNumberFormat="1" applyFont="1" applyFill="1" applyBorder="1" applyAlignment="1">
      <alignment horizontal="right" vertical="center"/>
    </xf>
    <xf numFmtId="165" fontId="3" fillId="0" borderId="0" xfId="2" applyNumberFormat="1" applyFont="1"/>
    <xf numFmtId="0" fontId="13" fillId="0" borderId="5" xfId="0" applyFont="1" applyBorder="1" applyAlignment="1">
      <alignment horizontal="left" vertical="center" wrapText="1"/>
    </xf>
    <xf numFmtId="44" fontId="14" fillId="0" borderId="5" xfId="1" applyFont="1" applyFill="1" applyBorder="1" applyAlignment="1">
      <alignment horizontal="right" vertical="center"/>
    </xf>
    <xf numFmtId="44" fontId="8" fillId="9" borderId="1" xfId="1" applyFont="1" applyFill="1" applyBorder="1" applyAlignment="1">
      <alignment horizontal="center"/>
    </xf>
    <xf numFmtId="164" fontId="8" fillId="9" borderId="3" xfId="2" applyNumberFormat="1" applyFont="1" applyFill="1" applyBorder="1" applyAlignment="1">
      <alignment horizontal="center"/>
    </xf>
    <xf numFmtId="164" fontId="8" fillId="0" borderId="5" xfId="2" applyNumberFormat="1" applyFont="1" applyBorder="1" applyAlignment="1">
      <alignment horizontal="center"/>
    </xf>
    <xf numFmtId="164" fontId="8" fillId="0" borderId="3" xfId="2" applyNumberFormat="1" applyFont="1" applyBorder="1" applyAlignment="1">
      <alignment horizontal="center"/>
    </xf>
    <xf numFmtId="164" fontId="2" fillId="6" borderId="5" xfId="1" applyNumberFormat="1" applyFont="1" applyFill="1" applyBorder="1" applyAlignment="1">
      <alignment horizontal="right" vertical="center"/>
    </xf>
    <xf numFmtId="167" fontId="2" fillId="14" borderId="5" xfId="1" applyNumberFormat="1" applyFont="1" applyFill="1" applyBorder="1" applyAlignment="1">
      <alignment horizontal="right" vertical="center"/>
    </xf>
    <xf numFmtId="165" fontId="3" fillId="0" borderId="5" xfId="3" applyNumberFormat="1" applyFont="1" applyBorder="1" applyAlignment="1">
      <alignment vertical="center"/>
    </xf>
    <xf numFmtId="165" fontId="3" fillId="15" borderId="5" xfId="3" applyNumberFormat="1" applyFont="1" applyFill="1" applyBorder="1" applyAlignment="1">
      <alignment vertical="center"/>
    </xf>
    <xf numFmtId="164" fontId="3" fillId="15" borderId="5" xfId="3" applyNumberFormat="1" applyFont="1" applyFill="1" applyBorder="1" applyAlignment="1">
      <alignment vertical="center"/>
    </xf>
    <xf numFmtId="0" fontId="3" fillId="15" borderId="5" xfId="2" applyFont="1" applyFill="1" applyBorder="1" applyAlignment="1">
      <alignment horizontal="justify" vertical="center" wrapText="1"/>
    </xf>
    <xf numFmtId="49" fontId="3" fillId="15" borderId="5" xfId="2" applyNumberFormat="1" applyFont="1" applyFill="1" applyBorder="1" applyAlignment="1">
      <alignment horizontal="center" vertical="center"/>
    </xf>
    <xf numFmtId="0" fontId="3" fillId="15" borderId="5" xfId="2" applyFont="1" applyFill="1" applyBorder="1" applyAlignment="1">
      <alignment horizontal="center" vertical="center"/>
    </xf>
    <xf numFmtId="4" fontId="3" fillId="15" borderId="5" xfId="2" applyNumberFormat="1" applyFont="1" applyFill="1" applyBorder="1" applyAlignment="1">
      <alignment horizontal="center" vertical="center"/>
    </xf>
    <xf numFmtId="165" fontId="3" fillId="15" borderId="5" xfId="3" applyNumberFormat="1" applyFont="1" applyFill="1" applyBorder="1" applyAlignment="1">
      <alignment horizontal="right" vertical="center"/>
    </xf>
    <xf numFmtId="165" fontId="3" fillId="15" borderId="0" xfId="3" applyNumberFormat="1" applyFont="1" applyFill="1" applyBorder="1" applyAlignment="1">
      <alignment horizontal="right" vertical="center"/>
    </xf>
    <xf numFmtId="44" fontId="8" fillId="15" borderId="6" xfId="1" applyFont="1" applyFill="1" applyBorder="1" applyAlignment="1">
      <alignment horizontal="center"/>
    </xf>
    <xf numFmtId="164" fontId="8" fillId="15" borderId="12" xfId="2" applyNumberFormat="1" applyFont="1" applyFill="1" applyBorder="1" applyAlignment="1">
      <alignment horizontal="center"/>
    </xf>
    <xf numFmtId="0" fontId="3" fillId="15" borderId="0" xfId="2" applyFont="1" applyFill="1"/>
    <xf numFmtId="44" fontId="8" fillId="15" borderId="11" xfId="1" applyFont="1" applyFill="1" applyBorder="1" applyAlignment="1">
      <alignment horizontal="center"/>
    </xf>
    <xf numFmtId="164" fontId="8" fillId="15" borderId="7" xfId="2" applyNumberFormat="1" applyFont="1" applyFill="1" applyBorder="1" applyAlignment="1">
      <alignment horizontal="center"/>
    </xf>
    <xf numFmtId="164" fontId="8" fillId="15" borderId="11" xfId="2" applyNumberFormat="1" applyFont="1" applyFill="1" applyBorder="1" applyAlignment="1">
      <alignment horizontal="center"/>
    </xf>
    <xf numFmtId="4" fontId="8" fillId="15" borderId="7" xfId="2" applyNumberFormat="1" applyFont="1" applyFill="1" applyBorder="1" applyAlignment="1">
      <alignment horizontal="center"/>
    </xf>
    <xf numFmtId="44" fontId="3" fillId="15" borderId="0" xfId="2" applyNumberFormat="1" applyFont="1" applyFill="1"/>
    <xf numFmtId="164" fontId="3" fillId="15" borderId="0" xfId="2" applyNumberFormat="1" applyFont="1" applyFill="1"/>
    <xf numFmtId="0" fontId="3" fillId="15" borderId="5" xfId="0" applyFont="1" applyFill="1" applyBorder="1" applyAlignment="1">
      <alignment horizontal="justify" vertical="center" wrapText="1"/>
    </xf>
    <xf numFmtId="49" fontId="3" fillId="15" borderId="1" xfId="2" applyNumberFormat="1" applyFont="1" applyFill="1" applyBorder="1" applyAlignment="1">
      <alignment horizontal="center" vertical="center"/>
    </xf>
    <xf numFmtId="0" fontId="3" fillId="15" borderId="5" xfId="2" applyFont="1" applyFill="1" applyBorder="1" applyAlignment="1">
      <alignment horizontal="left" vertical="center" wrapText="1"/>
    </xf>
    <xf numFmtId="44" fontId="2" fillId="0" borderId="0" xfId="3" applyFont="1" applyAlignment="1">
      <alignment horizontal="right" vertical="center"/>
    </xf>
    <xf numFmtId="164" fontId="14" fillId="0" borderId="5" xfId="1" applyNumberFormat="1" applyFont="1" applyFill="1" applyBorder="1" applyAlignment="1">
      <alignment horizontal="right" vertical="center"/>
    </xf>
    <xf numFmtId="44" fontId="15" fillId="0" borderId="0" xfId="1" applyFont="1" applyBorder="1" applyAlignment="1">
      <alignment horizontal="right" vertical="center"/>
    </xf>
    <xf numFmtId="165" fontId="3" fillId="0" borderId="5" xfId="3" applyNumberFormat="1" applyFont="1" applyFill="1" applyBorder="1" applyAlignment="1">
      <alignment vertical="center"/>
    </xf>
    <xf numFmtId="165" fontId="3" fillId="0" borderId="0" xfId="3" applyNumberFormat="1" applyFont="1" applyFill="1" applyBorder="1" applyAlignment="1">
      <alignment horizontal="right" vertical="center"/>
    </xf>
    <xf numFmtId="44" fontId="8" fillId="0" borderId="6" xfId="1" applyFont="1" applyFill="1" applyBorder="1" applyAlignment="1">
      <alignment horizontal="center"/>
    </xf>
    <xf numFmtId="0" fontId="2" fillId="0" borderId="0" xfId="2" applyFont="1" applyAlignment="1">
      <alignment horizontal="left" vertical="center"/>
    </xf>
    <xf numFmtId="0" fontId="3" fillId="0" borderId="0" xfId="2" applyFont="1" applyAlignment="1">
      <alignment horizontal="left" vertical="center"/>
    </xf>
    <xf numFmtId="0" fontId="6" fillId="8" borderId="1" xfId="2" applyFont="1" applyFill="1" applyBorder="1" applyAlignment="1">
      <alignment horizontal="right" vertical="center" wrapText="1"/>
    </xf>
    <xf numFmtId="0" fontId="6" fillId="8" borderId="2" xfId="2" applyFont="1" applyFill="1" applyBorder="1" applyAlignment="1">
      <alignment horizontal="right" vertical="center" wrapText="1"/>
    </xf>
    <xf numFmtId="0" fontId="6" fillId="8" borderId="3" xfId="2" applyFont="1" applyFill="1" applyBorder="1" applyAlignment="1">
      <alignment horizontal="right" vertical="center" wrapText="1"/>
    </xf>
    <xf numFmtId="0" fontId="2" fillId="8" borderId="1" xfId="2" applyFont="1" applyFill="1" applyBorder="1" applyAlignment="1">
      <alignment horizontal="right" vertical="center" wrapText="1"/>
    </xf>
    <xf numFmtId="0" fontId="2" fillId="8" borderId="2" xfId="2" applyFont="1" applyFill="1" applyBorder="1" applyAlignment="1">
      <alignment horizontal="right" vertical="center" wrapText="1"/>
    </xf>
    <xf numFmtId="0" fontId="2" fillId="8" borderId="3" xfId="2" applyFont="1" applyFill="1" applyBorder="1" applyAlignment="1">
      <alignment horizontal="right" vertical="center" wrapText="1"/>
    </xf>
    <xf numFmtId="0" fontId="2" fillId="7" borderId="1" xfId="2" applyFont="1" applyFill="1" applyBorder="1" applyAlignment="1">
      <alignment horizontal="right" vertical="center" wrapText="1"/>
    </xf>
    <xf numFmtId="0" fontId="2" fillId="7" borderId="2" xfId="2" applyFont="1" applyFill="1" applyBorder="1" applyAlignment="1">
      <alignment horizontal="right" vertical="center" wrapText="1"/>
    </xf>
    <xf numFmtId="0" fontId="2" fillId="7" borderId="3" xfId="2" applyFont="1" applyFill="1" applyBorder="1" applyAlignment="1">
      <alignment horizontal="right" vertical="center" wrapText="1"/>
    </xf>
    <xf numFmtId="0" fontId="12" fillId="2" borderId="1" xfId="2" applyFont="1" applyFill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49" fontId="2" fillId="3" borderId="4" xfId="2" applyNumberFormat="1" applyFont="1" applyFill="1" applyBorder="1" applyAlignment="1">
      <alignment horizontal="center" vertical="center"/>
    </xf>
    <xf numFmtId="49" fontId="2" fillId="3" borderId="6" xfId="2" applyNumberFormat="1" applyFont="1" applyFill="1" applyBorder="1" applyAlignment="1">
      <alignment horizontal="center" vertical="center"/>
    </xf>
    <xf numFmtId="0" fontId="2" fillId="0" borderId="0" xfId="2" applyFont="1" applyAlignment="1">
      <alignment horizontal="left"/>
    </xf>
    <xf numFmtId="0" fontId="3" fillId="0" borderId="0" xfId="2" applyFont="1" applyAlignment="1">
      <alignment horizontal="left"/>
    </xf>
    <xf numFmtId="0" fontId="2" fillId="0" borderId="0" xfId="2" applyFont="1" applyAlignment="1">
      <alignment horizontal="left" wrapText="1"/>
    </xf>
    <xf numFmtId="0" fontId="3" fillId="0" borderId="0" xfId="2" applyFont="1" applyAlignment="1">
      <alignment horizontal="left" wrapText="1"/>
    </xf>
    <xf numFmtId="0" fontId="2" fillId="10" borderId="8" xfId="2" applyFont="1" applyFill="1" applyBorder="1" applyAlignment="1">
      <alignment horizontal="center" vertical="center" wrapText="1"/>
    </xf>
    <xf numFmtId="0" fontId="7" fillId="10" borderId="8" xfId="2" applyFont="1" applyFill="1" applyBorder="1" applyAlignment="1">
      <alignment horizontal="center" vertical="center" wrapText="1"/>
    </xf>
    <xf numFmtId="0" fontId="7" fillId="10" borderId="9" xfId="2" applyFont="1" applyFill="1" applyBorder="1" applyAlignment="1">
      <alignment horizontal="center" vertical="center" wrapText="1"/>
    </xf>
    <xf numFmtId="44" fontId="2" fillId="12" borderId="8" xfId="1" applyFont="1" applyFill="1" applyBorder="1" applyAlignment="1">
      <alignment horizontal="center" vertical="center" wrapText="1"/>
    </xf>
    <xf numFmtId="44" fontId="2" fillId="12" borderId="9" xfId="1" applyFont="1" applyFill="1" applyBorder="1" applyAlignment="1">
      <alignment horizontal="center" vertical="center" wrapText="1"/>
    </xf>
    <xf numFmtId="44" fontId="2" fillId="13" borderId="8" xfId="1" applyFont="1" applyFill="1" applyBorder="1" applyAlignment="1">
      <alignment horizontal="center" vertical="center" wrapText="1"/>
    </xf>
    <xf numFmtId="44" fontId="2" fillId="13" borderId="9" xfId="1" applyFont="1" applyFill="1" applyBorder="1" applyAlignment="1">
      <alignment horizontal="center" vertical="center" wrapText="1"/>
    </xf>
    <xf numFmtId="44" fontId="2" fillId="14" borderId="8" xfId="1" applyFont="1" applyFill="1" applyBorder="1" applyAlignment="1">
      <alignment horizontal="center" vertical="center" wrapText="1"/>
    </xf>
    <xf numFmtId="44" fontId="2" fillId="14" borderId="9" xfId="1" applyFont="1" applyFill="1" applyBorder="1" applyAlignment="1">
      <alignment horizontal="center" vertical="center" wrapText="1"/>
    </xf>
    <xf numFmtId="0" fontId="2" fillId="11" borderId="8" xfId="2" applyFont="1" applyFill="1" applyBorder="1" applyAlignment="1">
      <alignment horizontal="center" vertical="center" wrapText="1"/>
    </xf>
    <xf numFmtId="0" fontId="2" fillId="11" borderId="9" xfId="2" applyFont="1" applyFill="1" applyBorder="1" applyAlignment="1">
      <alignment horizontal="center" vertical="center" wrapText="1"/>
    </xf>
  </cellXfs>
  <cellStyles count="4">
    <cellStyle name="Moneda" xfId="1" builtinId="4"/>
    <cellStyle name="Moneda 3" xfId="3" xr:uid="{3D721FE2-75DD-443B-B634-0A3ECE5DA331}"/>
    <cellStyle name="Normal" xfId="0" builtinId="0"/>
    <cellStyle name="Normal 2 2" xfId="2" xr:uid="{E0ADE7B8-4922-41B6-9548-D92BC2FD94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13656</xdr:colOff>
      <xdr:row>0</xdr:row>
      <xdr:rowOff>6829</xdr:rowOff>
    </xdr:from>
    <xdr:to>
      <xdr:col>7</xdr:col>
      <xdr:colOff>15240</xdr:colOff>
      <xdr:row>5</xdr:row>
      <xdr:rowOff>129541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D2AD6D4-0FD9-483D-B400-8D72BACBFE0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656" y="6829"/>
          <a:ext cx="9694224" cy="915192"/>
        </a:xfrm>
        <a:prstGeom prst="rect">
          <a:avLst/>
        </a:prstGeom>
      </xdr:spPr>
    </xdr:pic>
    <xdr:clientData/>
  </xdr:twoCellAnchor>
  <xdr:twoCellAnchor>
    <xdr:from>
      <xdr:col>0</xdr:col>
      <xdr:colOff>219075</xdr:colOff>
      <xdr:row>5</xdr:row>
      <xdr:rowOff>127000</xdr:rowOff>
    </xdr:from>
    <xdr:to>
      <xdr:col>7</xdr:col>
      <xdr:colOff>0</xdr:colOff>
      <xdr:row>6</xdr:row>
      <xdr:rowOff>565149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184C3A25-6B34-404E-A087-48D19C262981}"/>
            </a:ext>
          </a:extLst>
        </xdr:cNvPr>
        <xdr:cNvSpPr txBox="1">
          <a:spLocks noChangeArrowheads="1"/>
        </xdr:cNvSpPr>
      </xdr:nvSpPr>
      <xdr:spPr bwMode="auto">
        <a:xfrm>
          <a:off x="219075" y="919480"/>
          <a:ext cx="9473565" cy="582929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sz="1600" b="1" i="0" u="none" strike="noStrike" baseline="0">
              <a:solidFill>
                <a:srgbClr val="000000"/>
              </a:solidFill>
              <a:latin typeface="Aptos Narrow"/>
            </a:rPr>
            <a:t>OBJETO: ADECUACIÓN, REMODELACIÓN Y MEJORAS DE INFRAESTRUCTURA FISICA, ELECTRICA Y DE VOZ Y DATOS DEL PISO 3 EDIFICIO PERSONERIA DE PEREIRA.</a:t>
          </a:r>
        </a:p>
        <a:p>
          <a:pPr algn="l" rtl="0">
            <a:defRPr sz="1000"/>
          </a:pPr>
          <a:endParaRPr lang="en-US" sz="1400" b="1" i="0" u="none" strike="noStrike" baseline="0">
            <a:solidFill>
              <a:srgbClr val="000000"/>
            </a:solidFill>
            <a:latin typeface="Aptos Narrow"/>
          </a:endParaRPr>
        </a:p>
      </xdr:txBody>
    </xdr:sp>
    <xdr:clientData/>
  </xdr:twoCellAnchor>
  <xdr:twoCellAnchor editAs="oneCell">
    <xdr:from>
      <xdr:col>4</xdr:col>
      <xdr:colOff>464302</xdr:colOff>
      <xdr:row>1</xdr:row>
      <xdr:rowOff>47796</xdr:rowOff>
    </xdr:from>
    <xdr:to>
      <xdr:col>6</xdr:col>
      <xdr:colOff>605095</xdr:colOff>
      <xdr:row>4</xdr:row>
      <xdr:rowOff>131623</xdr:rowOff>
    </xdr:to>
    <xdr:pic>
      <xdr:nvPicPr>
        <xdr:cNvPr id="4" name="Imagen 3" descr="Texto&#10;&#10;Descripción generada automáticamente">
          <a:extLst>
            <a:ext uri="{FF2B5EF4-FFF2-40B4-BE49-F238E27FC236}">
              <a16:creationId xmlns:a16="http://schemas.microsoft.com/office/drawing/2014/main" id="{1D8B61F9-D731-431D-99A2-7E6A8E3E89EC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80342" y="192576"/>
          <a:ext cx="2000073" cy="58674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13656</xdr:colOff>
      <xdr:row>0</xdr:row>
      <xdr:rowOff>6829</xdr:rowOff>
    </xdr:from>
    <xdr:to>
      <xdr:col>7</xdr:col>
      <xdr:colOff>15240</xdr:colOff>
      <xdr:row>5</xdr:row>
      <xdr:rowOff>129541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E282031-9CE2-4CC2-9B13-60176BE6958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656" y="6829"/>
          <a:ext cx="9694224" cy="915192"/>
        </a:xfrm>
        <a:prstGeom prst="rect">
          <a:avLst/>
        </a:prstGeom>
      </xdr:spPr>
    </xdr:pic>
    <xdr:clientData/>
  </xdr:twoCellAnchor>
  <xdr:twoCellAnchor>
    <xdr:from>
      <xdr:col>0</xdr:col>
      <xdr:colOff>219075</xdr:colOff>
      <xdr:row>5</xdr:row>
      <xdr:rowOff>127000</xdr:rowOff>
    </xdr:from>
    <xdr:to>
      <xdr:col>7</xdr:col>
      <xdr:colOff>0</xdr:colOff>
      <xdr:row>6</xdr:row>
      <xdr:rowOff>565149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3AB35317-B4C5-4C85-8A3E-098EE6DCDD3C}"/>
            </a:ext>
          </a:extLst>
        </xdr:cNvPr>
        <xdr:cNvSpPr txBox="1">
          <a:spLocks noChangeArrowheads="1"/>
        </xdr:cNvSpPr>
      </xdr:nvSpPr>
      <xdr:spPr bwMode="auto">
        <a:xfrm>
          <a:off x="219075" y="908050"/>
          <a:ext cx="9467850" cy="58102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sz="1600" b="1" i="0" u="none" strike="noStrike" baseline="0">
              <a:solidFill>
                <a:srgbClr val="000000"/>
              </a:solidFill>
              <a:latin typeface="Aptos Narrow"/>
            </a:rPr>
            <a:t>OBJETO: ADECUACIÓN, REMODELACIÓN Y MEJORAS DE INFRAESTRUCTURA FISICA, ELECTRICA Y DE VOZ Y DATOS DEL PISO 3 EDIFICIO PERSONERIA DE PEREIRA.</a:t>
          </a:r>
        </a:p>
        <a:p>
          <a:pPr algn="l" rtl="0">
            <a:defRPr sz="1000"/>
          </a:pPr>
          <a:endParaRPr lang="en-US" sz="1400" b="1" i="0" u="none" strike="noStrike" baseline="0">
            <a:solidFill>
              <a:srgbClr val="000000"/>
            </a:solidFill>
            <a:latin typeface="Aptos Narrow"/>
          </a:endParaRPr>
        </a:p>
      </xdr:txBody>
    </xdr:sp>
    <xdr:clientData/>
  </xdr:twoCellAnchor>
  <xdr:twoCellAnchor editAs="oneCell">
    <xdr:from>
      <xdr:col>4</xdr:col>
      <xdr:colOff>464302</xdr:colOff>
      <xdr:row>1</xdr:row>
      <xdr:rowOff>47796</xdr:rowOff>
    </xdr:from>
    <xdr:to>
      <xdr:col>6</xdr:col>
      <xdr:colOff>605095</xdr:colOff>
      <xdr:row>4</xdr:row>
      <xdr:rowOff>131623</xdr:rowOff>
    </xdr:to>
    <xdr:pic>
      <xdr:nvPicPr>
        <xdr:cNvPr id="5" name="Imagen 4" descr="Texto&#10;&#10;Descripción generada automáticamente">
          <a:extLst>
            <a:ext uri="{FF2B5EF4-FFF2-40B4-BE49-F238E27FC236}">
              <a16:creationId xmlns:a16="http://schemas.microsoft.com/office/drawing/2014/main" id="{BA6F962B-2D98-4DDA-AA3A-7F227F2ADB35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880342" y="192576"/>
          <a:ext cx="2000073" cy="58674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user/Desktop/GCON/GERENCIA%20-%20SITIO%20PROPIO/RELACION%20DE%20INGRESOS%20Y%20GASTOS%20-%20SITIO%20PROPI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LACION DE INGRESOS Y GASTOS"/>
      <sheetName val="GASTOS E INGRESOS MENSUALES"/>
    </sheetNames>
    <sheetDataSet>
      <sheetData sheetId="0">
        <row r="5">
          <cell r="D5" t="str">
            <v>Introduzca la referencia/Descripción que desea sumar</v>
          </cell>
        </row>
        <row r="6">
          <cell r="D6" t="str">
            <v xml:space="preserve">Préstamo coliseo Interesés caiman </v>
          </cell>
        </row>
        <row r="8">
          <cell r="D8" t="str">
            <v>Referencia / Descripción del gasto / Ingreso</v>
          </cell>
        </row>
        <row r="9">
          <cell r="D9" t="str">
            <v xml:space="preserve">Prestamo </v>
          </cell>
        </row>
        <row r="10">
          <cell r="D10" t="str">
            <v>Pago de Bloque colonial de 10x20x30 de 6 huecos, 40 und</v>
          </cell>
        </row>
        <row r="11">
          <cell r="D11" t="str">
            <v>Transporte de Bloque colonial de 10x20x30 de 6 huecos</v>
          </cell>
        </row>
        <row r="507">
          <cell r="D507" t="str">
            <v xml:space="preserve">TOTAL 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87BC23-BEEE-4094-AF4B-33D05B226E45}">
  <sheetPr>
    <tabColor rgb="FF00B0F0"/>
    <pageSetUpPr fitToPage="1"/>
  </sheetPr>
  <dimension ref="B1:J97"/>
  <sheetViews>
    <sheetView view="pageBreakPreview" topLeftCell="A69" zoomScaleNormal="100" zoomScaleSheetLayoutView="100" workbookViewId="0">
      <selection activeCell="C92" sqref="C92"/>
    </sheetView>
  </sheetViews>
  <sheetFormatPr baseColWidth="10" defaultColWidth="11.5" defaultRowHeight="12" x14ac:dyDescent="0.2"/>
  <cols>
    <col min="1" max="1" width="3.25" style="1" customWidth="1"/>
    <col min="2" max="2" width="5.125" style="2" customWidth="1"/>
    <col min="3" max="3" width="62" style="3" customWidth="1"/>
    <col min="4" max="4" width="13.75" style="4" customWidth="1"/>
    <col min="5" max="5" width="10.25" style="5" customWidth="1"/>
    <col min="6" max="6" width="14.125" style="6" bestFit="1" customWidth="1"/>
    <col min="7" max="7" width="18.625" style="6" bestFit="1" customWidth="1"/>
    <col min="8" max="8" width="3.125" style="1" customWidth="1"/>
    <col min="9" max="9" width="11.5" style="1"/>
    <col min="10" max="10" width="18.375" style="1" customWidth="1"/>
    <col min="11" max="16384" width="11.5" style="1"/>
  </cols>
  <sheetData>
    <row r="1" spans="2:9" x14ac:dyDescent="0.2">
      <c r="B1" s="151" t="s">
        <v>0</v>
      </c>
      <c r="C1" s="152"/>
      <c r="D1" s="152"/>
      <c r="E1" s="152"/>
      <c r="F1" s="152"/>
      <c r="G1" s="152"/>
    </row>
    <row r="2" spans="2:9" x14ac:dyDescent="0.2">
      <c r="B2" s="151"/>
      <c r="C2" s="152"/>
      <c r="D2" s="152"/>
      <c r="E2" s="152"/>
      <c r="F2" s="152"/>
      <c r="G2" s="152"/>
    </row>
    <row r="3" spans="2:9" x14ac:dyDescent="0.2">
      <c r="B3" s="151" t="s">
        <v>0</v>
      </c>
      <c r="C3" s="152"/>
      <c r="D3" s="152"/>
      <c r="E3" s="152"/>
      <c r="F3" s="152"/>
      <c r="G3" s="152"/>
    </row>
    <row r="4" spans="2:9" ht="16.899999999999999" customHeight="1" x14ac:dyDescent="0.2">
      <c r="B4" s="153"/>
      <c r="C4" s="154"/>
      <c r="D4" s="154"/>
      <c r="E4" s="154"/>
      <c r="F4" s="154"/>
      <c r="G4" s="154"/>
    </row>
    <row r="5" spans="2:9" x14ac:dyDescent="0.2">
      <c r="B5" s="151" t="s">
        <v>0</v>
      </c>
      <c r="C5" s="152"/>
      <c r="D5" s="152"/>
      <c r="E5" s="152"/>
      <c r="F5" s="152"/>
      <c r="G5" s="152"/>
    </row>
    <row r="6" spans="2:9" x14ac:dyDescent="0.2">
      <c r="B6" s="151"/>
      <c r="C6" s="152"/>
      <c r="D6" s="152"/>
      <c r="E6" s="152"/>
      <c r="F6" s="152"/>
      <c r="G6" s="152"/>
    </row>
    <row r="7" spans="2:9" ht="50.1" customHeight="1" x14ac:dyDescent="0.2"/>
    <row r="8" spans="2:9" ht="18.600000000000001" customHeight="1" x14ac:dyDescent="0.2">
      <c r="B8" s="146" t="s">
        <v>1</v>
      </c>
      <c r="C8" s="147"/>
      <c r="D8" s="147"/>
      <c r="E8" s="147"/>
      <c r="F8" s="147"/>
      <c r="G8" s="148"/>
    </row>
    <row r="9" spans="2:9" ht="11.45" customHeight="1" x14ac:dyDescent="0.2">
      <c r="B9" s="149" t="s">
        <v>2</v>
      </c>
      <c r="C9" s="8" t="s">
        <v>3</v>
      </c>
      <c r="D9" s="9" t="s">
        <v>4</v>
      </c>
      <c r="E9" s="10" t="s">
        <v>5</v>
      </c>
      <c r="F9" s="11" t="s">
        <v>6</v>
      </c>
      <c r="G9" s="11" t="s">
        <v>7</v>
      </c>
    </row>
    <row r="10" spans="2:9" ht="12.75" customHeight="1" x14ac:dyDescent="0.2">
      <c r="B10" s="150"/>
      <c r="C10" s="12" t="s">
        <v>8</v>
      </c>
      <c r="D10" s="13"/>
      <c r="E10" s="14"/>
      <c r="F10" s="15"/>
      <c r="G10" s="16">
        <f>G11+G17+G23+G34+G48+G57</f>
        <v>364152402.77968693</v>
      </c>
    </row>
    <row r="11" spans="2:9" ht="14.45" customHeight="1" x14ac:dyDescent="0.2">
      <c r="B11" s="17">
        <v>1</v>
      </c>
      <c r="C11" s="17" t="s">
        <v>9</v>
      </c>
      <c r="D11" s="18"/>
      <c r="E11" s="19"/>
      <c r="F11" s="20"/>
      <c r="G11" s="21">
        <f>SUM(G12:G15)</f>
        <v>4767762.6892445013</v>
      </c>
    </row>
    <row r="12" spans="2:9" x14ac:dyDescent="0.2">
      <c r="B12" s="22" t="s">
        <v>10</v>
      </c>
      <c r="C12" s="23" t="s">
        <v>11</v>
      </c>
      <c r="D12" s="24" t="s">
        <v>12</v>
      </c>
      <c r="E12" s="27">
        <v>264.5</v>
      </c>
      <c r="F12" s="25">
        <f>'ESTUDIO DE MERCADO'!Q12</f>
        <v>3712.2550776705989</v>
      </c>
      <c r="G12" s="26">
        <f>+E12*F12</f>
        <v>981891.46804387344</v>
      </c>
      <c r="I12" s="93"/>
    </row>
    <row r="13" spans="2:9" ht="24" x14ac:dyDescent="0.2">
      <c r="B13" s="22" t="s">
        <v>13</v>
      </c>
      <c r="C13" s="23" t="s">
        <v>125</v>
      </c>
      <c r="D13" s="24" t="s">
        <v>12</v>
      </c>
      <c r="E13" s="27">
        <v>15</v>
      </c>
      <c r="F13" s="25">
        <f>'ESTUDIO DE MERCADO'!Q13</f>
        <v>19028.302220606802</v>
      </c>
      <c r="G13" s="26">
        <f t="shared" ref="G13:G15" si="0">+E13*F13</f>
        <v>285424.533309102</v>
      </c>
      <c r="I13" s="93"/>
    </row>
    <row r="14" spans="2:9" ht="24" x14ac:dyDescent="0.2">
      <c r="B14" s="22" t="s">
        <v>14</v>
      </c>
      <c r="C14" s="23" t="s">
        <v>126</v>
      </c>
      <c r="D14" s="24" t="s">
        <v>12</v>
      </c>
      <c r="E14" s="27">
        <v>124</v>
      </c>
      <c r="F14" s="25">
        <f>'ESTUDIO DE MERCADO'!Q14</f>
        <v>10021.211789933464</v>
      </c>
      <c r="G14" s="26">
        <f t="shared" si="0"/>
        <v>1242630.2619517497</v>
      </c>
      <c r="I14" s="93"/>
    </row>
    <row r="15" spans="2:9" x14ac:dyDescent="0.2">
      <c r="B15" s="22" t="s">
        <v>15</v>
      </c>
      <c r="C15" s="23" t="s">
        <v>16</v>
      </c>
      <c r="D15" s="24" t="s">
        <v>12</v>
      </c>
      <c r="E15" s="27">
        <v>232</v>
      </c>
      <c r="F15" s="25">
        <f>'ESTUDIO DE MERCADO'!Q15</f>
        <v>9731.9673531886874</v>
      </c>
      <c r="G15" s="26">
        <f t="shared" si="0"/>
        <v>2257816.4259397755</v>
      </c>
      <c r="I15" s="93"/>
    </row>
    <row r="16" spans="2:9" x14ac:dyDescent="0.2">
      <c r="F16" s="28"/>
      <c r="G16" s="28"/>
      <c r="I16" s="93"/>
    </row>
    <row r="17" spans="2:9" ht="14.45" customHeight="1" x14ac:dyDescent="0.2">
      <c r="B17" s="17">
        <v>2</v>
      </c>
      <c r="C17" s="17" t="s">
        <v>17</v>
      </c>
      <c r="D17" s="18"/>
      <c r="E17" s="19"/>
      <c r="F17" s="20"/>
      <c r="G17" s="21">
        <f>SUM(G18:G21)</f>
        <v>49603785.650308922</v>
      </c>
      <c r="I17" s="93"/>
    </row>
    <row r="18" spans="2:9" ht="24" x14ac:dyDescent="0.2">
      <c r="B18" s="53" t="s">
        <v>18</v>
      </c>
      <c r="C18" s="126" t="s">
        <v>102</v>
      </c>
      <c r="D18" s="55" t="s">
        <v>12</v>
      </c>
      <c r="E18" s="56">
        <v>137.5</v>
      </c>
      <c r="F18" s="57">
        <f>'ESTUDIO DE MERCADO'!Q18</f>
        <v>16128</v>
      </c>
      <c r="G18" s="58">
        <f t="shared" ref="G18:G21" si="1">+E18*F18</f>
        <v>2217600</v>
      </c>
      <c r="I18" s="93"/>
    </row>
    <row r="19" spans="2:9" ht="24" x14ac:dyDescent="0.2">
      <c r="B19" s="22" t="s">
        <v>19</v>
      </c>
      <c r="C19" s="23" t="s">
        <v>20</v>
      </c>
      <c r="D19" s="24" t="s">
        <v>12</v>
      </c>
      <c r="E19" s="27">
        <v>264.5</v>
      </c>
      <c r="F19" s="57">
        <f>'ESTUDIO DE MERCADO'!Q19</f>
        <v>155763.82183947199</v>
      </c>
      <c r="G19" s="34">
        <f t="shared" si="1"/>
        <v>41199530.87654034</v>
      </c>
      <c r="I19" s="93"/>
    </row>
    <row r="20" spans="2:9" x14ac:dyDescent="0.2">
      <c r="B20" s="22" t="s">
        <v>21</v>
      </c>
      <c r="C20" s="23" t="s">
        <v>22</v>
      </c>
      <c r="D20" s="24" t="s">
        <v>23</v>
      </c>
      <c r="E20" s="27">
        <v>10</v>
      </c>
      <c r="F20" s="57">
        <f>'ESTUDIO DE MERCADO'!Q20</f>
        <v>78269.563151734095</v>
      </c>
      <c r="G20" s="34">
        <f t="shared" si="1"/>
        <v>782695.63151734089</v>
      </c>
      <c r="I20" s="93"/>
    </row>
    <row r="21" spans="2:9" ht="24" x14ac:dyDescent="0.2">
      <c r="B21" s="22" t="s">
        <v>24</v>
      </c>
      <c r="C21" s="23" t="s">
        <v>25</v>
      </c>
      <c r="D21" s="24" t="s">
        <v>26</v>
      </c>
      <c r="E21" s="27">
        <v>219.3</v>
      </c>
      <c r="F21" s="57">
        <f>'ESTUDIO DE MERCADO'!Q21</f>
        <v>24641.856553813199</v>
      </c>
      <c r="G21" s="34">
        <f t="shared" si="1"/>
        <v>5403959.1422512345</v>
      </c>
      <c r="I21" s="93"/>
    </row>
    <row r="22" spans="2:9" x14ac:dyDescent="0.2">
      <c r="F22" s="28"/>
      <c r="G22" s="28"/>
      <c r="I22" s="93"/>
    </row>
    <row r="23" spans="2:9" x14ac:dyDescent="0.2">
      <c r="B23" s="17">
        <v>3</v>
      </c>
      <c r="C23" s="17" t="s">
        <v>27</v>
      </c>
      <c r="D23" s="18"/>
      <c r="E23" s="19"/>
      <c r="F23" s="20"/>
      <c r="G23" s="21">
        <f>SUM(G24:G32)</f>
        <v>219082906.47392932</v>
      </c>
      <c r="I23" s="93"/>
    </row>
    <row r="24" spans="2:9" ht="24" x14ac:dyDescent="0.2">
      <c r="B24" s="29" t="s">
        <v>28</v>
      </c>
      <c r="C24" s="51" t="s">
        <v>29</v>
      </c>
      <c r="D24" s="24" t="s">
        <v>30</v>
      </c>
      <c r="E24" s="52">
        <v>80</v>
      </c>
      <c r="F24" s="30">
        <f>'ESTUDIO DE MERCADO'!Q24</f>
        <v>106600</v>
      </c>
      <c r="G24" s="26">
        <f t="shared" ref="G24:G32" si="2">+E24*F24</f>
        <v>8528000</v>
      </c>
      <c r="I24" s="93"/>
    </row>
    <row r="25" spans="2:9" ht="24" x14ac:dyDescent="0.2">
      <c r="B25" s="29" t="s">
        <v>31</v>
      </c>
      <c r="C25" s="51" t="s">
        <v>32</v>
      </c>
      <c r="D25" s="24" t="s">
        <v>30</v>
      </c>
      <c r="E25" s="27">
        <v>4</v>
      </c>
      <c r="F25" s="30">
        <f>'ESTUDIO DE MERCADO'!Q25</f>
        <v>101174.136936444</v>
      </c>
      <c r="G25" s="26">
        <f>+E25*F25</f>
        <v>404696.54774577601</v>
      </c>
      <c r="I25" s="93"/>
    </row>
    <row r="26" spans="2:9" ht="24" x14ac:dyDescent="0.2">
      <c r="B26" s="29" t="s">
        <v>33</v>
      </c>
      <c r="C26" s="23" t="s">
        <v>39</v>
      </c>
      <c r="D26" s="24" t="s">
        <v>30</v>
      </c>
      <c r="E26" s="27">
        <v>21</v>
      </c>
      <c r="F26" s="30">
        <f>'ESTUDIO DE MERCADO'!Q26</f>
        <v>244178.31966132001</v>
      </c>
      <c r="G26" s="26">
        <f t="shared" si="2"/>
        <v>5127744.7128877202</v>
      </c>
      <c r="I26" s="93"/>
    </row>
    <row r="27" spans="2:9" ht="36" x14ac:dyDescent="0.2">
      <c r="B27" s="29" t="s">
        <v>34</v>
      </c>
      <c r="C27" s="51" t="s">
        <v>41</v>
      </c>
      <c r="D27" s="24" t="s">
        <v>30</v>
      </c>
      <c r="E27" s="27">
        <v>60</v>
      </c>
      <c r="F27" s="30">
        <f>'ESTUDIO DE MERCADO'!Q27</f>
        <v>438784.35506800498</v>
      </c>
      <c r="G27" s="26">
        <f t="shared" si="2"/>
        <v>26327061.3040803</v>
      </c>
      <c r="I27" s="93"/>
    </row>
    <row r="28" spans="2:9" ht="24" x14ac:dyDescent="0.2">
      <c r="B28" s="29" t="s">
        <v>35</v>
      </c>
      <c r="C28" s="23" t="s">
        <v>42</v>
      </c>
      <c r="D28" s="24" t="s">
        <v>12</v>
      </c>
      <c r="E28" s="27">
        <v>212</v>
      </c>
      <c r="F28" s="30">
        <f>'ESTUDIO DE MERCADO'!Q28</f>
        <v>40319.037514770498</v>
      </c>
      <c r="G28" s="26">
        <f t="shared" si="2"/>
        <v>8547635.953131346</v>
      </c>
      <c r="I28" s="93"/>
    </row>
    <row r="29" spans="2:9" x14ac:dyDescent="0.2">
      <c r="B29" s="127" t="s">
        <v>36</v>
      </c>
      <c r="C29" s="128" t="s">
        <v>43</v>
      </c>
      <c r="D29" s="24" t="s">
        <v>12</v>
      </c>
      <c r="E29" s="27">
        <v>264.5</v>
      </c>
      <c r="F29" s="30">
        <f>'ESTUDIO DE MERCADO'!Q29</f>
        <v>57450.838290742096</v>
      </c>
      <c r="G29" s="26">
        <f t="shared" si="2"/>
        <v>15195746.727901284</v>
      </c>
      <c r="I29" s="93"/>
    </row>
    <row r="30" spans="2:9" x14ac:dyDescent="0.2">
      <c r="B30" s="29" t="s">
        <v>37</v>
      </c>
      <c r="C30" s="51" t="s">
        <v>103</v>
      </c>
      <c r="D30" s="24" t="s">
        <v>12</v>
      </c>
      <c r="E30" s="27">
        <v>254</v>
      </c>
      <c r="F30" s="30">
        <f>'ESTUDIO DE MERCADO'!Q30</f>
        <v>51299</v>
      </c>
      <c r="G30" s="26">
        <f t="shared" si="2"/>
        <v>13029946</v>
      </c>
      <c r="I30" s="93"/>
    </row>
    <row r="31" spans="2:9" ht="48" x14ac:dyDescent="0.2">
      <c r="B31" s="29" t="s">
        <v>38</v>
      </c>
      <c r="C31" s="23" t="s">
        <v>104</v>
      </c>
      <c r="D31" s="24" t="s">
        <v>30</v>
      </c>
      <c r="E31" s="27">
        <v>4</v>
      </c>
      <c r="F31" s="30">
        <f>'ESTUDIO DE MERCADO'!Q31</f>
        <v>6280000</v>
      </c>
      <c r="G31" s="26">
        <f t="shared" si="2"/>
        <v>25120000</v>
      </c>
      <c r="I31" s="93"/>
    </row>
    <row r="32" spans="2:9" ht="36" x14ac:dyDescent="0.2">
      <c r="B32" s="29" t="s">
        <v>40</v>
      </c>
      <c r="C32" s="23" t="s">
        <v>44</v>
      </c>
      <c r="D32" s="24" t="s">
        <v>12</v>
      </c>
      <c r="E32" s="27">
        <v>44.769901066479399</v>
      </c>
      <c r="F32" s="30">
        <f>'ESTUDIO DE MERCADO'!Q32</f>
        <v>2608942</v>
      </c>
      <c r="G32" s="26">
        <f t="shared" si="2"/>
        <v>116802075.2281829</v>
      </c>
      <c r="I32" s="93"/>
    </row>
    <row r="33" spans="2:9" x14ac:dyDescent="0.2">
      <c r="B33" s="29"/>
      <c r="C33" s="31"/>
      <c r="D33" s="7"/>
      <c r="E33" s="32"/>
      <c r="F33" s="33"/>
      <c r="G33" s="26"/>
      <c r="I33" s="93"/>
    </row>
    <row r="34" spans="2:9" x14ac:dyDescent="0.2">
      <c r="B34" s="17">
        <v>4</v>
      </c>
      <c r="C34" s="17" t="s">
        <v>45</v>
      </c>
      <c r="D34" s="18"/>
      <c r="E34" s="19"/>
      <c r="F34" s="20"/>
      <c r="G34" s="21">
        <f>SUM(G35:G46)</f>
        <v>28141240.779537477</v>
      </c>
      <c r="I34" s="93"/>
    </row>
    <row r="35" spans="2:9" ht="24" x14ac:dyDescent="0.2">
      <c r="B35" s="22" t="s">
        <v>46</v>
      </c>
      <c r="C35" s="23" t="s">
        <v>47</v>
      </c>
      <c r="D35" s="24" t="s">
        <v>30</v>
      </c>
      <c r="E35" s="27">
        <v>24</v>
      </c>
      <c r="F35" s="25">
        <f>'ESTUDIO DE MERCADO'!Q35</f>
        <v>212400</v>
      </c>
      <c r="G35" s="26">
        <f t="shared" ref="G35:G46" si="3">+E35*F35</f>
        <v>5097600</v>
      </c>
      <c r="I35" s="93"/>
    </row>
    <row r="36" spans="2:9" ht="24" x14ac:dyDescent="0.2">
      <c r="B36" s="22" t="s">
        <v>48</v>
      </c>
      <c r="C36" s="23" t="s">
        <v>49</v>
      </c>
      <c r="D36" s="24" t="s">
        <v>23</v>
      </c>
      <c r="E36" s="27">
        <v>86</v>
      </c>
      <c r="F36" s="110">
        <f>'ESTUDIO DE MERCADO'!Q36</f>
        <v>24466</v>
      </c>
      <c r="G36" s="34">
        <f t="shared" si="3"/>
        <v>2104076</v>
      </c>
      <c r="I36" s="93"/>
    </row>
    <row r="37" spans="2:9" ht="36" x14ac:dyDescent="0.2">
      <c r="B37" s="22" t="s">
        <v>50</v>
      </c>
      <c r="C37" s="23" t="s">
        <v>51</v>
      </c>
      <c r="D37" s="24" t="s">
        <v>30</v>
      </c>
      <c r="E37" s="27">
        <v>3</v>
      </c>
      <c r="F37" s="25">
        <f>'ESTUDIO DE MERCADO'!Q37</f>
        <v>225589.372971506</v>
      </c>
      <c r="G37" s="26">
        <f t="shared" si="3"/>
        <v>676768.11891451804</v>
      </c>
      <c r="I37" s="93"/>
    </row>
    <row r="38" spans="2:9" ht="36" x14ac:dyDescent="0.2">
      <c r="B38" s="22" t="s">
        <v>52</v>
      </c>
      <c r="C38" s="23" t="s">
        <v>53</v>
      </c>
      <c r="D38" s="24" t="s">
        <v>30</v>
      </c>
      <c r="E38" s="27">
        <v>6</v>
      </c>
      <c r="F38" s="25">
        <f>'ESTUDIO DE MERCADO'!Q38</f>
        <v>238580.961785636</v>
      </c>
      <c r="G38" s="26">
        <f t="shared" si="3"/>
        <v>1431485.7707138159</v>
      </c>
      <c r="I38" s="93"/>
    </row>
    <row r="39" spans="2:9" ht="36" x14ac:dyDescent="0.2">
      <c r="B39" s="22" t="s">
        <v>54</v>
      </c>
      <c r="C39" s="23" t="s">
        <v>55</v>
      </c>
      <c r="D39" s="24" t="s">
        <v>30</v>
      </c>
      <c r="E39" s="27">
        <v>2</v>
      </c>
      <c r="F39" s="25">
        <f>'ESTUDIO DE MERCADO'!Q39</f>
        <v>254219</v>
      </c>
      <c r="G39" s="26">
        <f t="shared" si="3"/>
        <v>508438</v>
      </c>
      <c r="I39" s="93"/>
    </row>
    <row r="40" spans="2:9" ht="36" x14ac:dyDescent="0.2">
      <c r="B40" s="22" t="s">
        <v>56</v>
      </c>
      <c r="C40" s="23" t="s">
        <v>57</v>
      </c>
      <c r="D40" s="24" t="s">
        <v>30</v>
      </c>
      <c r="E40" s="27">
        <v>3</v>
      </c>
      <c r="F40" s="25">
        <f>'ESTUDIO DE MERCADO'!Q40</f>
        <v>276000</v>
      </c>
      <c r="G40" s="26">
        <f t="shared" si="3"/>
        <v>828000</v>
      </c>
      <c r="I40" s="93"/>
    </row>
    <row r="41" spans="2:9" ht="24" x14ac:dyDescent="0.2">
      <c r="B41" s="22" t="s">
        <v>58</v>
      </c>
      <c r="C41" s="23" t="s">
        <v>105</v>
      </c>
      <c r="D41" s="24" t="s">
        <v>30</v>
      </c>
      <c r="E41" s="27">
        <v>38</v>
      </c>
      <c r="F41" s="25">
        <f>'ESTUDIO DE MERCADO'!Q41</f>
        <v>243963</v>
      </c>
      <c r="G41" s="26">
        <f t="shared" si="3"/>
        <v>9270594</v>
      </c>
      <c r="I41" s="93"/>
    </row>
    <row r="42" spans="2:9" ht="24" x14ac:dyDescent="0.2">
      <c r="B42" s="22" t="s">
        <v>59</v>
      </c>
      <c r="C42" s="23" t="s">
        <v>60</v>
      </c>
      <c r="D42" s="24" t="s">
        <v>30</v>
      </c>
      <c r="E42" s="27">
        <v>7</v>
      </c>
      <c r="F42" s="25">
        <f>'ESTUDIO DE MERCADO'!Q42</f>
        <v>82543.002162600009</v>
      </c>
      <c r="G42" s="26">
        <f t="shared" si="3"/>
        <v>577801.01513820002</v>
      </c>
      <c r="I42" s="93"/>
    </row>
    <row r="43" spans="2:9" ht="24" x14ac:dyDescent="0.2">
      <c r="B43" s="22" t="s">
        <v>61</v>
      </c>
      <c r="C43" s="23" t="s">
        <v>62</v>
      </c>
      <c r="D43" s="24" t="s">
        <v>30</v>
      </c>
      <c r="E43" s="27">
        <v>10</v>
      </c>
      <c r="F43" s="25">
        <f>'ESTUDIO DE MERCADO'!Q43</f>
        <v>64543.002162600002</v>
      </c>
      <c r="G43" s="26">
        <f t="shared" si="3"/>
        <v>645430.02162600006</v>
      </c>
      <c r="I43" s="93"/>
    </row>
    <row r="44" spans="2:9" ht="24" x14ac:dyDescent="0.2">
      <c r="B44" s="22" t="s">
        <v>63</v>
      </c>
      <c r="C44" s="23" t="s">
        <v>64</v>
      </c>
      <c r="D44" s="24" t="s">
        <v>30</v>
      </c>
      <c r="E44" s="27">
        <v>9</v>
      </c>
      <c r="F44" s="25">
        <f>'ESTUDIO DE MERCADO'!Q44</f>
        <v>248695</v>
      </c>
      <c r="G44" s="34">
        <f t="shared" si="3"/>
        <v>2238255</v>
      </c>
      <c r="I44" s="93"/>
    </row>
    <row r="45" spans="2:9" ht="24" x14ac:dyDescent="0.2">
      <c r="B45" s="22" t="s">
        <v>65</v>
      </c>
      <c r="C45" s="23" t="s">
        <v>66</v>
      </c>
      <c r="D45" s="24" t="s">
        <v>30</v>
      </c>
      <c r="E45" s="27">
        <v>12</v>
      </c>
      <c r="F45" s="25">
        <f>'ESTUDIO DE MERCADO'!Q45</f>
        <v>364177</v>
      </c>
      <c r="G45" s="34">
        <f t="shared" si="3"/>
        <v>4370124</v>
      </c>
      <c r="I45" s="93"/>
    </row>
    <row r="46" spans="2:9" ht="24" x14ac:dyDescent="0.2">
      <c r="B46" s="22" t="s">
        <v>67</v>
      </c>
      <c r="C46" s="23" t="s">
        <v>68</v>
      </c>
      <c r="D46" s="24" t="s">
        <v>30</v>
      </c>
      <c r="E46" s="27">
        <v>4</v>
      </c>
      <c r="F46" s="25">
        <f>'ESTUDIO DE MERCADO'!Q46</f>
        <v>98167.213286234997</v>
      </c>
      <c r="G46" s="26">
        <f t="shared" si="3"/>
        <v>392668.85314493999</v>
      </c>
      <c r="I46" s="93"/>
    </row>
    <row r="47" spans="2:9" ht="11.45" customHeight="1" x14ac:dyDescent="0.2">
      <c r="C47" s="35"/>
      <c r="F47" s="36"/>
      <c r="G47" s="37"/>
      <c r="H47" s="37"/>
    </row>
    <row r="48" spans="2:9" x14ac:dyDescent="0.2">
      <c r="B48" s="17">
        <v>5</v>
      </c>
      <c r="C48" s="17" t="s">
        <v>89</v>
      </c>
      <c r="D48" s="18"/>
      <c r="E48" s="19"/>
      <c r="F48" s="20"/>
      <c r="G48" s="21">
        <f>SUM(G49:G55)</f>
        <v>44131354.019999996</v>
      </c>
      <c r="H48" s="37"/>
    </row>
    <row r="49" spans="2:8" x14ac:dyDescent="0.2">
      <c r="B49" s="22" t="s">
        <v>74</v>
      </c>
      <c r="C49" s="23" t="s">
        <v>106</v>
      </c>
      <c r="D49" s="24" t="s">
        <v>30</v>
      </c>
      <c r="E49" s="27">
        <v>2</v>
      </c>
      <c r="F49" s="108">
        <f>'ESTUDIO DE MERCADO'!Q49</f>
        <v>3260821.5100000002</v>
      </c>
      <c r="G49" s="34">
        <f t="shared" ref="G49:G55" si="4">+E49*F49</f>
        <v>6521643.0200000005</v>
      </c>
      <c r="H49" s="37"/>
    </row>
    <row r="50" spans="2:8" ht="24" x14ac:dyDescent="0.2">
      <c r="B50" s="22" t="s">
        <v>76</v>
      </c>
      <c r="C50" s="23" t="s">
        <v>109</v>
      </c>
      <c r="D50" s="24" t="s">
        <v>23</v>
      </c>
      <c r="E50" s="27">
        <v>105</v>
      </c>
      <c r="F50" s="109">
        <f>+'ESTUDIO DE MERCADO'!F50</f>
        <v>24466</v>
      </c>
      <c r="G50" s="34">
        <f t="shared" si="4"/>
        <v>2568930</v>
      </c>
      <c r="H50" s="37"/>
    </row>
    <row r="51" spans="2:8" x14ac:dyDescent="0.2">
      <c r="B51" s="22" t="s">
        <v>77</v>
      </c>
      <c r="C51" s="100" t="s">
        <v>90</v>
      </c>
      <c r="D51" s="24" t="s">
        <v>30</v>
      </c>
      <c r="E51" s="56">
        <v>3</v>
      </c>
      <c r="F51" s="108">
        <f>'ESTUDIO DE MERCADO'!Q51</f>
        <v>284390</v>
      </c>
      <c r="G51" s="34">
        <f t="shared" si="4"/>
        <v>853170</v>
      </c>
      <c r="H51" s="37"/>
    </row>
    <row r="52" spans="2:8" ht="24" x14ac:dyDescent="0.2">
      <c r="B52" s="22" t="s">
        <v>78</v>
      </c>
      <c r="C52" s="100" t="s">
        <v>91</v>
      </c>
      <c r="D52" s="24" t="s">
        <v>30</v>
      </c>
      <c r="E52" s="56">
        <v>31</v>
      </c>
      <c r="F52" s="108">
        <f>'ESTUDIO DE MERCADO'!Q52</f>
        <v>180496</v>
      </c>
      <c r="G52" s="34">
        <f t="shared" si="4"/>
        <v>5595376</v>
      </c>
      <c r="H52" s="37"/>
    </row>
    <row r="53" spans="2:8" ht="24" x14ac:dyDescent="0.2">
      <c r="B53" s="22" t="s">
        <v>92</v>
      </c>
      <c r="C53" s="100" t="s">
        <v>93</v>
      </c>
      <c r="D53" s="24" t="s">
        <v>30</v>
      </c>
      <c r="E53" s="56">
        <v>32</v>
      </c>
      <c r="F53" s="108">
        <f>'ESTUDIO DE MERCADO'!Q53</f>
        <v>561998</v>
      </c>
      <c r="G53" s="34">
        <f t="shared" si="4"/>
        <v>17983936</v>
      </c>
      <c r="H53" s="37"/>
    </row>
    <row r="54" spans="2:8" ht="24" x14ac:dyDescent="0.2">
      <c r="B54" s="22" t="s">
        <v>94</v>
      </c>
      <c r="C54" s="100" t="s">
        <v>95</v>
      </c>
      <c r="D54" s="24" t="s">
        <v>30</v>
      </c>
      <c r="E54" s="56">
        <v>32</v>
      </c>
      <c r="F54" s="108">
        <f>'ESTUDIO DE MERCADO'!Q54</f>
        <v>308826</v>
      </c>
      <c r="G54" s="34">
        <f t="shared" si="4"/>
        <v>9882432</v>
      </c>
      <c r="H54" s="37"/>
    </row>
    <row r="55" spans="2:8" ht="24" x14ac:dyDescent="0.2">
      <c r="B55" s="22" t="s">
        <v>96</v>
      </c>
      <c r="C55" s="100" t="s">
        <v>97</v>
      </c>
      <c r="D55" s="24" t="s">
        <v>30</v>
      </c>
      <c r="E55" s="56">
        <v>1</v>
      </c>
      <c r="F55" s="108">
        <f>'ESTUDIO DE MERCADO'!Q55</f>
        <v>725867</v>
      </c>
      <c r="G55" s="34">
        <f t="shared" si="4"/>
        <v>725867</v>
      </c>
      <c r="H55" s="37"/>
    </row>
    <row r="56" spans="2:8" x14ac:dyDescent="0.2">
      <c r="C56" s="35"/>
      <c r="F56" s="36"/>
      <c r="G56" s="37"/>
      <c r="H56" s="37"/>
    </row>
    <row r="57" spans="2:8" ht="24" x14ac:dyDescent="0.2">
      <c r="B57" s="17">
        <v>6</v>
      </c>
      <c r="C57" s="17" t="s">
        <v>110</v>
      </c>
      <c r="D57" s="18"/>
      <c r="E57" s="19"/>
      <c r="F57" s="20"/>
      <c r="G57" s="21">
        <f>SUM(G58:G63)</f>
        <v>18425353.166666668</v>
      </c>
      <c r="H57" s="37"/>
    </row>
    <row r="58" spans="2:8" ht="36" x14ac:dyDescent="0.2">
      <c r="B58" s="22" t="s">
        <v>98</v>
      </c>
      <c r="C58" s="23" t="s">
        <v>111</v>
      </c>
      <c r="D58" s="24" t="s">
        <v>12</v>
      </c>
      <c r="E58" s="27">
        <v>45</v>
      </c>
      <c r="F58" s="132">
        <f>'ESTUDIO DE MERCADO'!Q58</f>
        <v>167690.33333333334</v>
      </c>
      <c r="G58" s="34">
        <f t="shared" ref="G58:G63" si="5">+E58*F58</f>
        <v>7546065</v>
      </c>
      <c r="H58" s="37"/>
    </row>
    <row r="59" spans="2:8" ht="24" x14ac:dyDescent="0.2">
      <c r="B59" s="22" t="s">
        <v>99</v>
      </c>
      <c r="C59" s="100" t="s">
        <v>112</v>
      </c>
      <c r="D59" s="24" t="s">
        <v>12</v>
      </c>
      <c r="E59" s="56">
        <v>72</v>
      </c>
      <c r="F59" s="108">
        <f>'ESTUDIO DE MERCADO'!Q59</f>
        <v>6054.333333333333</v>
      </c>
      <c r="G59" s="34">
        <f t="shared" si="5"/>
        <v>435912</v>
      </c>
      <c r="H59" s="37"/>
    </row>
    <row r="60" spans="2:8" ht="24" x14ac:dyDescent="0.2">
      <c r="B60" s="22" t="s">
        <v>100</v>
      </c>
      <c r="C60" s="100" t="s">
        <v>114</v>
      </c>
      <c r="D60" s="24" t="s">
        <v>23</v>
      </c>
      <c r="E60" s="56">
        <v>68.400000000000006</v>
      </c>
      <c r="F60" s="108">
        <f>'ESTUDIO DE MERCADO'!Q60</f>
        <v>11139.333333333334</v>
      </c>
      <c r="G60" s="34">
        <f t="shared" si="5"/>
        <v>761930.40000000014</v>
      </c>
      <c r="H60" s="37"/>
    </row>
    <row r="61" spans="2:8" ht="48" x14ac:dyDescent="0.2">
      <c r="B61" s="22" t="s">
        <v>113</v>
      </c>
      <c r="C61" s="100" t="s">
        <v>116</v>
      </c>
      <c r="D61" s="24" t="s">
        <v>12</v>
      </c>
      <c r="E61" s="56">
        <v>212</v>
      </c>
      <c r="F61" s="108">
        <f>'ESTUDIO DE MERCADO'!Q61</f>
        <v>37787.666666666664</v>
      </c>
      <c r="G61" s="34">
        <f t="shared" si="5"/>
        <v>8010985.333333333</v>
      </c>
      <c r="H61" s="37"/>
    </row>
    <row r="62" spans="2:8" ht="24" x14ac:dyDescent="0.2">
      <c r="B62" s="22" t="s">
        <v>115</v>
      </c>
      <c r="C62" s="100" t="s">
        <v>118</v>
      </c>
      <c r="D62" s="24" t="s">
        <v>12</v>
      </c>
      <c r="E62" s="56">
        <v>39.700000000000003</v>
      </c>
      <c r="F62" s="108">
        <f>'ESTUDIO DE MERCADO'!Q62</f>
        <v>32693</v>
      </c>
      <c r="G62" s="34">
        <f t="shared" si="5"/>
        <v>1297912.1000000001</v>
      </c>
      <c r="H62" s="37"/>
    </row>
    <row r="63" spans="2:8" ht="24" x14ac:dyDescent="0.2">
      <c r="B63" s="22" t="s">
        <v>117</v>
      </c>
      <c r="C63" s="100" t="s">
        <v>119</v>
      </c>
      <c r="D63" s="24" t="s">
        <v>120</v>
      </c>
      <c r="E63" s="56">
        <v>2.5</v>
      </c>
      <c r="F63" s="108">
        <f>'ESTUDIO DE MERCADO'!Q63</f>
        <v>149019.33333333334</v>
      </c>
      <c r="G63" s="34">
        <f t="shared" si="5"/>
        <v>372548.33333333337</v>
      </c>
      <c r="H63" s="37"/>
    </row>
    <row r="64" spans="2:8" x14ac:dyDescent="0.2">
      <c r="C64" s="35"/>
      <c r="F64" s="36"/>
      <c r="G64" s="37"/>
      <c r="H64" s="37"/>
    </row>
    <row r="65" spans="2:10" ht="6.6" customHeight="1" x14ac:dyDescent="0.2">
      <c r="B65" s="38"/>
      <c r="H65" s="6"/>
    </row>
    <row r="66" spans="2:10" x14ac:dyDescent="0.2">
      <c r="B66" s="39"/>
      <c r="C66" s="140" t="s">
        <v>69</v>
      </c>
      <c r="D66" s="141"/>
      <c r="E66" s="141"/>
      <c r="F66" s="142"/>
      <c r="G66" s="98">
        <f>G10</f>
        <v>364152402.77968693</v>
      </c>
    </row>
    <row r="67" spans="2:10" x14ac:dyDescent="0.2">
      <c r="B67" s="1"/>
      <c r="C67" s="1"/>
      <c r="D67" s="1"/>
      <c r="E67" s="1"/>
      <c r="F67" s="1"/>
      <c r="G67" s="1"/>
    </row>
    <row r="68" spans="2:10" x14ac:dyDescent="0.2">
      <c r="B68" s="40"/>
      <c r="C68" s="143" t="s">
        <v>84</v>
      </c>
      <c r="D68" s="144"/>
      <c r="E68" s="144"/>
      <c r="F68" s="145"/>
      <c r="G68" s="41">
        <f>SUM(G69:G71)</f>
        <v>109245720.83390607</v>
      </c>
    </row>
    <row r="69" spans="2:10" x14ac:dyDescent="0.2">
      <c r="B69" s="40"/>
      <c r="C69" s="143" t="s">
        <v>70</v>
      </c>
      <c r="D69" s="144"/>
      <c r="E69" s="144"/>
      <c r="F69" s="145"/>
      <c r="G69" s="26">
        <f>+$G$66*24%</f>
        <v>87396576.667124853</v>
      </c>
    </row>
    <row r="70" spans="2:10" x14ac:dyDescent="0.2">
      <c r="B70" s="40"/>
      <c r="C70" s="143" t="s">
        <v>71</v>
      </c>
      <c r="D70" s="144"/>
      <c r="E70" s="144"/>
      <c r="F70" s="145"/>
      <c r="G70" s="26">
        <f>+$G$66*1%</f>
        <v>3641524.0277968692</v>
      </c>
    </row>
    <row r="71" spans="2:10" x14ac:dyDescent="0.2">
      <c r="B71" s="42"/>
      <c r="C71" s="143" t="s">
        <v>72</v>
      </c>
      <c r="D71" s="144"/>
      <c r="E71" s="144"/>
      <c r="F71" s="145"/>
      <c r="G71" s="26">
        <f>+$G$66*5%</f>
        <v>18207620.138984349</v>
      </c>
    </row>
    <row r="72" spans="2:10" x14ac:dyDescent="0.2">
      <c r="C72" s="35"/>
      <c r="F72" s="36"/>
      <c r="G72" s="36"/>
      <c r="H72" s="36"/>
      <c r="I72" s="36"/>
    </row>
    <row r="73" spans="2:10" x14ac:dyDescent="0.2">
      <c r="B73" s="43" t="s">
        <v>121</v>
      </c>
      <c r="C73" s="140" t="s">
        <v>73</v>
      </c>
      <c r="D73" s="141"/>
      <c r="E73" s="141"/>
      <c r="F73" s="142"/>
      <c r="G73" s="21">
        <f>SUM(G74:G76)</f>
        <v>10752063</v>
      </c>
    </row>
    <row r="74" spans="2:10" x14ac:dyDescent="0.2">
      <c r="B74" s="22" t="s">
        <v>122</v>
      </c>
      <c r="C74" s="23" t="s">
        <v>75</v>
      </c>
      <c r="D74" s="24" t="s">
        <v>30</v>
      </c>
      <c r="E74" s="27">
        <v>6</v>
      </c>
      <c r="F74" s="25">
        <f>'ESTUDIO DE MERCADO'!Q74</f>
        <v>1109204</v>
      </c>
      <c r="G74" s="26">
        <f t="shared" ref="G74:G76" si="6">+E74*F74</f>
        <v>6655224</v>
      </c>
    </row>
    <row r="75" spans="2:10" ht="24" x14ac:dyDescent="0.2">
      <c r="B75" s="22" t="s">
        <v>123</v>
      </c>
      <c r="C75" s="23" t="s">
        <v>107</v>
      </c>
      <c r="D75" s="24" t="s">
        <v>30</v>
      </c>
      <c r="E75" s="27">
        <v>1</v>
      </c>
      <c r="F75" s="25">
        <f>'ESTUDIO DE MERCADO'!Q75</f>
        <v>2891465</v>
      </c>
      <c r="G75" s="26">
        <f t="shared" si="6"/>
        <v>2891465</v>
      </c>
    </row>
    <row r="76" spans="2:10" x14ac:dyDescent="0.2">
      <c r="B76" s="22" t="s">
        <v>124</v>
      </c>
      <c r="C76" s="23" t="s">
        <v>79</v>
      </c>
      <c r="D76" s="24" t="s">
        <v>30</v>
      </c>
      <c r="E76" s="27">
        <v>1</v>
      </c>
      <c r="F76" s="25">
        <f>'ESTUDIO DE MERCADO'!Q76</f>
        <v>1205374</v>
      </c>
      <c r="G76" s="26">
        <f t="shared" si="6"/>
        <v>1205374</v>
      </c>
      <c r="J76" s="99"/>
    </row>
    <row r="77" spans="2:10" x14ac:dyDescent="0.2">
      <c r="B77" s="42"/>
      <c r="C77" s="143" t="s">
        <v>80</v>
      </c>
      <c r="D77" s="144"/>
      <c r="E77" s="144"/>
      <c r="F77" s="145"/>
      <c r="G77" s="21">
        <f>G73*1.12</f>
        <v>12042310.560000001</v>
      </c>
    </row>
    <row r="78" spans="2:10" x14ac:dyDescent="0.2">
      <c r="C78" s="44"/>
      <c r="D78" s="45"/>
      <c r="E78" s="45"/>
      <c r="F78" s="45"/>
      <c r="G78" s="46"/>
    </row>
    <row r="79" spans="2:10" x14ac:dyDescent="0.2">
      <c r="B79" s="39"/>
      <c r="C79" s="140" t="s">
        <v>83</v>
      </c>
      <c r="D79" s="141"/>
      <c r="E79" s="141"/>
      <c r="F79" s="142"/>
      <c r="G79" s="47">
        <f>G66+G68+G77</f>
        <v>485440434.17359298</v>
      </c>
    </row>
    <row r="80" spans="2:10" x14ac:dyDescent="0.2">
      <c r="B80" s="40"/>
      <c r="F80" s="48"/>
      <c r="G80" s="49"/>
    </row>
    <row r="81" spans="2:7" x14ac:dyDescent="0.2">
      <c r="B81" s="40"/>
      <c r="C81" s="140" t="s">
        <v>81</v>
      </c>
      <c r="D81" s="141"/>
      <c r="E81" s="141"/>
      <c r="F81" s="142"/>
      <c r="G81" s="47">
        <f>SUM(G82)</f>
        <v>3459447.8264070265</v>
      </c>
    </row>
    <row r="82" spans="2:7" x14ac:dyDescent="0.2">
      <c r="B82" s="40"/>
      <c r="C82" s="143" t="s">
        <v>82</v>
      </c>
      <c r="D82" s="144"/>
      <c r="E82" s="144"/>
      <c r="F82" s="145"/>
      <c r="G82" s="26">
        <f>+G71*19%</f>
        <v>3459447.8264070265</v>
      </c>
    </row>
    <row r="83" spans="2:7" x14ac:dyDescent="0.2">
      <c r="G83" s="50"/>
    </row>
    <row r="84" spans="2:7" ht="15.75" x14ac:dyDescent="0.2">
      <c r="B84" s="40"/>
      <c r="C84" s="137" t="s">
        <v>108</v>
      </c>
      <c r="D84" s="138"/>
      <c r="E84" s="138"/>
      <c r="F84" s="139"/>
      <c r="G84" s="47">
        <f>G81+G79</f>
        <v>488899882</v>
      </c>
    </row>
    <row r="87" spans="2:7" x14ac:dyDescent="0.2">
      <c r="G87" s="129">
        <v>488899882</v>
      </c>
    </row>
    <row r="88" spans="2:7" x14ac:dyDescent="0.2">
      <c r="G88" s="129">
        <f>+G87-G84</f>
        <v>0</v>
      </c>
    </row>
    <row r="91" spans="2:7" x14ac:dyDescent="0.2">
      <c r="C91" s="135" t="s">
        <v>129</v>
      </c>
    </row>
    <row r="92" spans="2:7" ht="80.099999999999994" customHeight="1" x14ac:dyDescent="0.2">
      <c r="C92" s="136" t="s">
        <v>133</v>
      </c>
    </row>
    <row r="93" spans="2:7" x14ac:dyDescent="0.2">
      <c r="C93" s="136" t="s">
        <v>127</v>
      </c>
    </row>
    <row r="94" spans="2:7" x14ac:dyDescent="0.2">
      <c r="C94" s="135" t="s">
        <v>130</v>
      </c>
    </row>
    <row r="95" spans="2:7" x14ac:dyDescent="0.2">
      <c r="C95" s="136" t="s">
        <v>128</v>
      </c>
    </row>
    <row r="96" spans="2:7" x14ac:dyDescent="0.2">
      <c r="C96" s="136" t="s">
        <v>131</v>
      </c>
    </row>
    <row r="97" spans="3:3" x14ac:dyDescent="0.2">
      <c r="C97" s="136" t="s">
        <v>132</v>
      </c>
    </row>
  </sheetData>
  <mergeCells count="19">
    <mergeCell ref="B8:G8"/>
    <mergeCell ref="B9:B10"/>
    <mergeCell ref="B1:G1"/>
    <mergeCell ref="B2:G2"/>
    <mergeCell ref="B3:G3"/>
    <mergeCell ref="B4:G4"/>
    <mergeCell ref="B5:G5"/>
    <mergeCell ref="B6:G6"/>
    <mergeCell ref="C84:F84"/>
    <mergeCell ref="C66:F66"/>
    <mergeCell ref="C68:F68"/>
    <mergeCell ref="C69:F69"/>
    <mergeCell ref="C70:F70"/>
    <mergeCell ref="C71:F71"/>
    <mergeCell ref="C73:F73"/>
    <mergeCell ref="C77:F77"/>
    <mergeCell ref="C79:F79"/>
    <mergeCell ref="C81:F81"/>
    <mergeCell ref="C82:F82"/>
  </mergeCells>
  <phoneticPr fontId="9" type="noConversion"/>
  <pageMargins left="0.7" right="0.7" top="0.75" bottom="0.75" header="0.3" footer="0.3"/>
  <pageSetup scale="65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DB9CBB-F73B-4A57-BB9F-76E33F7EAF13}">
  <sheetPr>
    <pageSetUpPr fitToPage="1"/>
  </sheetPr>
  <dimension ref="B1:X98"/>
  <sheetViews>
    <sheetView tabSelected="1" view="pageBreakPreview" topLeftCell="A75" zoomScale="115" zoomScaleNormal="90" zoomScaleSheetLayoutView="115" workbookViewId="0">
      <selection activeCell="C94" sqref="C94"/>
    </sheetView>
  </sheetViews>
  <sheetFormatPr baseColWidth="10" defaultColWidth="11.5" defaultRowHeight="12" x14ac:dyDescent="0.2"/>
  <cols>
    <col min="1" max="1" width="3.25" style="1" customWidth="1"/>
    <col min="2" max="2" width="5.125" style="2" customWidth="1"/>
    <col min="3" max="3" width="62" style="3" customWidth="1"/>
    <col min="4" max="4" width="13.75" style="4" customWidth="1"/>
    <col min="5" max="5" width="10.25" style="5" customWidth="1"/>
    <col min="6" max="6" width="14.125" style="6" bestFit="1" customWidth="1"/>
    <col min="7" max="7" width="18.625" style="6" bestFit="1" customWidth="1"/>
    <col min="8" max="8" width="0.75" style="1" customWidth="1"/>
    <col min="9" max="12" width="11.125" style="59" customWidth="1"/>
    <col min="13" max="13" width="12.25" style="82" customWidth="1"/>
    <col min="14" max="14" width="14.125" style="82" customWidth="1"/>
    <col min="15" max="15" width="11.5" style="82"/>
    <col min="16" max="16" width="14.125" style="82" customWidth="1"/>
    <col min="17" max="17" width="11.5" style="82" customWidth="1"/>
    <col min="18" max="18" width="14.125" style="82" customWidth="1"/>
    <col min="19" max="19" width="1.5" style="1" customWidth="1"/>
    <col min="20" max="20" width="13.875" style="1" customWidth="1"/>
    <col min="21" max="21" width="16.75" style="1" customWidth="1"/>
    <col min="22" max="22" width="1.625" style="1" customWidth="1"/>
    <col min="23" max="24" width="0" style="1" hidden="1" customWidth="1"/>
    <col min="25" max="16384" width="11.5" style="1"/>
  </cols>
  <sheetData>
    <row r="1" spans="2:24" x14ac:dyDescent="0.2">
      <c r="B1" s="151" t="s">
        <v>0</v>
      </c>
      <c r="C1" s="152"/>
      <c r="D1" s="152"/>
      <c r="E1" s="152"/>
      <c r="F1" s="152"/>
      <c r="G1" s="152"/>
    </row>
    <row r="2" spans="2:24" x14ac:dyDescent="0.2">
      <c r="B2" s="151"/>
      <c r="C2" s="152"/>
      <c r="D2" s="152"/>
      <c r="E2" s="152"/>
      <c r="F2" s="152"/>
      <c r="G2" s="152"/>
    </row>
    <row r="3" spans="2:24" x14ac:dyDescent="0.2">
      <c r="B3" s="151" t="s">
        <v>0</v>
      </c>
      <c r="C3" s="152"/>
      <c r="D3" s="152"/>
      <c r="E3" s="152"/>
      <c r="F3" s="152"/>
      <c r="G3" s="152"/>
      <c r="I3" s="60"/>
    </row>
    <row r="4" spans="2:24" ht="16.899999999999999" customHeight="1" x14ac:dyDescent="0.2">
      <c r="B4" s="153"/>
      <c r="C4" s="154"/>
      <c r="D4" s="154"/>
      <c r="E4" s="154"/>
      <c r="F4" s="154"/>
      <c r="G4" s="154"/>
      <c r="I4" s="60"/>
      <c r="M4" s="96"/>
      <c r="N4" s="96"/>
      <c r="O4" s="96"/>
    </row>
    <row r="5" spans="2:24" x14ac:dyDescent="0.2">
      <c r="B5" s="151" t="s">
        <v>0</v>
      </c>
      <c r="C5" s="152"/>
      <c r="D5" s="152"/>
      <c r="E5" s="152"/>
      <c r="F5" s="152"/>
      <c r="G5" s="152"/>
      <c r="I5" s="60"/>
    </row>
    <row r="6" spans="2:24" x14ac:dyDescent="0.2">
      <c r="B6" s="151"/>
      <c r="C6" s="152"/>
      <c r="D6" s="152"/>
      <c r="E6" s="152"/>
      <c r="F6" s="152"/>
      <c r="G6" s="152"/>
      <c r="I6" s="60"/>
    </row>
    <row r="7" spans="2:24" ht="50.1" customHeight="1" x14ac:dyDescent="0.2">
      <c r="I7" s="60"/>
    </row>
    <row r="8" spans="2:24" ht="18.600000000000001" customHeight="1" x14ac:dyDescent="0.2">
      <c r="B8" s="146" t="s">
        <v>1</v>
      </c>
      <c r="C8" s="147"/>
      <c r="D8" s="147"/>
      <c r="E8" s="147"/>
      <c r="F8" s="147"/>
      <c r="G8" s="148"/>
    </row>
    <row r="9" spans="2:24" ht="21" customHeight="1" x14ac:dyDescent="0.2">
      <c r="B9" s="149" t="s">
        <v>2</v>
      </c>
      <c r="C9" s="8" t="s">
        <v>3</v>
      </c>
      <c r="D9" s="9" t="s">
        <v>4</v>
      </c>
      <c r="E9" s="10" t="s">
        <v>5</v>
      </c>
      <c r="F9" s="11" t="s">
        <v>6</v>
      </c>
      <c r="G9" s="11" t="s">
        <v>7</v>
      </c>
      <c r="I9" s="164" t="s">
        <v>88</v>
      </c>
      <c r="J9" s="164"/>
      <c r="K9" s="155" t="s">
        <v>101</v>
      </c>
      <c r="L9" s="156"/>
      <c r="M9" s="158" t="s">
        <v>85</v>
      </c>
      <c r="N9" s="158"/>
      <c r="O9" s="160" t="s">
        <v>86</v>
      </c>
      <c r="P9" s="160"/>
      <c r="Q9" s="162" t="s">
        <v>87</v>
      </c>
      <c r="R9" s="162"/>
    </row>
    <row r="10" spans="2:24" ht="19.149999999999999" customHeight="1" x14ac:dyDescent="0.2">
      <c r="B10" s="150"/>
      <c r="C10" s="12" t="s">
        <v>8</v>
      </c>
      <c r="D10" s="13"/>
      <c r="E10" s="14"/>
      <c r="F10" s="15"/>
      <c r="G10" s="16">
        <f>G11+G17+G23+G34+G48+G57</f>
        <v>364152402.77968693</v>
      </c>
      <c r="I10" s="165"/>
      <c r="J10" s="165"/>
      <c r="K10" s="157"/>
      <c r="L10" s="157"/>
      <c r="M10" s="159"/>
      <c r="N10" s="159"/>
      <c r="O10" s="161"/>
      <c r="P10" s="161"/>
      <c r="Q10" s="163"/>
      <c r="R10" s="163"/>
    </row>
    <row r="11" spans="2:24" ht="14.45" customHeight="1" x14ac:dyDescent="0.2">
      <c r="B11" s="17">
        <v>1</v>
      </c>
      <c r="C11" s="17" t="s">
        <v>9</v>
      </c>
      <c r="D11" s="18"/>
      <c r="E11" s="19"/>
      <c r="F11" s="20"/>
      <c r="G11" s="21">
        <f>SUM(G12:G15)</f>
        <v>4767762.6892445013</v>
      </c>
      <c r="I11" s="165"/>
      <c r="J11" s="165"/>
      <c r="K11" s="157"/>
      <c r="L11" s="157"/>
      <c r="M11" s="159"/>
      <c r="N11" s="159"/>
      <c r="O11" s="161"/>
      <c r="P11" s="161"/>
      <c r="Q11" s="163"/>
      <c r="R11" s="163"/>
    </row>
    <row r="12" spans="2:24" x14ac:dyDescent="0.2">
      <c r="B12" s="22" t="s">
        <v>10</v>
      </c>
      <c r="C12" s="23" t="s">
        <v>11</v>
      </c>
      <c r="D12" s="24" t="s">
        <v>12</v>
      </c>
      <c r="E12" s="27">
        <v>264.5</v>
      </c>
      <c r="F12" s="25">
        <v>3712.2550776705984</v>
      </c>
      <c r="G12" s="26">
        <f>+E12*F12</f>
        <v>981891.46804387332</v>
      </c>
      <c r="I12" s="62">
        <v>1593.6309000000001</v>
      </c>
      <c r="J12" s="63">
        <f>I12*E12</f>
        <v>421515.37305000005</v>
      </c>
      <c r="K12" s="64"/>
      <c r="L12" s="67"/>
      <c r="M12" s="63">
        <v>3809.5762850656274</v>
      </c>
      <c r="N12" s="63">
        <f>M12*E12</f>
        <v>1007632.9273998585</v>
      </c>
      <c r="O12" s="63">
        <v>5733.5580479461687</v>
      </c>
      <c r="P12" s="63">
        <f>O12*E12</f>
        <v>1516526.1036817615</v>
      </c>
      <c r="Q12" s="63">
        <f>(I12+M12+O12)/3</f>
        <v>3712.2550776705989</v>
      </c>
      <c r="R12" s="63">
        <f>Q12*E12</f>
        <v>981891.46804387344</v>
      </c>
      <c r="T12" s="97"/>
      <c r="W12" s="93"/>
      <c r="X12" s="93"/>
    </row>
    <row r="13" spans="2:24" ht="24" x14ac:dyDescent="0.2">
      <c r="B13" s="22" t="s">
        <v>13</v>
      </c>
      <c r="C13" s="23" t="s">
        <v>125</v>
      </c>
      <c r="D13" s="24" t="s">
        <v>12</v>
      </c>
      <c r="E13" s="27">
        <v>15</v>
      </c>
      <c r="F13" s="25">
        <v>19028.302220606802</v>
      </c>
      <c r="G13" s="26">
        <f t="shared" ref="G13:G15" si="0">+E13*F13</f>
        <v>285424.533309102</v>
      </c>
      <c r="I13" s="62">
        <v>20001.499200000002</v>
      </c>
      <c r="J13" s="63">
        <f t="shared" ref="J13:J41" si="1">I13*E13</f>
        <v>300022.48800000001</v>
      </c>
      <c r="K13" s="64"/>
      <c r="L13" s="67"/>
      <c r="M13" s="63">
        <v>20536.314505479451</v>
      </c>
      <c r="N13" s="63">
        <f t="shared" ref="N13:N46" si="2">M13*E13</f>
        <v>308044.71758219175</v>
      </c>
      <c r="O13" s="63">
        <v>16547.092956340952</v>
      </c>
      <c r="P13" s="63">
        <f t="shared" ref="P13:P46" si="3">O13*E13</f>
        <v>248206.39434511427</v>
      </c>
      <c r="Q13" s="63">
        <f t="shared" ref="Q13:Q19" si="4">(I13+M13+O13)/3</f>
        <v>19028.302220606802</v>
      </c>
      <c r="R13" s="63">
        <f t="shared" ref="R13:R46" si="5">Q13*E13</f>
        <v>285424.533309102</v>
      </c>
      <c r="T13" s="97"/>
      <c r="W13" s="93"/>
      <c r="X13" s="93"/>
    </row>
    <row r="14" spans="2:24" ht="24" x14ac:dyDescent="0.2">
      <c r="B14" s="22" t="s">
        <v>14</v>
      </c>
      <c r="C14" s="23" t="s">
        <v>126</v>
      </c>
      <c r="D14" s="24" t="s">
        <v>12</v>
      </c>
      <c r="E14" s="27">
        <v>124</v>
      </c>
      <c r="F14" s="25">
        <v>10021.211789933464</v>
      </c>
      <c r="G14" s="26">
        <f t="shared" si="0"/>
        <v>1242630.2619517497</v>
      </c>
      <c r="I14" s="62">
        <v>10812.939400000001</v>
      </c>
      <c r="J14" s="63">
        <f t="shared" si="1"/>
        <v>1340804.4856000002</v>
      </c>
      <c r="K14" s="64"/>
      <c r="L14" s="67"/>
      <c r="M14" s="63">
        <v>11017.693079326642</v>
      </c>
      <c r="N14" s="63">
        <f t="shared" si="2"/>
        <v>1366193.9418365036</v>
      </c>
      <c r="O14" s="63">
        <v>8233.0028904737501</v>
      </c>
      <c r="P14" s="63">
        <f t="shared" si="3"/>
        <v>1020892.358418745</v>
      </c>
      <c r="Q14" s="63">
        <f t="shared" si="4"/>
        <v>10021.211789933464</v>
      </c>
      <c r="R14" s="63">
        <f t="shared" si="5"/>
        <v>1242630.2619517497</v>
      </c>
      <c r="T14" s="97"/>
      <c r="W14" s="93"/>
      <c r="X14" s="93"/>
    </row>
    <row r="15" spans="2:24" x14ac:dyDescent="0.2">
      <c r="B15" s="22" t="s">
        <v>15</v>
      </c>
      <c r="C15" s="23" t="s">
        <v>16</v>
      </c>
      <c r="D15" s="24" t="s">
        <v>12</v>
      </c>
      <c r="E15" s="27">
        <v>232</v>
      </c>
      <c r="F15" s="25">
        <v>9731.9673531886874</v>
      </c>
      <c r="G15" s="26">
        <f t="shared" si="0"/>
        <v>2257816.4259397755</v>
      </c>
      <c r="I15" s="62">
        <v>10120.5635</v>
      </c>
      <c r="J15" s="63">
        <f t="shared" si="1"/>
        <v>2347970.7319999998</v>
      </c>
      <c r="K15" s="64"/>
      <c r="L15" s="67"/>
      <c r="M15" s="63">
        <v>10730.451607718493</v>
      </c>
      <c r="N15" s="63">
        <f t="shared" si="2"/>
        <v>2489464.7729906901</v>
      </c>
      <c r="O15" s="63">
        <v>8344.8869518475694</v>
      </c>
      <c r="P15" s="63">
        <f t="shared" si="3"/>
        <v>1936013.7728286362</v>
      </c>
      <c r="Q15" s="63">
        <f t="shared" si="4"/>
        <v>9731.9673531886874</v>
      </c>
      <c r="R15" s="63">
        <f t="shared" si="5"/>
        <v>2257816.4259397755</v>
      </c>
      <c r="T15" s="97"/>
      <c r="W15" s="93"/>
      <c r="X15" s="93"/>
    </row>
    <row r="16" spans="2:24" x14ac:dyDescent="0.2">
      <c r="F16" s="28"/>
      <c r="G16" s="28"/>
      <c r="I16" s="62"/>
      <c r="J16" s="63"/>
      <c r="K16" s="64"/>
      <c r="L16" s="67"/>
      <c r="M16" s="63">
        <v>0</v>
      </c>
      <c r="N16" s="63">
        <f t="shared" si="2"/>
        <v>0</v>
      </c>
      <c r="O16" s="63">
        <v>0</v>
      </c>
      <c r="P16" s="63">
        <f t="shared" si="3"/>
        <v>0</v>
      </c>
      <c r="Q16" s="63">
        <f t="shared" si="4"/>
        <v>0</v>
      </c>
      <c r="R16" s="63">
        <f t="shared" si="5"/>
        <v>0</v>
      </c>
      <c r="T16" s="97"/>
      <c r="W16" s="93"/>
      <c r="X16" s="93"/>
    </row>
    <row r="17" spans="2:24" ht="14.45" customHeight="1" x14ac:dyDescent="0.2">
      <c r="B17" s="17">
        <v>2</v>
      </c>
      <c r="C17" s="17" t="s">
        <v>17</v>
      </c>
      <c r="D17" s="18"/>
      <c r="E17" s="19"/>
      <c r="F17" s="20">
        <v>0</v>
      </c>
      <c r="G17" s="21">
        <f>SUM(G18:G21)</f>
        <v>49603785.650308922</v>
      </c>
      <c r="I17" s="62"/>
      <c r="J17" s="63"/>
      <c r="K17" s="64"/>
      <c r="L17" s="67"/>
      <c r="M17" s="63">
        <v>0</v>
      </c>
      <c r="N17" s="63">
        <f t="shared" si="2"/>
        <v>0</v>
      </c>
      <c r="O17" s="63">
        <v>0</v>
      </c>
      <c r="P17" s="63">
        <f t="shared" si="3"/>
        <v>0</v>
      </c>
      <c r="Q17" s="63">
        <f t="shared" si="4"/>
        <v>0</v>
      </c>
      <c r="R17" s="63">
        <f t="shared" si="5"/>
        <v>0</v>
      </c>
      <c r="T17" s="97"/>
      <c r="W17" s="93"/>
      <c r="X17" s="93"/>
    </row>
    <row r="18" spans="2:24" ht="24" x14ac:dyDescent="0.2">
      <c r="B18" s="53" t="s">
        <v>18</v>
      </c>
      <c r="C18" s="54" t="s">
        <v>102</v>
      </c>
      <c r="D18" s="55" t="s">
        <v>12</v>
      </c>
      <c r="E18" s="56">
        <v>137.5</v>
      </c>
      <c r="F18" s="57">
        <v>16128</v>
      </c>
      <c r="G18" s="58">
        <f t="shared" ref="G18:G21" si="6">+E18*F18</f>
        <v>2217600</v>
      </c>
      <c r="I18" s="62">
        <v>6544.1715999999997</v>
      </c>
      <c r="J18" s="63">
        <f t="shared" si="1"/>
        <v>899823.59499999997</v>
      </c>
      <c r="K18" s="64"/>
      <c r="L18" s="67"/>
      <c r="M18" s="63">
        <v>16526.539618989955</v>
      </c>
      <c r="N18" s="63">
        <f t="shared" si="2"/>
        <v>2272399.1976111187</v>
      </c>
      <c r="O18" s="63">
        <v>25313.288781010044</v>
      </c>
      <c r="P18" s="63">
        <f t="shared" si="3"/>
        <v>3480577.2073888811</v>
      </c>
      <c r="Q18" s="63">
        <f t="shared" si="4"/>
        <v>16128</v>
      </c>
      <c r="R18" s="63">
        <f t="shared" si="5"/>
        <v>2217600</v>
      </c>
      <c r="T18" s="97"/>
      <c r="W18" s="93"/>
      <c r="X18" s="93"/>
    </row>
    <row r="19" spans="2:24" ht="24" x14ac:dyDescent="0.2">
      <c r="B19" s="22" t="s">
        <v>19</v>
      </c>
      <c r="C19" s="23" t="s">
        <v>20</v>
      </c>
      <c r="D19" s="24" t="s">
        <v>12</v>
      </c>
      <c r="E19" s="27">
        <v>264.5</v>
      </c>
      <c r="F19" s="30">
        <v>155763.82183947199</v>
      </c>
      <c r="G19" s="34">
        <f t="shared" si="6"/>
        <v>41199530.87654034</v>
      </c>
      <c r="I19" s="62">
        <v>81820.170100000003</v>
      </c>
      <c r="J19" s="63">
        <f t="shared" si="1"/>
        <v>21641434.991450001</v>
      </c>
      <c r="K19" s="64"/>
      <c r="L19" s="67"/>
      <c r="M19" s="63">
        <v>158934.47809849581</v>
      </c>
      <c r="N19" s="63">
        <f t="shared" si="2"/>
        <v>42038169.457052141</v>
      </c>
      <c r="O19" s="63">
        <v>226536.81731992017</v>
      </c>
      <c r="P19" s="63">
        <f t="shared" si="3"/>
        <v>59918988.181118883</v>
      </c>
      <c r="Q19" s="63">
        <f t="shared" si="4"/>
        <v>155763.82183947199</v>
      </c>
      <c r="R19" s="63">
        <f t="shared" si="5"/>
        <v>41199530.87654034</v>
      </c>
      <c r="T19" s="97"/>
      <c r="W19" s="93"/>
      <c r="X19" s="93"/>
    </row>
    <row r="20" spans="2:24" x14ac:dyDescent="0.2">
      <c r="B20" s="22" t="s">
        <v>21</v>
      </c>
      <c r="C20" s="23" t="s">
        <v>22</v>
      </c>
      <c r="D20" s="24" t="s">
        <v>23</v>
      </c>
      <c r="E20" s="27">
        <v>10</v>
      </c>
      <c r="F20" s="30">
        <v>78269.563151734095</v>
      </c>
      <c r="G20" s="34">
        <f t="shared" si="6"/>
        <v>782695.63151734089</v>
      </c>
      <c r="I20" s="62">
        <v>78601.099300000002</v>
      </c>
      <c r="J20" s="63">
        <f t="shared" si="1"/>
        <v>786010.99300000002</v>
      </c>
      <c r="K20" s="62">
        <v>117900</v>
      </c>
      <c r="L20" s="68">
        <f t="shared" ref="L20:L76" si="7">K20*E20</f>
        <v>1179000</v>
      </c>
      <c r="M20" s="63">
        <v>81079.466433661291</v>
      </c>
      <c r="N20" s="63">
        <f t="shared" si="2"/>
        <v>810794.66433661291</v>
      </c>
      <c r="O20" s="63">
        <v>75459.659869806899</v>
      </c>
      <c r="P20" s="63">
        <f t="shared" si="3"/>
        <v>754596.59869806899</v>
      </c>
      <c r="Q20" s="63">
        <f>(M20+O20)/2</f>
        <v>78269.563151734095</v>
      </c>
      <c r="R20" s="63">
        <f t="shared" si="5"/>
        <v>782695.63151734089</v>
      </c>
      <c r="T20" s="97"/>
      <c r="U20" s="97"/>
      <c r="W20" s="93"/>
      <c r="X20" s="93"/>
    </row>
    <row r="21" spans="2:24" ht="24" x14ac:dyDescent="0.2">
      <c r="B21" s="22" t="s">
        <v>24</v>
      </c>
      <c r="C21" s="23" t="s">
        <v>25</v>
      </c>
      <c r="D21" s="24" t="s">
        <v>26</v>
      </c>
      <c r="E21" s="27">
        <v>219.3</v>
      </c>
      <c r="F21" s="30">
        <v>24641.856553813199</v>
      </c>
      <c r="G21" s="34">
        <f t="shared" si="6"/>
        <v>5403959.1422512345</v>
      </c>
      <c r="I21" s="62">
        <v>9736.7348999999995</v>
      </c>
      <c r="J21" s="63">
        <f t="shared" si="1"/>
        <v>2135265.9635700001</v>
      </c>
      <c r="K21" s="62">
        <f>174000/25</f>
        <v>6960</v>
      </c>
      <c r="L21" s="68">
        <f t="shared" si="7"/>
        <v>1526328</v>
      </c>
      <c r="M21" s="63">
        <v>25958.118174958479</v>
      </c>
      <c r="N21" s="63">
        <f t="shared" si="2"/>
        <v>5692615.3157683946</v>
      </c>
      <c r="O21" s="63">
        <v>23325.594932667918</v>
      </c>
      <c r="P21" s="63">
        <f t="shared" si="3"/>
        <v>5115302.9687340744</v>
      </c>
      <c r="Q21" s="63">
        <f>(M21+O21)/2</f>
        <v>24641.856553813199</v>
      </c>
      <c r="R21" s="63">
        <f t="shared" si="5"/>
        <v>5403959.1422512345</v>
      </c>
      <c r="U21" s="97"/>
      <c r="W21" s="93"/>
      <c r="X21" s="93"/>
    </row>
    <row r="22" spans="2:24" x14ac:dyDescent="0.2">
      <c r="F22" s="28"/>
      <c r="G22" s="28"/>
      <c r="I22" s="62"/>
      <c r="J22" s="63"/>
      <c r="K22" s="62"/>
      <c r="L22" s="68"/>
      <c r="M22" s="63"/>
      <c r="N22" s="63"/>
      <c r="O22" s="63"/>
      <c r="P22" s="63"/>
      <c r="Q22" s="63"/>
      <c r="R22" s="63"/>
      <c r="U22" s="97"/>
      <c r="W22" s="93"/>
      <c r="X22" s="93"/>
    </row>
    <row r="23" spans="2:24" x14ac:dyDescent="0.2">
      <c r="B23" s="17">
        <v>3</v>
      </c>
      <c r="C23" s="17" t="s">
        <v>27</v>
      </c>
      <c r="D23" s="18"/>
      <c r="E23" s="19"/>
      <c r="F23" s="20"/>
      <c r="G23" s="21">
        <f>SUM(G24:G32)</f>
        <v>219082906.47392932</v>
      </c>
      <c r="I23" s="62"/>
      <c r="J23" s="63"/>
      <c r="K23" s="62"/>
      <c r="L23" s="68"/>
      <c r="M23" s="63"/>
      <c r="N23" s="63"/>
      <c r="O23" s="63"/>
      <c r="P23" s="63"/>
      <c r="Q23" s="63"/>
      <c r="R23" s="63"/>
      <c r="U23" s="97"/>
      <c r="W23" s="93"/>
      <c r="X23" s="93"/>
    </row>
    <row r="24" spans="2:24" ht="24" x14ac:dyDescent="0.2">
      <c r="B24" s="29" t="s">
        <v>28</v>
      </c>
      <c r="C24" s="51" t="s">
        <v>29</v>
      </c>
      <c r="D24" s="24" t="s">
        <v>30</v>
      </c>
      <c r="E24" s="52">
        <v>80</v>
      </c>
      <c r="F24" s="30">
        <v>106600</v>
      </c>
      <c r="G24" s="26">
        <f t="shared" ref="G24:G32" si="8">+E24*F24</f>
        <v>8528000</v>
      </c>
      <c r="I24" s="64"/>
      <c r="J24" s="69"/>
      <c r="K24" s="62">
        <v>108900</v>
      </c>
      <c r="L24" s="68">
        <f t="shared" si="7"/>
        <v>8712000</v>
      </c>
      <c r="M24" s="63">
        <v>110107.322361236</v>
      </c>
      <c r="N24" s="63">
        <f t="shared" si="2"/>
        <v>8808585.7888988797</v>
      </c>
      <c r="O24" s="63">
        <v>103092.677638764</v>
      </c>
      <c r="P24" s="63">
        <f t="shared" si="3"/>
        <v>8247414.2111011203</v>
      </c>
      <c r="Q24" s="63">
        <f>(M24+O24)/2</f>
        <v>106600</v>
      </c>
      <c r="R24" s="63">
        <f t="shared" si="5"/>
        <v>8528000</v>
      </c>
      <c r="U24" s="97"/>
      <c r="W24" s="93"/>
      <c r="X24" s="93"/>
    </row>
    <row r="25" spans="2:24" ht="24" x14ac:dyDescent="0.2">
      <c r="B25" s="29" t="s">
        <v>31</v>
      </c>
      <c r="C25" s="51" t="s">
        <v>32</v>
      </c>
      <c r="D25" s="24" t="s">
        <v>30</v>
      </c>
      <c r="E25" s="27">
        <v>4</v>
      </c>
      <c r="F25" s="30">
        <v>101174.136936444</v>
      </c>
      <c r="G25" s="26">
        <f>+E25*F25</f>
        <v>404696.54774577601</v>
      </c>
      <c r="I25" s="64"/>
      <c r="J25" s="69"/>
      <c r="K25" s="62">
        <v>119900</v>
      </c>
      <c r="L25" s="68">
        <f t="shared" si="7"/>
        <v>479600</v>
      </c>
      <c r="M25" s="63">
        <v>109362.59638554229</v>
      </c>
      <c r="N25" s="63">
        <f t="shared" si="2"/>
        <v>437450.38554216916</v>
      </c>
      <c r="O25" s="63">
        <v>92985.677487345718</v>
      </c>
      <c r="P25" s="63">
        <f t="shared" si="3"/>
        <v>371942.70994938287</v>
      </c>
      <c r="Q25" s="63">
        <f t="shared" ref="Q25:Q26" si="9">(M25+O25)/2</f>
        <v>101174.136936444</v>
      </c>
      <c r="R25" s="63">
        <f t="shared" si="5"/>
        <v>404696.54774577601</v>
      </c>
      <c r="U25" s="97"/>
      <c r="W25" s="93"/>
      <c r="X25" s="93"/>
    </row>
    <row r="26" spans="2:24" ht="24" x14ac:dyDescent="0.2">
      <c r="B26" s="29" t="s">
        <v>33</v>
      </c>
      <c r="C26" s="23" t="s">
        <v>39</v>
      </c>
      <c r="D26" s="24" t="s">
        <v>30</v>
      </c>
      <c r="E26" s="27">
        <v>21</v>
      </c>
      <c r="F26" s="30">
        <v>244178.31966132001</v>
      </c>
      <c r="G26" s="26">
        <f t="shared" si="8"/>
        <v>5127744.7128877202</v>
      </c>
      <c r="I26" s="64"/>
      <c r="J26" s="69"/>
      <c r="K26" s="62">
        <v>234900</v>
      </c>
      <c r="L26" s="68">
        <f t="shared" si="7"/>
        <v>4932900</v>
      </c>
      <c r="M26" s="63">
        <v>256668.14702741732</v>
      </c>
      <c r="N26" s="63">
        <f t="shared" si="2"/>
        <v>5390031.0875757635</v>
      </c>
      <c r="O26" s="63">
        <v>231688.49229522271</v>
      </c>
      <c r="P26" s="63">
        <f t="shared" si="3"/>
        <v>4865458.3381996769</v>
      </c>
      <c r="Q26" s="63">
        <f t="shared" si="9"/>
        <v>244178.31966132001</v>
      </c>
      <c r="R26" s="63">
        <f t="shared" si="5"/>
        <v>5127744.7128877202</v>
      </c>
      <c r="U26" s="97"/>
      <c r="W26" s="93"/>
      <c r="X26" s="93"/>
    </row>
    <row r="27" spans="2:24" ht="36" x14ac:dyDescent="0.2">
      <c r="B27" s="29" t="s">
        <v>34</v>
      </c>
      <c r="C27" s="51" t="s">
        <v>41</v>
      </c>
      <c r="D27" s="24" t="s">
        <v>30</v>
      </c>
      <c r="E27" s="27">
        <v>60</v>
      </c>
      <c r="F27" s="30">
        <v>438784.35506800498</v>
      </c>
      <c r="G27" s="26">
        <f t="shared" si="8"/>
        <v>26327061.3040803</v>
      </c>
      <c r="I27" s="64"/>
      <c r="J27" s="69"/>
      <c r="K27" s="64"/>
      <c r="L27" s="67"/>
      <c r="M27" s="63">
        <v>448432.39778688899</v>
      </c>
      <c r="N27" s="63">
        <f t="shared" si="2"/>
        <v>26905943.867213339</v>
      </c>
      <c r="O27" s="63">
        <v>429136.31234912097</v>
      </c>
      <c r="P27" s="63">
        <f t="shared" si="3"/>
        <v>25748178.740947258</v>
      </c>
      <c r="Q27" s="63">
        <f>(M27+O27)/2</f>
        <v>438784.35506800498</v>
      </c>
      <c r="R27" s="63">
        <f t="shared" si="5"/>
        <v>26327061.3040803</v>
      </c>
      <c r="U27" s="97"/>
      <c r="W27" s="93"/>
      <c r="X27" s="93"/>
    </row>
    <row r="28" spans="2:24" ht="24" x14ac:dyDescent="0.2">
      <c r="B28" s="29" t="s">
        <v>35</v>
      </c>
      <c r="C28" s="23" t="s">
        <v>42</v>
      </c>
      <c r="D28" s="24" t="s">
        <v>12</v>
      </c>
      <c r="E28" s="27">
        <v>212</v>
      </c>
      <c r="F28" s="30">
        <v>40319.037514770498</v>
      </c>
      <c r="G28" s="26">
        <f t="shared" si="8"/>
        <v>8547635.953131346</v>
      </c>
      <c r="I28" s="62">
        <v>39906.511100000003</v>
      </c>
      <c r="J28" s="63">
        <f t="shared" si="1"/>
        <v>8460180.3531999998</v>
      </c>
      <c r="K28" s="64"/>
      <c r="L28" s="67"/>
      <c r="M28" s="63">
        <v>42554.292090095878</v>
      </c>
      <c r="N28" s="63">
        <f t="shared" si="2"/>
        <v>9021509.9231003262</v>
      </c>
      <c r="O28" s="63">
        <v>38496.30935421562</v>
      </c>
      <c r="P28" s="63">
        <f t="shared" si="3"/>
        <v>8161217.5830937112</v>
      </c>
      <c r="Q28" s="63">
        <f t="shared" ref="Q28:Q30" si="10">(I28+M28+O28)/3</f>
        <v>40319.037514770498</v>
      </c>
      <c r="R28" s="63">
        <f t="shared" si="5"/>
        <v>8547635.953131346</v>
      </c>
      <c r="T28" s="97"/>
      <c r="W28" s="93"/>
      <c r="X28" s="93"/>
    </row>
    <row r="29" spans="2:24" x14ac:dyDescent="0.2">
      <c r="B29" s="29" t="s">
        <v>36</v>
      </c>
      <c r="C29" s="51" t="s">
        <v>43</v>
      </c>
      <c r="D29" s="24" t="s">
        <v>12</v>
      </c>
      <c r="E29" s="27">
        <v>264.5</v>
      </c>
      <c r="F29" s="30">
        <v>57450.838290742096</v>
      </c>
      <c r="G29" s="26">
        <f t="shared" si="8"/>
        <v>15195746.727901284</v>
      </c>
      <c r="I29" s="62">
        <v>42321.874499999998</v>
      </c>
      <c r="J29" s="63">
        <f t="shared" si="1"/>
        <v>11194135.80525</v>
      </c>
      <c r="K29" s="64"/>
      <c r="L29" s="67"/>
      <c r="M29" s="63">
        <v>60906.797696951748</v>
      </c>
      <c r="N29" s="63">
        <f t="shared" si="2"/>
        <v>16109847.990843737</v>
      </c>
      <c r="O29" s="63">
        <v>69123.842675274529</v>
      </c>
      <c r="P29" s="63">
        <f t="shared" si="3"/>
        <v>18283256.387610111</v>
      </c>
      <c r="Q29" s="63">
        <f t="shared" si="10"/>
        <v>57450.838290742096</v>
      </c>
      <c r="R29" s="63">
        <f t="shared" si="5"/>
        <v>15195746.727901284</v>
      </c>
      <c r="T29" s="97"/>
      <c r="W29" s="93"/>
      <c r="X29" s="93"/>
    </row>
    <row r="30" spans="2:24" x14ac:dyDescent="0.2">
      <c r="B30" s="29" t="s">
        <v>37</v>
      </c>
      <c r="C30" s="51" t="s">
        <v>103</v>
      </c>
      <c r="D30" s="24" t="s">
        <v>12</v>
      </c>
      <c r="E30" s="27">
        <v>254</v>
      </c>
      <c r="F30" s="30">
        <v>51299</v>
      </c>
      <c r="G30" s="26">
        <f t="shared" si="8"/>
        <v>13029946</v>
      </c>
      <c r="I30" s="62">
        <v>39213.0749</v>
      </c>
      <c r="J30" s="63">
        <f t="shared" si="1"/>
        <v>9960121.0245999992</v>
      </c>
      <c r="K30" s="64"/>
      <c r="L30" s="67"/>
      <c r="M30" s="63">
        <v>54924.051086285093</v>
      </c>
      <c r="N30" s="63">
        <f t="shared" si="2"/>
        <v>13950708.975916414</v>
      </c>
      <c r="O30" s="63">
        <v>59759.8740137149</v>
      </c>
      <c r="P30" s="63">
        <f t="shared" si="3"/>
        <v>15179007.999483585</v>
      </c>
      <c r="Q30" s="63">
        <f t="shared" si="10"/>
        <v>51299</v>
      </c>
      <c r="R30" s="63">
        <f t="shared" si="5"/>
        <v>13029946</v>
      </c>
      <c r="T30" s="97"/>
      <c r="W30" s="93"/>
      <c r="X30" s="93"/>
    </row>
    <row r="31" spans="2:24" ht="48" x14ac:dyDescent="0.2">
      <c r="B31" s="29" t="s">
        <v>38</v>
      </c>
      <c r="C31" s="23" t="s">
        <v>104</v>
      </c>
      <c r="D31" s="24" t="s">
        <v>30</v>
      </c>
      <c r="E31" s="27">
        <v>4</v>
      </c>
      <c r="F31" s="30">
        <v>6280000</v>
      </c>
      <c r="G31" s="26">
        <f t="shared" si="8"/>
        <v>25120000</v>
      </c>
      <c r="I31" s="64"/>
      <c r="J31" s="69"/>
      <c r="K31" s="64"/>
      <c r="L31" s="67"/>
      <c r="M31" s="63">
        <v>6452291.6367317811</v>
      </c>
      <c r="N31" s="63">
        <f t="shared" si="2"/>
        <v>25809166.546927124</v>
      </c>
      <c r="O31" s="63">
        <v>6107708.3632682189</v>
      </c>
      <c r="P31" s="63">
        <f t="shared" si="3"/>
        <v>24430833.453072876</v>
      </c>
      <c r="Q31" s="63">
        <f>(M31+O31)/2</f>
        <v>6280000</v>
      </c>
      <c r="R31" s="63">
        <f t="shared" si="5"/>
        <v>25120000</v>
      </c>
      <c r="U31" s="97"/>
      <c r="W31" s="93"/>
      <c r="X31" s="93"/>
    </row>
    <row r="32" spans="2:24" ht="36" x14ac:dyDescent="0.2">
      <c r="B32" s="29" t="s">
        <v>40</v>
      </c>
      <c r="C32" s="23" t="s">
        <v>44</v>
      </c>
      <c r="D32" s="24" t="s">
        <v>12</v>
      </c>
      <c r="E32" s="27">
        <v>44.769901066479399</v>
      </c>
      <c r="F32" s="30">
        <v>2608942</v>
      </c>
      <c r="G32" s="26">
        <f t="shared" si="8"/>
        <v>116802075.2281829</v>
      </c>
      <c r="I32" s="64"/>
      <c r="J32" s="69"/>
      <c r="K32" s="62">
        <v>2600000</v>
      </c>
      <c r="L32" s="68">
        <f t="shared" si="7"/>
        <v>116401742.77284643</v>
      </c>
      <c r="M32" s="63">
        <v>2807957.7433369402</v>
      </c>
      <c r="N32" s="63">
        <f t="shared" si="2"/>
        <v>125711990.36804956</v>
      </c>
      <c r="O32" s="63">
        <v>2409926.2566630598</v>
      </c>
      <c r="P32" s="63">
        <f t="shared" si="3"/>
        <v>107892160.08831623</v>
      </c>
      <c r="Q32" s="63">
        <f>(M32+O32)/2</f>
        <v>2608942</v>
      </c>
      <c r="R32" s="63">
        <f t="shared" si="5"/>
        <v>116802075.2281829</v>
      </c>
      <c r="U32" s="97"/>
      <c r="W32" s="93"/>
      <c r="X32" s="93"/>
    </row>
    <row r="33" spans="2:24" x14ac:dyDescent="0.2">
      <c r="B33" s="29"/>
      <c r="C33" s="31"/>
      <c r="D33" s="7"/>
      <c r="E33" s="32"/>
      <c r="F33" s="33"/>
      <c r="G33" s="26"/>
      <c r="I33" s="65"/>
      <c r="J33" s="63"/>
      <c r="K33" s="62"/>
      <c r="L33" s="68"/>
      <c r="M33" s="63"/>
      <c r="N33" s="63"/>
      <c r="O33" s="63"/>
      <c r="P33" s="63"/>
      <c r="Q33" s="63"/>
      <c r="R33" s="63"/>
      <c r="W33" s="93"/>
      <c r="X33" s="93"/>
    </row>
    <row r="34" spans="2:24" x14ac:dyDescent="0.2">
      <c r="B34" s="17">
        <v>4</v>
      </c>
      <c r="C34" s="17" t="s">
        <v>45</v>
      </c>
      <c r="D34" s="18"/>
      <c r="E34" s="19"/>
      <c r="F34" s="20"/>
      <c r="G34" s="21">
        <f>SUM(G35:G46)</f>
        <v>28141240.779537477</v>
      </c>
      <c r="I34" s="65"/>
      <c r="J34" s="63"/>
      <c r="K34" s="62"/>
      <c r="L34" s="68"/>
      <c r="M34" s="63"/>
      <c r="N34" s="63"/>
      <c r="O34" s="63"/>
      <c r="P34" s="63"/>
      <c r="Q34" s="63"/>
      <c r="R34" s="63"/>
      <c r="W34" s="93"/>
      <c r="X34" s="93"/>
    </row>
    <row r="35" spans="2:24" ht="24" x14ac:dyDescent="0.2">
      <c r="B35" s="22" t="s">
        <v>46</v>
      </c>
      <c r="C35" s="23" t="s">
        <v>47</v>
      </c>
      <c r="D35" s="24" t="s">
        <v>30</v>
      </c>
      <c r="E35" s="27">
        <v>24</v>
      </c>
      <c r="F35" s="25">
        <v>212400</v>
      </c>
      <c r="G35" s="26">
        <f t="shared" ref="G35:G46" si="11">+E35*F35</f>
        <v>5097600</v>
      </c>
      <c r="I35" s="65">
        <v>148404.88949999999</v>
      </c>
      <c r="J35" s="63">
        <f t="shared" si="1"/>
        <v>3561717.3479999998</v>
      </c>
      <c r="K35" s="64"/>
      <c r="L35" s="67"/>
      <c r="M35" s="63">
        <v>226145.11388279407</v>
      </c>
      <c r="N35" s="63">
        <f t="shared" si="2"/>
        <v>5427482.733187058</v>
      </c>
      <c r="O35" s="63">
        <v>262649.99661720591</v>
      </c>
      <c r="P35" s="63">
        <f t="shared" si="3"/>
        <v>6303599.9188129418</v>
      </c>
      <c r="Q35" s="63">
        <f t="shared" ref="Q35:Q40" si="12">(I35+M35+O35)/3</f>
        <v>212400</v>
      </c>
      <c r="R35" s="63">
        <f t="shared" si="5"/>
        <v>5097600</v>
      </c>
      <c r="T35" s="97"/>
      <c r="W35" s="93"/>
      <c r="X35" s="93"/>
    </row>
    <row r="36" spans="2:24" s="119" customFormat="1" ht="24" x14ac:dyDescent="0.2">
      <c r="B36" s="112" t="s">
        <v>48</v>
      </c>
      <c r="C36" s="111" t="s">
        <v>49</v>
      </c>
      <c r="D36" s="113" t="s">
        <v>23</v>
      </c>
      <c r="E36" s="114">
        <v>86</v>
      </c>
      <c r="F36" s="110">
        <v>24466</v>
      </c>
      <c r="G36" s="115">
        <f t="shared" si="11"/>
        <v>2104076</v>
      </c>
      <c r="I36" s="120">
        <v>16707.147100000002</v>
      </c>
      <c r="J36" s="121">
        <f t="shared" si="1"/>
        <v>1436814.6506000003</v>
      </c>
      <c r="K36" s="122"/>
      <c r="L36" s="123"/>
      <c r="M36" s="121">
        <v>26117.696770296341</v>
      </c>
      <c r="N36" s="121">
        <f t="shared" si="2"/>
        <v>2246121.9222454852</v>
      </c>
      <c r="O36" s="121">
        <v>30573.156129703657</v>
      </c>
      <c r="P36" s="121">
        <f t="shared" si="3"/>
        <v>2629291.4271545145</v>
      </c>
      <c r="Q36" s="121">
        <f t="shared" si="12"/>
        <v>24466</v>
      </c>
      <c r="R36" s="121">
        <f t="shared" si="5"/>
        <v>2104076</v>
      </c>
      <c r="T36" s="124"/>
      <c r="W36" s="125"/>
      <c r="X36" s="125"/>
    </row>
    <row r="37" spans="2:24" ht="36" x14ac:dyDescent="0.2">
      <c r="B37" s="22" t="s">
        <v>50</v>
      </c>
      <c r="C37" s="23" t="s">
        <v>51</v>
      </c>
      <c r="D37" s="24" t="s">
        <v>30</v>
      </c>
      <c r="E37" s="27">
        <v>3</v>
      </c>
      <c r="F37" s="25">
        <v>225589.372971506</v>
      </c>
      <c r="G37" s="26">
        <f t="shared" si="11"/>
        <v>676768.11891451804</v>
      </c>
      <c r="I37" s="81">
        <v>195322.1042</v>
      </c>
      <c r="J37" s="63">
        <f t="shared" si="1"/>
        <v>585966.31260000006</v>
      </c>
      <c r="K37" s="64"/>
      <c r="L37" s="67"/>
      <c r="M37" s="63">
        <v>247546.0542321041</v>
      </c>
      <c r="N37" s="63">
        <f t="shared" si="2"/>
        <v>742638.1626963123</v>
      </c>
      <c r="O37" s="63">
        <v>233899.96048241394</v>
      </c>
      <c r="P37" s="63">
        <f t="shared" si="3"/>
        <v>701699.88144724187</v>
      </c>
      <c r="Q37" s="63">
        <f>(I37+M37+O37)/3</f>
        <v>225589.372971506</v>
      </c>
      <c r="R37" s="63">
        <f t="shared" si="5"/>
        <v>676768.11891451804</v>
      </c>
      <c r="T37" s="97"/>
      <c r="W37" s="93"/>
      <c r="X37" s="93"/>
    </row>
    <row r="38" spans="2:24" ht="36" x14ac:dyDescent="0.2">
      <c r="B38" s="22" t="s">
        <v>52</v>
      </c>
      <c r="C38" s="23" t="s">
        <v>53</v>
      </c>
      <c r="D38" s="24" t="s">
        <v>30</v>
      </c>
      <c r="E38" s="27">
        <v>6</v>
      </c>
      <c r="F38" s="25">
        <v>238580.961785636</v>
      </c>
      <c r="G38" s="26">
        <f t="shared" si="11"/>
        <v>1431485.7707138159</v>
      </c>
      <c r="I38" s="81">
        <v>295524.69540000003</v>
      </c>
      <c r="J38" s="63">
        <f t="shared" si="1"/>
        <v>1773148.1724</v>
      </c>
      <c r="K38" s="64"/>
      <c r="L38" s="67"/>
      <c r="M38" s="63">
        <v>247307.16991059831</v>
      </c>
      <c r="N38" s="63">
        <f t="shared" si="2"/>
        <v>1483843.0194635899</v>
      </c>
      <c r="O38" s="63">
        <v>172911.02004630963</v>
      </c>
      <c r="P38" s="63">
        <f t="shared" si="3"/>
        <v>1037466.1202778578</v>
      </c>
      <c r="Q38" s="63">
        <f t="shared" si="12"/>
        <v>238580.961785636</v>
      </c>
      <c r="R38" s="63">
        <f t="shared" si="5"/>
        <v>1431485.7707138159</v>
      </c>
      <c r="T38" s="97"/>
      <c r="W38" s="93"/>
      <c r="X38" s="93"/>
    </row>
    <row r="39" spans="2:24" ht="36" x14ac:dyDescent="0.2">
      <c r="B39" s="22" t="s">
        <v>54</v>
      </c>
      <c r="C39" s="23" t="s">
        <v>55</v>
      </c>
      <c r="D39" s="24" t="s">
        <v>30</v>
      </c>
      <c r="E39" s="27">
        <v>2</v>
      </c>
      <c r="F39" s="25">
        <v>254219</v>
      </c>
      <c r="G39" s="26">
        <f t="shared" si="11"/>
        <v>508438</v>
      </c>
      <c r="I39" s="81">
        <v>313520.10700000002</v>
      </c>
      <c r="J39" s="63">
        <f t="shared" si="1"/>
        <v>627040.21400000004</v>
      </c>
      <c r="K39" s="64"/>
      <c r="L39" s="67"/>
      <c r="M39" s="63">
        <v>266724.49996270856</v>
      </c>
      <c r="N39" s="63">
        <f t="shared" si="2"/>
        <v>533448.99992541713</v>
      </c>
      <c r="O39" s="63">
        <v>182412.39303729142</v>
      </c>
      <c r="P39" s="63">
        <f t="shared" si="3"/>
        <v>364824.78607458284</v>
      </c>
      <c r="Q39" s="63">
        <f t="shared" si="12"/>
        <v>254219</v>
      </c>
      <c r="R39" s="63">
        <f t="shared" si="5"/>
        <v>508438</v>
      </c>
      <c r="T39" s="97"/>
      <c r="W39" s="93"/>
      <c r="X39" s="93"/>
    </row>
    <row r="40" spans="2:24" ht="36" x14ac:dyDescent="0.2">
      <c r="B40" s="22" t="s">
        <v>56</v>
      </c>
      <c r="C40" s="23" t="s">
        <v>57</v>
      </c>
      <c r="D40" s="24" t="s">
        <v>30</v>
      </c>
      <c r="E40" s="27">
        <v>3</v>
      </c>
      <c r="F40" s="25">
        <v>276000</v>
      </c>
      <c r="G40" s="26">
        <f t="shared" si="11"/>
        <v>828000</v>
      </c>
      <c r="I40" s="81">
        <v>322585.67200000002</v>
      </c>
      <c r="J40" s="63">
        <f t="shared" si="1"/>
        <v>967757.01600000006</v>
      </c>
      <c r="K40" s="64"/>
      <c r="L40" s="67"/>
      <c r="M40" s="63">
        <v>293127.50391860894</v>
      </c>
      <c r="N40" s="63">
        <f t="shared" si="2"/>
        <v>879382.51175582688</v>
      </c>
      <c r="O40" s="63">
        <v>212286.82408139104</v>
      </c>
      <c r="P40" s="63">
        <f t="shared" si="3"/>
        <v>636860.47224417306</v>
      </c>
      <c r="Q40" s="63">
        <f t="shared" si="12"/>
        <v>276000</v>
      </c>
      <c r="R40" s="63">
        <f t="shared" si="5"/>
        <v>828000</v>
      </c>
      <c r="T40" s="97"/>
      <c r="W40" s="93"/>
      <c r="X40" s="93"/>
    </row>
    <row r="41" spans="2:24" ht="24" x14ac:dyDescent="0.2">
      <c r="B41" s="22" t="s">
        <v>58</v>
      </c>
      <c r="C41" s="23" t="s">
        <v>105</v>
      </c>
      <c r="D41" s="24" t="s">
        <v>30</v>
      </c>
      <c r="E41" s="27">
        <v>38</v>
      </c>
      <c r="F41" s="25">
        <v>243963</v>
      </c>
      <c r="G41" s="26">
        <f t="shared" si="11"/>
        <v>9270594</v>
      </c>
      <c r="I41" s="81">
        <v>274999.408</v>
      </c>
      <c r="J41" s="63">
        <f t="shared" si="1"/>
        <v>10449977.504000001</v>
      </c>
      <c r="K41" s="64"/>
      <c r="L41" s="67"/>
      <c r="M41" s="63">
        <v>261902.32495449911</v>
      </c>
      <c r="N41" s="63">
        <f t="shared" si="2"/>
        <v>9952288.3482709657</v>
      </c>
      <c r="O41" s="63">
        <v>194987.26704550089</v>
      </c>
      <c r="P41" s="63">
        <f t="shared" si="3"/>
        <v>7409516.1477290336</v>
      </c>
      <c r="Q41" s="63">
        <f>(I41+M41+O41)/3</f>
        <v>243963</v>
      </c>
      <c r="R41" s="63">
        <f t="shared" si="5"/>
        <v>9270594</v>
      </c>
      <c r="T41" s="97"/>
      <c r="W41" s="93"/>
      <c r="X41" s="93"/>
    </row>
    <row r="42" spans="2:24" ht="24" x14ac:dyDescent="0.2">
      <c r="B42" s="22" t="s">
        <v>59</v>
      </c>
      <c r="C42" s="23" t="s">
        <v>60</v>
      </c>
      <c r="D42" s="24" t="s">
        <v>30</v>
      </c>
      <c r="E42" s="27">
        <v>7</v>
      </c>
      <c r="F42" s="25">
        <v>82543.002162600009</v>
      </c>
      <c r="G42" s="26">
        <f t="shared" si="11"/>
        <v>577801.01513820002</v>
      </c>
      <c r="I42" s="70"/>
      <c r="J42" s="69"/>
      <c r="K42" s="62">
        <v>99900</v>
      </c>
      <c r="L42" s="68">
        <f t="shared" si="7"/>
        <v>699300</v>
      </c>
      <c r="M42" s="63">
        <v>87367.830232975015</v>
      </c>
      <c r="N42" s="63">
        <f t="shared" si="2"/>
        <v>611574.81163082505</v>
      </c>
      <c r="O42" s="63">
        <v>77718.174092225003</v>
      </c>
      <c r="P42" s="63">
        <f t="shared" si="3"/>
        <v>544027.21864557499</v>
      </c>
      <c r="Q42" s="63">
        <f t="shared" ref="Q42:Q46" si="13">(M42+O42)/2</f>
        <v>82543.002162600009</v>
      </c>
      <c r="R42" s="63">
        <f t="shared" si="5"/>
        <v>577801.01513820002</v>
      </c>
      <c r="U42" s="97"/>
      <c r="W42" s="93"/>
      <c r="X42" s="93"/>
    </row>
    <row r="43" spans="2:24" ht="24" x14ac:dyDescent="0.2">
      <c r="B43" s="22" t="s">
        <v>61</v>
      </c>
      <c r="C43" s="23" t="s">
        <v>62</v>
      </c>
      <c r="D43" s="24" t="s">
        <v>30</v>
      </c>
      <c r="E43" s="27">
        <v>10</v>
      </c>
      <c r="F43" s="25">
        <v>64543.002162600002</v>
      </c>
      <c r="G43" s="26">
        <f t="shared" si="11"/>
        <v>645430.02162600006</v>
      </c>
      <c r="I43" s="70"/>
      <c r="J43" s="69"/>
      <c r="K43" s="62">
        <v>44900</v>
      </c>
      <c r="L43" s="68">
        <f t="shared" si="7"/>
        <v>449000</v>
      </c>
      <c r="M43" s="63">
        <v>70901.25348011202</v>
      </c>
      <c r="N43" s="63">
        <f t="shared" si="2"/>
        <v>709012.53480112017</v>
      </c>
      <c r="O43" s="63">
        <v>58184.750845087983</v>
      </c>
      <c r="P43" s="63">
        <f t="shared" si="3"/>
        <v>581847.50845087983</v>
      </c>
      <c r="Q43" s="63">
        <f t="shared" si="13"/>
        <v>64543.002162600002</v>
      </c>
      <c r="R43" s="63">
        <f t="shared" si="5"/>
        <v>645430.02162600006</v>
      </c>
      <c r="U43" s="97"/>
      <c r="W43" s="93"/>
      <c r="X43" s="93"/>
    </row>
    <row r="44" spans="2:24" ht="24" x14ac:dyDescent="0.2">
      <c r="B44" s="22" t="s">
        <v>63</v>
      </c>
      <c r="C44" s="23" t="s">
        <v>64</v>
      </c>
      <c r="D44" s="24" t="s">
        <v>30</v>
      </c>
      <c r="E44" s="27">
        <v>9</v>
      </c>
      <c r="F44" s="30">
        <v>248695</v>
      </c>
      <c r="G44" s="34">
        <f t="shared" si="11"/>
        <v>2238255</v>
      </c>
      <c r="I44" s="70"/>
      <c r="J44" s="69"/>
      <c r="K44" s="62">
        <v>109900</v>
      </c>
      <c r="L44" s="68">
        <f t="shared" si="7"/>
        <v>989100</v>
      </c>
      <c r="M44" s="63">
        <v>264663.51822534518</v>
      </c>
      <c r="N44" s="63">
        <f t="shared" si="2"/>
        <v>2381971.6640281067</v>
      </c>
      <c r="O44" s="63">
        <v>232726.48177465482</v>
      </c>
      <c r="P44" s="63">
        <f t="shared" si="3"/>
        <v>2094538.3359718933</v>
      </c>
      <c r="Q44" s="63">
        <f t="shared" si="13"/>
        <v>248695</v>
      </c>
      <c r="R44" s="63">
        <f t="shared" si="5"/>
        <v>2238255</v>
      </c>
      <c r="U44" s="97"/>
      <c r="W44" s="93"/>
      <c r="X44" s="93"/>
    </row>
    <row r="45" spans="2:24" ht="24" x14ac:dyDescent="0.2">
      <c r="B45" s="22" t="s">
        <v>65</v>
      </c>
      <c r="C45" s="23" t="s">
        <v>66</v>
      </c>
      <c r="D45" s="24" t="s">
        <v>30</v>
      </c>
      <c r="E45" s="27">
        <v>12</v>
      </c>
      <c r="F45" s="30">
        <v>364177</v>
      </c>
      <c r="G45" s="34">
        <f t="shared" si="11"/>
        <v>4370124</v>
      </c>
      <c r="I45" s="70"/>
      <c r="J45" s="69"/>
      <c r="K45" s="62">
        <v>474900</v>
      </c>
      <c r="L45" s="68">
        <f t="shared" si="7"/>
        <v>5698800</v>
      </c>
      <c r="M45" s="63">
        <v>377072.61506733741</v>
      </c>
      <c r="N45" s="63">
        <f t="shared" si="2"/>
        <v>4524871.3808080489</v>
      </c>
      <c r="O45" s="63">
        <v>351281.38493266259</v>
      </c>
      <c r="P45" s="63">
        <f t="shared" si="3"/>
        <v>4215376.6191919511</v>
      </c>
      <c r="Q45" s="63">
        <f t="shared" si="13"/>
        <v>364177</v>
      </c>
      <c r="R45" s="63">
        <f t="shared" si="5"/>
        <v>4370124</v>
      </c>
      <c r="U45" s="97"/>
      <c r="W45" s="93"/>
      <c r="X45" s="93"/>
    </row>
    <row r="46" spans="2:24" ht="24" x14ac:dyDescent="0.2">
      <c r="B46" s="22" t="s">
        <v>67</v>
      </c>
      <c r="C46" s="23" t="s">
        <v>68</v>
      </c>
      <c r="D46" s="24" t="s">
        <v>30</v>
      </c>
      <c r="E46" s="27">
        <v>4</v>
      </c>
      <c r="F46" s="25">
        <v>98167.213286234997</v>
      </c>
      <c r="G46" s="26">
        <f t="shared" si="11"/>
        <v>392668.85314493999</v>
      </c>
      <c r="I46" s="72"/>
      <c r="J46" s="80"/>
      <c r="K46" s="74">
        <v>79900</v>
      </c>
      <c r="L46" s="75">
        <f t="shared" si="7"/>
        <v>319600</v>
      </c>
      <c r="M46" s="95">
        <v>101062.5751419695</v>
      </c>
      <c r="N46" s="73">
        <f t="shared" si="2"/>
        <v>404250.300567878</v>
      </c>
      <c r="O46" s="73">
        <v>95271.851430500494</v>
      </c>
      <c r="P46" s="73">
        <f t="shared" si="3"/>
        <v>381087.40572200197</v>
      </c>
      <c r="Q46" s="73">
        <f t="shared" si="13"/>
        <v>98167.213286234997</v>
      </c>
      <c r="R46" s="73">
        <f t="shared" si="5"/>
        <v>392668.85314493999</v>
      </c>
      <c r="U46" s="97"/>
      <c r="W46" s="93"/>
      <c r="X46" s="93"/>
    </row>
    <row r="47" spans="2:24" ht="6.6" customHeight="1" x14ac:dyDescent="0.2">
      <c r="C47" s="35"/>
      <c r="F47" s="36"/>
      <c r="G47" s="37"/>
      <c r="H47" s="37"/>
      <c r="I47" s="37"/>
      <c r="J47" s="37"/>
      <c r="K47" s="37"/>
      <c r="L47" s="37"/>
      <c r="M47" s="84"/>
      <c r="N47" s="84"/>
      <c r="O47" s="84"/>
      <c r="P47" s="84"/>
      <c r="Q47" s="84"/>
      <c r="R47" s="84"/>
      <c r="S47" s="37"/>
      <c r="T47" s="37"/>
      <c r="U47" s="37"/>
      <c r="V47" s="37"/>
    </row>
    <row r="48" spans="2:24" x14ac:dyDescent="0.2">
      <c r="B48" s="17">
        <v>5</v>
      </c>
      <c r="C48" s="17" t="s">
        <v>89</v>
      </c>
      <c r="D48" s="18"/>
      <c r="E48" s="19"/>
      <c r="F48" s="20"/>
      <c r="G48" s="21">
        <f>SUM(G49:G55)</f>
        <v>44131354.019999996</v>
      </c>
      <c r="H48" s="37"/>
      <c r="I48" s="37"/>
      <c r="J48" s="37"/>
      <c r="K48" s="37"/>
      <c r="L48" s="37"/>
      <c r="M48" s="84"/>
      <c r="N48" s="84"/>
      <c r="O48" s="84"/>
      <c r="P48" s="84"/>
      <c r="Q48" s="84"/>
      <c r="R48" s="84"/>
      <c r="S48" s="37"/>
      <c r="T48" s="37"/>
      <c r="U48" s="37"/>
      <c r="V48" s="37"/>
    </row>
    <row r="49" spans="2:22" x14ac:dyDescent="0.2">
      <c r="B49" s="22" t="s">
        <v>74</v>
      </c>
      <c r="C49" s="23" t="s">
        <v>106</v>
      </c>
      <c r="D49" s="24" t="s">
        <v>30</v>
      </c>
      <c r="E49" s="27">
        <v>2</v>
      </c>
      <c r="F49" s="25">
        <v>3260821.51</v>
      </c>
      <c r="G49" s="34">
        <f t="shared" ref="G49:G55" si="14">+E49*F49</f>
        <v>6521643.0199999996</v>
      </c>
      <c r="H49" s="37"/>
      <c r="I49" s="102"/>
      <c r="J49" s="103"/>
      <c r="K49" s="105">
        <v>3613525</v>
      </c>
      <c r="L49" s="105">
        <f>K49*E49</f>
        <v>7227050</v>
      </c>
      <c r="M49" s="104">
        <v>3249650</v>
      </c>
      <c r="N49" s="105">
        <f t="shared" ref="N49:N54" si="15">M49*E49</f>
        <v>6499300</v>
      </c>
      <c r="O49" s="105">
        <v>2919289.5300000003</v>
      </c>
      <c r="P49" s="105">
        <f t="shared" ref="P49:P55" si="16">O49*E49</f>
        <v>5838579.0600000005</v>
      </c>
      <c r="Q49" s="73">
        <f>(K49+M49+O49)/3</f>
        <v>3260821.5100000002</v>
      </c>
      <c r="R49" s="105">
        <f t="shared" ref="R49:R55" si="17">Q49*E49</f>
        <v>6521643.0200000005</v>
      </c>
      <c r="S49" s="37"/>
      <c r="T49" s="37"/>
      <c r="U49" s="37"/>
      <c r="V49" s="37"/>
    </row>
    <row r="50" spans="2:22" s="119" customFormat="1" ht="24" x14ac:dyDescent="0.2">
      <c r="B50" s="112" t="s">
        <v>76</v>
      </c>
      <c r="C50" s="111" t="s">
        <v>109</v>
      </c>
      <c r="D50" s="113" t="s">
        <v>23</v>
      </c>
      <c r="E50" s="114">
        <v>105</v>
      </c>
      <c r="F50" s="110">
        <v>24466</v>
      </c>
      <c r="G50" s="115">
        <f t="shared" si="14"/>
        <v>2568930</v>
      </c>
      <c r="H50" s="116"/>
      <c r="I50" s="117"/>
      <c r="J50" s="118"/>
      <c r="K50" s="118"/>
      <c r="L50" s="118"/>
      <c r="M50" s="121">
        <v>26117.696770296341</v>
      </c>
      <c r="N50" s="121">
        <f t="shared" si="15"/>
        <v>2742358.1608811156</v>
      </c>
      <c r="O50" s="121">
        <v>30573.156129703657</v>
      </c>
      <c r="P50" s="118">
        <f t="shared" si="16"/>
        <v>3210181.393618884</v>
      </c>
      <c r="Q50" s="118">
        <f>(M50+O50)/2</f>
        <v>28345.426449999999</v>
      </c>
      <c r="R50" s="118">
        <f t="shared" si="17"/>
        <v>2976269.7772499998</v>
      </c>
      <c r="S50" s="116"/>
      <c r="T50" s="116"/>
      <c r="U50" s="116"/>
      <c r="V50" s="116"/>
    </row>
    <row r="51" spans="2:22" ht="12.75" x14ac:dyDescent="0.2">
      <c r="B51" s="22" t="s">
        <v>77</v>
      </c>
      <c r="C51" s="100" t="s">
        <v>90</v>
      </c>
      <c r="D51" s="24" t="s">
        <v>30</v>
      </c>
      <c r="E51" s="56">
        <v>3</v>
      </c>
      <c r="F51" s="101">
        <v>284390</v>
      </c>
      <c r="G51" s="34">
        <f t="shared" si="14"/>
        <v>853170</v>
      </c>
      <c r="H51" s="37"/>
      <c r="I51" s="72"/>
      <c r="J51" s="80"/>
      <c r="K51" s="80"/>
      <c r="L51" s="80"/>
      <c r="M51" s="95">
        <v>297540</v>
      </c>
      <c r="N51" s="73">
        <f t="shared" si="15"/>
        <v>892620</v>
      </c>
      <c r="O51" s="73">
        <v>271240</v>
      </c>
      <c r="P51" s="73">
        <f t="shared" si="16"/>
        <v>813720</v>
      </c>
      <c r="Q51" s="73">
        <f t="shared" ref="Q51:Q55" si="18">(M51+O51)/2</f>
        <v>284390</v>
      </c>
      <c r="R51" s="73">
        <f t="shared" si="17"/>
        <v>853170</v>
      </c>
      <c r="S51" s="37"/>
      <c r="T51" s="37"/>
      <c r="U51" s="37"/>
      <c r="V51" s="37"/>
    </row>
    <row r="52" spans="2:22" ht="24" x14ac:dyDescent="0.2">
      <c r="B52" s="22" t="s">
        <v>78</v>
      </c>
      <c r="C52" s="100" t="s">
        <v>91</v>
      </c>
      <c r="D52" s="24" t="s">
        <v>30</v>
      </c>
      <c r="E52" s="56">
        <v>31</v>
      </c>
      <c r="F52" s="101">
        <v>180496</v>
      </c>
      <c r="G52" s="34">
        <f t="shared" si="14"/>
        <v>5595376</v>
      </c>
      <c r="H52" s="37"/>
      <c r="I52" s="72"/>
      <c r="J52" s="80"/>
      <c r="K52" s="80"/>
      <c r="L52" s="80"/>
      <c r="M52" s="95">
        <v>177180</v>
      </c>
      <c r="N52" s="73">
        <f t="shared" si="15"/>
        <v>5492580</v>
      </c>
      <c r="O52" s="73">
        <v>183812</v>
      </c>
      <c r="P52" s="73">
        <f t="shared" si="16"/>
        <v>5698172</v>
      </c>
      <c r="Q52" s="73">
        <f t="shared" si="18"/>
        <v>180496</v>
      </c>
      <c r="R52" s="73">
        <f t="shared" si="17"/>
        <v>5595376</v>
      </c>
      <c r="S52" s="37"/>
      <c r="T52" s="37"/>
      <c r="U52" s="37"/>
      <c r="V52" s="37"/>
    </row>
    <row r="53" spans="2:22" ht="24" x14ac:dyDescent="0.2">
      <c r="B53" s="22" t="s">
        <v>92</v>
      </c>
      <c r="C53" s="100" t="s">
        <v>93</v>
      </c>
      <c r="D53" s="24" t="s">
        <v>30</v>
      </c>
      <c r="E53" s="56">
        <v>32</v>
      </c>
      <c r="F53" s="101">
        <v>561998</v>
      </c>
      <c r="G53" s="34">
        <f t="shared" si="14"/>
        <v>17983936</v>
      </c>
      <c r="H53" s="37"/>
      <c r="I53" s="72"/>
      <c r="J53" s="80"/>
      <c r="K53" s="80"/>
      <c r="L53" s="80"/>
      <c r="M53" s="95">
        <v>580200</v>
      </c>
      <c r="N53" s="73">
        <f t="shared" si="15"/>
        <v>18566400</v>
      </c>
      <c r="O53" s="73">
        <v>543796</v>
      </c>
      <c r="P53" s="73">
        <f t="shared" si="16"/>
        <v>17401472</v>
      </c>
      <c r="Q53" s="73">
        <f t="shared" si="18"/>
        <v>561998</v>
      </c>
      <c r="R53" s="73">
        <f t="shared" si="17"/>
        <v>17983936</v>
      </c>
      <c r="S53" s="37"/>
      <c r="T53" s="37"/>
      <c r="U53" s="37"/>
      <c r="V53" s="37"/>
    </row>
    <row r="54" spans="2:22" ht="24" x14ac:dyDescent="0.2">
      <c r="B54" s="22" t="s">
        <v>94</v>
      </c>
      <c r="C54" s="100" t="s">
        <v>95</v>
      </c>
      <c r="D54" s="24" t="s">
        <v>30</v>
      </c>
      <c r="E54" s="56">
        <v>32</v>
      </c>
      <c r="F54" s="101">
        <v>308826</v>
      </c>
      <c r="G54" s="34">
        <f t="shared" si="14"/>
        <v>9882432</v>
      </c>
      <c r="H54" s="37"/>
      <c r="I54" s="72"/>
      <c r="J54" s="80"/>
      <c r="K54" s="80"/>
      <c r="L54" s="80"/>
      <c r="M54" s="95">
        <v>315010</v>
      </c>
      <c r="N54" s="73">
        <f t="shared" si="15"/>
        <v>10080320</v>
      </c>
      <c r="O54" s="73">
        <v>302642</v>
      </c>
      <c r="P54" s="73">
        <f t="shared" si="16"/>
        <v>9684544</v>
      </c>
      <c r="Q54" s="73">
        <f t="shared" si="18"/>
        <v>308826</v>
      </c>
      <c r="R54" s="73">
        <f t="shared" si="17"/>
        <v>9882432</v>
      </c>
      <c r="S54" s="37"/>
      <c r="T54" s="37"/>
      <c r="U54" s="37"/>
      <c r="V54" s="37"/>
    </row>
    <row r="55" spans="2:22" ht="24" x14ac:dyDescent="0.2">
      <c r="B55" s="22" t="s">
        <v>96</v>
      </c>
      <c r="C55" s="100" t="s">
        <v>97</v>
      </c>
      <c r="D55" s="24" t="s">
        <v>30</v>
      </c>
      <c r="E55" s="56">
        <v>1</v>
      </c>
      <c r="F55" s="101">
        <v>725867</v>
      </c>
      <c r="G55" s="34">
        <f t="shared" si="14"/>
        <v>725867</v>
      </c>
      <c r="H55" s="37"/>
      <c r="I55" s="72"/>
      <c r="J55" s="80"/>
      <c r="K55" s="80"/>
      <c r="L55" s="80"/>
      <c r="M55" s="95">
        <v>718430</v>
      </c>
      <c r="N55" s="73">
        <f>M55*E55</f>
        <v>718430</v>
      </c>
      <c r="O55" s="73">
        <v>733304</v>
      </c>
      <c r="P55" s="73">
        <f t="shared" si="16"/>
        <v>733304</v>
      </c>
      <c r="Q55" s="73">
        <f t="shared" si="18"/>
        <v>725867</v>
      </c>
      <c r="R55" s="73">
        <f t="shared" si="17"/>
        <v>725867</v>
      </c>
      <c r="S55" s="37"/>
      <c r="T55" s="37"/>
      <c r="U55" s="37"/>
      <c r="V55" s="37"/>
    </row>
    <row r="56" spans="2:22" x14ac:dyDescent="0.2">
      <c r="C56" s="35"/>
      <c r="F56" s="36"/>
      <c r="G56" s="37"/>
      <c r="H56" s="37"/>
      <c r="I56" s="37"/>
      <c r="J56" s="37"/>
      <c r="K56" s="37"/>
      <c r="L56" s="37"/>
      <c r="M56" s="84"/>
      <c r="N56" s="84"/>
      <c r="O56" s="84"/>
      <c r="P56" s="84"/>
      <c r="Q56" s="84"/>
      <c r="R56" s="84"/>
      <c r="S56" s="37"/>
      <c r="T56" s="37"/>
      <c r="U56" s="37"/>
      <c r="V56" s="37"/>
    </row>
    <row r="57" spans="2:22" ht="24" x14ac:dyDescent="0.2">
      <c r="B57" s="17">
        <v>6</v>
      </c>
      <c r="C57" s="17" t="s">
        <v>110</v>
      </c>
      <c r="D57" s="18"/>
      <c r="E57" s="19"/>
      <c r="F57" s="20"/>
      <c r="G57" s="21">
        <f>SUM(G58:G63)</f>
        <v>18425353.166666668</v>
      </c>
      <c r="H57" s="37"/>
      <c r="I57" s="37"/>
      <c r="J57" s="37"/>
      <c r="K57" s="37"/>
      <c r="L57" s="37"/>
      <c r="M57" s="131"/>
      <c r="N57" s="84"/>
      <c r="O57" s="84"/>
      <c r="P57" s="84"/>
      <c r="Q57" s="84"/>
      <c r="R57" s="84"/>
      <c r="S57" s="37"/>
      <c r="T57" s="37"/>
      <c r="U57" s="37"/>
      <c r="V57" s="37"/>
    </row>
    <row r="58" spans="2:22" s="119" customFormat="1" ht="36" x14ac:dyDescent="0.2">
      <c r="B58" s="22" t="s">
        <v>98</v>
      </c>
      <c r="C58" s="23" t="s">
        <v>111</v>
      </c>
      <c r="D58" s="24" t="s">
        <v>12</v>
      </c>
      <c r="E58" s="27">
        <v>45</v>
      </c>
      <c r="F58" s="30">
        <f>Q58</f>
        <v>167690.33333333334</v>
      </c>
      <c r="G58" s="34">
        <f t="shared" ref="G58:G63" si="19">+E58*F58</f>
        <v>7546065</v>
      </c>
      <c r="H58" s="133"/>
      <c r="I58" s="134">
        <v>144932</v>
      </c>
      <c r="J58" s="73">
        <f t="shared" ref="J58:J63" si="20">I58*E58</f>
        <v>6521940</v>
      </c>
      <c r="K58" s="73">
        <f>ROUND(159153*1.0603,0)</f>
        <v>168750</v>
      </c>
      <c r="L58" s="73">
        <f>K58*E58</f>
        <v>7593750</v>
      </c>
      <c r="M58" s="95">
        <v>165768</v>
      </c>
      <c r="N58" s="73">
        <f t="shared" ref="N58:N63" si="21">M58*E58</f>
        <v>7459560</v>
      </c>
      <c r="O58" s="73">
        <v>192371</v>
      </c>
      <c r="P58" s="73">
        <f>O58*E58</f>
        <v>8656695</v>
      </c>
      <c r="Q58" s="63">
        <f>(I58+M58+O58)/3</f>
        <v>167690.33333333334</v>
      </c>
      <c r="R58" s="73">
        <f>Q58*E58</f>
        <v>7546065</v>
      </c>
      <c r="S58" s="116"/>
      <c r="T58" s="116"/>
      <c r="U58" s="116"/>
      <c r="V58" s="116"/>
    </row>
    <row r="59" spans="2:22" ht="12.75" x14ac:dyDescent="0.2">
      <c r="B59" s="22" t="s">
        <v>99</v>
      </c>
      <c r="C59" s="100" t="s">
        <v>112</v>
      </c>
      <c r="D59" s="24" t="s">
        <v>12</v>
      </c>
      <c r="E59" s="56">
        <v>72</v>
      </c>
      <c r="F59" s="130">
        <f t="shared" ref="F59:F63" si="22">Q59</f>
        <v>6054.333333333333</v>
      </c>
      <c r="G59" s="34">
        <f t="shared" si="19"/>
        <v>435912</v>
      </c>
      <c r="H59" s="37"/>
      <c r="I59" s="72">
        <v>6133</v>
      </c>
      <c r="J59" s="80">
        <f t="shared" si="20"/>
        <v>441576</v>
      </c>
      <c r="K59" s="80"/>
      <c r="L59" s="80"/>
      <c r="M59" s="95">
        <v>5980</v>
      </c>
      <c r="N59" s="73">
        <f t="shared" si="21"/>
        <v>430560</v>
      </c>
      <c r="O59" s="73">
        <v>6050</v>
      </c>
      <c r="P59" s="73">
        <f t="shared" ref="P59:P63" si="23">O59*E59</f>
        <v>435600</v>
      </c>
      <c r="Q59" s="73">
        <f t="shared" ref="Q59:Q63" si="24">(I59+M59+O59)/3</f>
        <v>6054.333333333333</v>
      </c>
      <c r="R59" s="73">
        <f t="shared" ref="R59:R63" si="25">Q59*E59</f>
        <v>435912</v>
      </c>
      <c r="S59" s="37"/>
      <c r="T59" s="37"/>
      <c r="U59" s="37"/>
      <c r="V59" s="37"/>
    </row>
    <row r="60" spans="2:22" ht="24" x14ac:dyDescent="0.2">
      <c r="B60" s="22" t="s">
        <v>100</v>
      </c>
      <c r="C60" s="100" t="s">
        <v>114</v>
      </c>
      <c r="D60" s="24" t="s">
        <v>23</v>
      </c>
      <c r="E60" s="56">
        <v>68.400000000000006</v>
      </c>
      <c r="F60" s="130">
        <f t="shared" si="22"/>
        <v>11139.333333333334</v>
      </c>
      <c r="G60" s="34">
        <f t="shared" si="19"/>
        <v>761930.40000000014</v>
      </c>
      <c r="H60" s="37"/>
      <c r="I60" s="72">
        <v>10848</v>
      </c>
      <c r="J60" s="80">
        <f t="shared" si="20"/>
        <v>742003.20000000007</v>
      </c>
      <c r="K60" s="80">
        <f>ROUND(11457*1.0603,0)</f>
        <v>12148</v>
      </c>
      <c r="L60" s="80">
        <f>K60*E60</f>
        <v>830923.20000000007</v>
      </c>
      <c r="M60" s="95">
        <v>11230</v>
      </c>
      <c r="N60" s="73">
        <f t="shared" si="21"/>
        <v>768132.00000000012</v>
      </c>
      <c r="O60" s="73">
        <v>11340</v>
      </c>
      <c r="P60" s="73">
        <f t="shared" si="23"/>
        <v>775656.00000000012</v>
      </c>
      <c r="Q60" s="73">
        <f t="shared" si="24"/>
        <v>11139.333333333334</v>
      </c>
      <c r="R60" s="73">
        <f t="shared" si="25"/>
        <v>761930.40000000014</v>
      </c>
      <c r="S60" s="37"/>
      <c r="T60" s="37"/>
      <c r="U60" s="37"/>
      <c r="V60" s="37"/>
    </row>
    <row r="61" spans="2:22" ht="48" x14ac:dyDescent="0.2">
      <c r="B61" s="22" t="s">
        <v>113</v>
      </c>
      <c r="C61" s="100" t="s">
        <v>116</v>
      </c>
      <c r="D61" s="24" t="s">
        <v>12</v>
      </c>
      <c r="E61" s="56">
        <v>212</v>
      </c>
      <c r="F61" s="130">
        <f t="shared" si="22"/>
        <v>37787.666666666664</v>
      </c>
      <c r="G61" s="34">
        <f t="shared" si="19"/>
        <v>8010985.333333333</v>
      </c>
      <c r="H61" s="37"/>
      <c r="I61" s="72">
        <v>37843</v>
      </c>
      <c r="J61" s="80">
        <f t="shared" si="20"/>
        <v>8022716</v>
      </c>
      <c r="K61" s="80">
        <f>ROUND(35129*1.0603,0)</f>
        <v>37247</v>
      </c>
      <c r="L61" s="80">
        <f>K61*E61</f>
        <v>7896364</v>
      </c>
      <c r="M61" s="95">
        <v>36960</v>
      </c>
      <c r="N61" s="73">
        <f t="shared" si="21"/>
        <v>7835520</v>
      </c>
      <c r="O61" s="73">
        <v>38560</v>
      </c>
      <c r="P61" s="73">
        <f t="shared" si="23"/>
        <v>8174720</v>
      </c>
      <c r="Q61" s="73">
        <f t="shared" si="24"/>
        <v>37787.666666666664</v>
      </c>
      <c r="R61" s="73">
        <f t="shared" si="25"/>
        <v>8010985.333333333</v>
      </c>
      <c r="S61" s="37"/>
      <c r="T61" s="37"/>
      <c r="U61" s="37"/>
      <c r="V61" s="37"/>
    </row>
    <row r="62" spans="2:22" ht="24" x14ac:dyDescent="0.2">
      <c r="B62" s="22" t="s">
        <v>115</v>
      </c>
      <c r="C62" s="100" t="s">
        <v>118</v>
      </c>
      <c r="D62" s="24" t="s">
        <v>12</v>
      </c>
      <c r="E62" s="56">
        <v>39.700000000000003</v>
      </c>
      <c r="F62" s="130">
        <f t="shared" si="22"/>
        <v>32693</v>
      </c>
      <c r="G62" s="34">
        <f t="shared" si="19"/>
        <v>1297912.1000000001</v>
      </c>
      <c r="H62" s="37"/>
      <c r="I62" s="72">
        <v>32323</v>
      </c>
      <c r="J62" s="80">
        <f t="shared" si="20"/>
        <v>1283223.1000000001</v>
      </c>
      <c r="K62" s="80"/>
      <c r="L62" s="80"/>
      <c r="M62" s="95">
        <v>31856</v>
      </c>
      <c r="N62" s="73">
        <f t="shared" si="21"/>
        <v>1264683.2000000002</v>
      </c>
      <c r="O62" s="73">
        <v>33900</v>
      </c>
      <c r="P62" s="73">
        <f t="shared" si="23"/>
        <v>1345830</v>
      </c>
      <c r="Q62" s="73">
        <f t="shared" si="24"/>
        <v>32693</v>
      </c>
      <c r="R62" s="73">
        <f t="shared" si="25"/>
        <v>1297912.1000000001</v>
      </c>
      <c r="S62" s="37"/>
      <c r="T62" s="37"/>
      <c r="U62" s="37"/>
      <c r="V62" s="37"/>
    </row>
    <row r="63" spans="2:22" ht="24" x14ac:dyDescent="0.2">
      <c r="B63" s="22" t="s">
        <v>117</v>
      </c>
      <c r="C63" s="100" t="s">
        <v>119</v>
      </c>
      <c r="D63" s="24" t="s">
        <v>120</v>
      </c>
      <c r="E63" s="56">
        <v>2.5</v>
      </c>
      <c r="F63" s="130">
        <f t="shared" si="22"/>
        <v>149019.33333333334</v>
      </c>
      <c r="G63" s="34">
        <f t="shared" si="19"/>
        <v>372548.33333333337</v>
      </c>
      <c r="H63" s="37"/>
      <c r="I63" s="72">
        <v>148808</v>
      </c>
      <c r="J63" s="80">
        <f t="shared" si="20"/>
        <v>372020</v>
      </c>
      <c r="K63" s="80"/>
      <c r="L63" s="80"/>
      <c r="M63" s="95">
        <v>148600</v>
      </c>
      <c r="N63" s="73">
        <f t="shared" si="21"/>
        <v>371500</v>
      </c>
      <c r="O63" s="73">
        <v>149650</v>
      </c>
      <c r="P63" s="73">
        <f t="shared" si="23"/>
        <v>374125</v>
      </c>
      <c r="Q63" s="73">
        <f t="shared" si="24"/>
        <v>149019.33333333334</v>
      </c>
      <c r="R63" s="73">
        <f t="shared" si="25"/>
        <v>372548.33333333337</v>
      </c>
      <c r="S63" s="37"/>
      <c r="T63" s="37"/>
      <c r="U63" s="37"/>
      <c r="V63" s="37"/>
    </row>
    <row r="64" spans="2:22" x14ac:dyDescent="0.2">
      <c r="C64" s="35"/>
      <c r="F64" s="36"/>
      <c r="G64" s="37"/>
      <c r="H64" s="37"/>
      <c r="I64" s="37"/>
      <c r="J64" s="37"/>
      <c r="K64" s="37"/>
      <c r="L64" s="37"/>
      <c r="M64" s="84"/>
      <c r="N64" s="84"/>
      <c r="O64" s="84"/>
      <c r="P64" s="84"/>
      <c r="Q64" s="84"/>
      <c r="R64" s="84"/>
      <c r="S64" s="37"/>
      <c r="T64" s="37"/>
      <c r="U64" s="37"/>
      <c r="V64" s="37"/>
    </row>
    <row r="65" spans="2:24" ht="6.6" customHeight="1" x14ac:dyDescent="0.2">
      <c r="C65" s="35"/>
      <c r="F65" s="36"/>
      <c r="G65" s="37"/>
      <c r="H65" s="37"/>
      <c r="I65" s="37"/>
      <c r="J65" s="37"/>
      <c r="K65" s="37"/>
      <c r="L65" s="37"/>
      <c r="M65" s="84"/>
      <c r="N65" s="84"/>
      <c r="O65" s="84"/>
      <c r="P65" s="84"/>
      <c r="Q65" s="84"/>
      <c r="R65" s="84"/>
      <c r="S65" s="37"/>
      <c r="T65" s="37"/>
      <c r="U65" s="37"/>
      <c r="V65" s="37"/>
    </row>
    <row r="66" spans="2:24" x14ac:dyDescent="0.2">
      <c r="B66" s="39"/>
      <c r="C66" s="140" t="s">
        <v>69</v>
      </c>
      <c r="D66" s="141"/>
      <c r="E66" s="141"/>
      <c r="F66" s="142"/>
      <c r="G66" s="98">
        <f>G10</f>
        <v>364152402.77968693</v>
      </c>
      <c r="I66" s="66"/>
      <c r="J66" s="21">
        <f>SUM(J12:J46)</f>
        <v>78889707.022320002</v>
      </c>
      <c r="K66" s="66"/>
      <c r="L66" s="21">
        <f>SUM(L12:L46)</f>
        <v>141387370.77284643</v>
      </c>
      <c r="M66" s="83"/>
      <c r="N66" s="106">
        <f>SUM(N12:N63)</f>
        <v>381149399.67890662</v>
      </c>
      <c r="O66" s="83"/>
      <c r="P66" s="106">
        <f>SUM(P12:P63)</f>
        <v>377213307.39232963</v>
      </c>
      <c r="Q66" s="83"/>
      <c r="R66" s="106">
        <f>SUM(R12:R63)</f>
        <v>364559742.55693686</v>
      </c>
    </row>
    <row r="67" spans="2:24" x14ac:dyDescent="0.2">
      <c r="B67" s="1"/>
      <c r="C67" s="1"/>
      <c r="D67" s="1"/>
      <c r="E67" s="1"/>
      <c r="F67" s="1"/>
      <c r="G67" s="1"/>
      <c r="I67" s="1"/>
      <c r="J67" s="1"/>
      <c r="K67" s="1"/>
      <c r="L67" s="1"/>
    </row>
    <row r="68" spans="2:24" x14ac:dyDescent="0.2">
      <c r="B68" s="40"/>
      <c r="C68" s="143" t="s">
        <v>84</v>
      </c>
      <c r="D68" s="144"/>
      <c r="E68" s="144"/>
      <c r="F68" s="145"/>
      <c r="G68" s="41">
        <f>SUM(G69:G71)</f>
        <v>109245720.83390607</v>
      </c>
      <c r="I68" s="66"/>
      <c r="J68" s="41">
        <f>SUM(J69:J71)</f>
        <v>23666912.106696002</v>
      </c>
      <c r="K68" s="66"/>
      <c r="L68" s="41">
        <f>SUM(L69:L71)</f>
        <v>42416211.231853932</v>
      </c>
      <c r="M68" s="83"/>
      <c r="N68" s="87">
        <f>SUM(N69:N71)</f>
        <v>114344819.90367198</v>
      </c>
      <c r="O68" s="83"/>
      <c r="P68" s="87">
        <f>SUM(P69:P71)</f>
        <v>113163992.21769887</v>
      </c>
      <c r="Q68" s="83"/>
      <c r="R68" s="87">
        <f>SUM(R69:R71)</f>
        <v>109367922.76708105</v>
      </c>
    </row>
    <row r="69" spans="2:24" x14ac:dyDescent="0.2">
      <c r="B69" s="40"/>
      <c r="C69" s="143" t="s">
        <v>70</v>
      </c>
      <c r="D69" s="144"/>
      <c r="E69" s="144"/>
      <c r="F69" s="145"/>
      <c r="G69" s="26">
        <f>+$G$66*24%</f>
        <v>87396576.667124853</v>
      </c>
      <c r="I69" s="66"/>
      <c r="J69" s="26">
        <f>+$J$66*24%</f>
        <v>18933529.6853568</v>
      </c>
      <c r="K69" s="66"/>
      <c r="L69" s="26">
        <f>+L66*24%</f>
        <v>33932968.98548314</v>
      </c>
      <c r="M69" s="83"/>
      <c r="N69" s="88">
        <f>+N66*24%</f>
        <v>91475855.922937587</v>
      </c>
      <c r="O69" s="83"/>
      <c r="P69" s="88">
        <f>+P66*24%</f>
        <v>90531193.774159104</v>
      </c>
      <c r="Q69" s="83"/>
      <c r="R69" s="88">
        <f>+R66*24%</f>
        <v>87494338.213664845</v>
      </c>
    </row>
    <row r="70" spans="2:24" x14ac:dyDescent="0.2">
      <c r="B70" s="40"/>
      <c r="C70" s="143" t="s">
        <v>71</v>
      </c>
      <c r="D70" s="144"/>
      <c r="E70" s="144"/>
      <c r="F70" s="145"/>
      <c r="G70" s="26">
        <f>+$G$66*1%</f>
        <v>3641524.0277968692</v>
      </c>
      <c r="I70" s="66"/>
      <c r="J70" s="26">
        <f>+$J$66*1%</f>
        <v>788897.07022320002</v>
      </c>
      <c r="K70" s="66"/>
      <c r="L70" s="26">
        <f>+L66*1%</f>
        <v>1413873.7077284644</v>
      </c>
      <c r="M70" s="83"/>
      <c r="N70" s="88">
        <f>+N66*1%</f>
        <v>3811493.9967890661</v>
      </c>
      <c r="O70" s="83"/>
      <c r="P70" s="88">
        <f>+P66*1%</f>
        <v>3772133.0739232963</v>
      </c>
      <c r="Q70" s="83"/>
      <c r="R70" s="88">
        <f>+R66*1%</f>
        <v>3645597.4255693685</v>
      </c>
    </row>
    <row r="71" spans="2:24" x14ac:dyDescent="0.2">
      <c r="B71" s="42"/>
      <c r="C71" s="143" t="s">
        <v>72</v>
      </c>
      <c r="D71" s="144"/>
      <c r="E71" s="144"/>
      <c r="F71" s="145"/>
      <c r="G71" s="26">
        <f>+$G$66*5%</f>
        <v>18207620.138984349</v>
      </c>
      <c r="I71" s="66"/>
      <c r="J71" s="26">
        <f>+J66*5%</f>
        <v>3944485.3511160002</v>
      </c>
      <c r="K71" s="62"/>
      <c r="L71" s="26">
        <f>+L66*5%</f>
        <v>7069368.5386423217</v>
      </c>
      <c r="M71" s="83"/>
      <c r="N71" s="88">
        <f>+N66*5%</f>
        <v>19057469.983945332</v>
      </c>
      <c r="O71" s="83"/>
      <c r="P71" s="88">
        <f>+P66*5%</f>
        <v>18860665.369616482</v>
      </c>
      <c r="Q71" s="83"/>
      <c r="R71" s="88">
        <f>+R66*5%</f>
        <v>18227987.127846844</v>
      </c>
    </row>
    <row r="72" spans="2:24" x14ac:dyDescent="0.2">
      <c r="C72" s="35"/>
      <c r="F72" s="36"/>
      <c r="G72" s="36"/>
      <c r="H72" s="36"/>
      <c r="I72" s="36"/>
      <c r="J72" s="36"/>
      <c r="K72" s="36"/>
      <c r="L72" s="36"/>
      <c r="M72" s="89"/>
      <c r="N72" s="89"/>
      <c r="O72" s="89"/>
      <c r="P72" s="89"/>
      <c r="Q72" s="89"/>
      <c r="R72" s="89"/>
      <c r="S72" s="36"/>
      <c r="T72" s="36"/>
      <c r="U72" s="36"/>
      <c r="V72" s="36"/>
      <c r="W72" s="36"/>
      <c r="X72" s="36"/>
    </row>
    <row r="73" spans="2:24" x14ac:dyDescent="0.2">
      <c r="B73" s="43" t="s">
        <v>121</v>
      </c>
      <c r="C73" s="140" t="s">
        <v>73</v>
      </c>
      <c r="D73" s="141"/>
      <c r="E73" s="141"/>
      <c r="F73" s="142"/>
      <c r="G73" s="21">
        <f>SUM(G74:G76)</f>
        <v>10752063</v>
      </c>
      <c r="I73" s="1"/>
      <c r="J73" s="94">
        <v>0</v>
      </c>
      <c r="K73" s="1"/>
      <c r="L73" s="21">
        <f>SUM(L74:L76)</f>
        <v>17153916</v>
      </c>
      <c r="N73" s="86">
        <f>SUM(N74:N76)</f>
        <v>10967104.260000002</v>
      </c>
      <c r="P73" s="86">
        <f>SUM(P74:P76)</f>
        <v>10537021.739999998</v>
      </c>
      <c r="R73" s="86">
        <f>SUM(R74:R76)</f>
        <v>10752063</v>
      </c>
    </row>
    <row r="74" spans="2:24" x14ac:dyDescent="0.2">
      <c r="B74" s="22" t="s">
        <v>122</v>
      </c>
      <c r="C74" s="23" t="s">
        <v>75</v>
      </c>
      <c r="D74" s="24" t="s">
        <v>30</v>
      </c>
      <c r="E74" s="27">
        <v>6</v>
      </c>
      <c r="F74" s="25">
        <v>1109204</v>
      </c>
      <c r="G74" s="26">
        <f t="shared" ref="G74:G76" si="26">+E74*F74</f>
        <v>6655224</v>
      </c>
      <c r="I74" s="76"/>
      <c r="J74" s="77"/>
      <c r="K74" s="78">
        <v>1589900</v>
      </c>
      <c r="L74" s="79">
        <f t="shared" si="7"/>
        <v>9539400</v>
      </c>
      <c r="M74" s="78">
        <f>F74*1.02</f>
        <v>1131388.08</v>
      </c>
      <c r="N74" s="79">
        <f>M74*E74</f>
        <v>6788328.4800000004</v>
      </c>
      <c r="O74" s="78">
        <v>1087019.92</v>
      </c>
      <c r="P74" s="79">
        <f>O74*E74</f>
        <v>6522119.5199999996</v>
      </c>
      <c r="Q74" s="78">
        <f t="shared" ref="Q74:Q76" si="27">(M74+O74)/2</f>
        <v>1109204</v>
      </c>
      <c r="R74" s="79">
        <f>Q74*E74</f>
        <v>6655224</v>
      </c>
      <c r="T74" s="97"/>
      <c r="U74" s="97"/>
    </row>
    <row r="75" spans="2:24" ht="24" x14ac:dyDescent="0.2">
      <c r="B75" s="22" t="s">
        <v>123</v>
      </c>
      <c r="C75" s="23" t="s">
        <v>107</v>
      </c>
      <c r="D75" s="24" t="s">
        <v>30</v>
      </c>
      <c r="E75" s="27">
        <v>1</v>
      </c>
      <c r="F75" s="25">
        <v>2891465</v>
      </c>
      <c r="G75" s="26">
        <f t="shared" si="26"/>
        <v>2891465</v>
      </c>
      <c r="I75" s="71"/>
      <c r="J75" s="69"/>
      <c r="K75" s="62">
        <v>6059900</v>
      </c>
      <c r="L75" s="68">
        <f t="shared" si="7"/>
        <v>6059900</v>
      </c>
      <c r="M75" s="62">
        <v>2949294.3000000003</v>
      </c>
      <c r="N75" s="68">
        <f t="shared" ref="N75:N76" si="28">M75*E75</f>
        <v>2949294.3000000003</v>
      </c>
      <c r="O75" s="62">
        <v>2833635.6999999997</v>
      </c>
      <c r="P75" s="68">
        <f t="shared" ref="P75:P76" si="29">O75*E75</f>
        <v>2833635.6999999997</v>
      </c>
      <c r="Q75" s="62">
        <f t="shared" si="27"/>
        <v>2891465</v>
      </c>
      <c r="R75" s="68">
        <f t="shared" ref="R75:R76" si="30">Q75*E75</f>
        <v>2891465</v>
      </c>
      <c r="T75" s="97"/>
      <c r="U75" s="97"/>
    </row>
    <row r="76" spans="2:24" x14ac:dyDescent="0.2">
      <c r="B76" s="22" t="s">
        <v>124</v>
      </c>
      <c r="C76" s="23" t="s">
        <v>79</v>
      </c>
      <c r="D76" s="24" t="s">
        <v>30</v>
      </c>
      <c r="E76" s="27">
        <v>1</v>
      </c>
      <c r="F76" s="25">
        <v>1205374</v>
      </c>
      <c r="G76" s="26">
        <f t="shared" si="26"/>
        <v>1205374</v>
      </c>
      <c r="I76" s="72"/>
      <c r="J76" s="80"/>
      <c r="K76" s="74">
        <v>1554616</v>
      </c>
      <c r="L76" s="75">
        <f t="shared" si="7"/>
        <v>1554616</v>
      </c>
      <c r="M76" s="74">
        <v>1229481.48</v>
      </c>
      <c r="N76" s="75">
        <f t="shared" si="28"/>
        <v>1229481.48</v>
      </c>
      <c r="O76" s="74">
        <v>1181266.52</v>
      </c>
      <c r="P76" s="75">
        <f t="shared" si="29"/>
        <v>1181266.52</v>
      </c>
      <c r="Q76" s="74">
        <f t="shared" si="27"/>
        <v>1205374</v>
      </c>
      <c r="R76" s="75">
        <f t="shared" si="30"/>
        <v>1205374</v>
      </c>
      <c r="T76" s="97"/>
      <c r="U76" s="97"/>
    </row>
    <row r="77" spans="2:24" x14ac:dyDescent="0.2">
      <c r="B77" s="42"/>
      <c r="C77" s="143" t="s">
        <v>80</v>
      </c>
      <c r="D77" s="144"/>
      <c r="E77" s="144"/>
      <c r="F77" s="145"/>
      <c r="G77" s="21">
        <f>G73*1.12</f>
        <v>12042310.560000001</v>
      </c>
      <c r="I77" s="1"/>
      <c r="J77" s="94">
        <v>0</v>
      </c>
      <c r="K77" s="1"/>
      <c r="L77" s="21">
        <f>L73*1.12</f>
        <v>19212385.920000002</v>
      </c>
      <c r="N77" s="86">
        <f>N73*1.12</f>
        <v>12283156.771200003</v>
      </c>
      <c r="P77" s="86">
        <f>P73*1.12</f>
        <v>11801464.3488</v>
      </c>
      <c r="R77" s="86">
        <f>R73*1.12</f>
        <v>12042310.560000001</v>
      </c>
    </row>
    <row r="78" spans="2:24" x14ac:dyDescent="0.2">
      <c r="C78" s="44"/>
      <c r="D78" s="45"/>
      <c r="E78" s="45"/>
      <c r="F78" s="45"/>
      <c r="G78" s="46"/>
      <c r="I78" s="61"/>
      <c r="J78" s="61"/>
      <c r="K78" s="61"/>
      <c r="L78" s="61"/>
    </row>
    <row r="79" spans="2:24" x14ac:dyDescent="0.2">
      <c r="B79" s="39"/>
      <c r="C79" s="140" t="s">
        <v>83</v>
      </c>
      <c r="D79" s="141"/>
      <c r="E79" s="141"/>
      <c r="F79" s="142"/>
      <c r="G79" s="47">
        <f>G66+G68+G77</f>
        <v>485440434.17359298</v>
      </c>
      <c r="I79" s="61"/>
      <c r="J79" s="47">
        <f>J66+J68+J77</f>
        <v>102556619.12901601</v>
      </c>
      <c r="K79" s="61"/>
      <c r="L79" s="47">
        <f>L66+L68+L77</f>
        <v>203015967.92470038</v>
      </c>
      <c r="N79" s="90">
        <f>N66+N68+N77</f>
        <v>507777376.3537786</v>
      </c>
      <c r="P79" s="90">
        <f>P66+P68+P77</f>
        <v>502178763.95882851</v>
      </c>
      <c r="R79" s="90">
        <f>R66+R68+R77</f>
        <v>485969975.88401788</v>
      </c>
    </row>
    <row r="80" spans="2:24" x14ac:dyDescent="0.2">
      <c r="B80" s="40"/>
      <c r="F80" s="48"/>
      <c r="G80" s="49"/>
      <c r="I80" s="61"/>
      <c r="J80" s="49"/>
      <c r="K80" s="61"/>
      <c r="L80" s="49"/>
      <c r="N80" s="91"/>
      <c r="P80" s="91"/>
      <c r="R80" s="91"/>
    </row>
    <row r="81" spans="2:18" x14ac:dyDescent="0.2">
      <c r="B81" s="40"/>
      <c r="C81" s="140" t="s">
        <v>81</v>
      </c>
      <c r="D81" s="141"/>
      <c r="E81" s="141"/>
      <c r="F81" s="142"/>
      <c r="G81" s="47">
        <f>SUM(G82)</f>
        <v>3459447.8264070265</v>
      </c>
      <c r="I81" s="61"/>
      <c r="J81" s="47">
        <f>SUM(J82)</f>
        <v>749452.21671204001</v>
      </c>
      <c r="K81" s="61"/>
      <c r="L81" s="47">
        <f>SUM(L82)</f>
        <v>1343180.0223420411</v>
      </c>
      <c r="N81" s="90">
        <f>SUM(N82)</f>
        <v>3620919.2969496134</v>
      </c>
      <c r="P81" s="90">
        <f>SUM(P82)</f>
        <v>3583526.4202271318</v>
      </c>
      <c r="R81" s="90">
        <f>SUM(R82)</f>
        <v>3463317.5542909005</v>
      </c>
    </row>
    <row r="82" spans="2:18" x14ac:dyDescent="0.2">
      <c r="B82" s="40"/>
      <c r="C82" s="143" t="s">
        <v>82</v>
      </c>
      <c r="D82" s="144"/>
      <c r="E82" s="144"/>
      <c r="F82" s="145"/>
      <c r="G82" s="26">
        <f>+G71*19%</f>
        <v>3459447.8264070265</v>
      </c>
      <c r="I82" s="61"/>
      <c r="J82" s="26">
        <f>+J71*19%</f>
        <v>749452.21671204001</v>
      </c>
      <c r="K82" s="61"/>
      <c r="L82" s="26">
        <f>+L71*19%</f>
        <v>1343180.0223420411</v>
      </c>
      <c r="N82" s="88">
        <f>+N71*19%</f>
        <v>3620919.2969496134</v>
      </c>
      <c r="P82" s="88">
        <f>+P71*19%</f>
        <v>3583526.4202271318</v>
      </c>
      <c r="R82" s="88">
        <f>+R71*19%</f>
        <v>3463317.5542909005</v>
      </c>
    </row>
    <row r="83" spans="2:18" x14ac:dyDescent="0.2">
      <c r="G83" s="50"/>
      <c r="J83" s="50"/>
      <c r="L83" s="50"/>
      <c r="N83" s="85"/>
      <c r="P83" s="85"/>
      <c r="R83" s="85"/>
    </row>
    <row r="84" spans="2:18" ht="15.75" x14ac:dyDescent="0.2">
      <c r="B84" s="40"/>
      <c r="C84" s="137" t="s">
        <v>108</v>
      </c>
      <c r="D84" s="138"/>
      <c r="E84" s="138"/>
      <c r="F84" s="139"/>
      <c r="G84" s="47">
        <f>G81+G79</f>
        <v>488899882</v>
      </c>
      <c r="J84" s="47">
        <f>J81+J79</f>
        <v>103306071.34572805</v>
      </c>
      <c r="L84" s="47">
        <f>L81+L79</f>
        <v>204359147.94704241</v>
      </c>
      <c r="N84" s="90">
        <f>N81+N79</f>
        <v>511398295.65072823</v>
      </c>
      <c r="P84" s="90">
        <f>P81+P79</f>
        <v>505762290.37905562</v>
      </c>
      <c r="R84" s="107">
        <f>R81+R79</f>
        <v>489433293.43830878</v>
      </c>
    </row>
    <row r="89" spans="2:18" x14ac:dyDescent="0.2">
      <c r="P89" s="92"/>
    </row>
    <row r="92" spans="2:18" x14ac:dyDescent="0.2">
      <c r="C92" s="135" t="s">
        <v>129</v>
      </c>
    </row>
    <row r="93" spans="2:18" ht="80.099999999999994" customHeight="1" x14ac:dyDescent="0.2">
      <c r="C93" s="136"/>
    </row>
    <row r="94" spans="2:18" x14ac:dyDescent="0.2">
      <c r="C94" s="136" t="s">
        <v>133</v>
      </c>
    </row>
    <row r="95" spans="2:18" x14ac:dyDescent="0.2">
      <c r="C95" s="135" t="s">
        <v>130</v>
      </c>
    </row>
    <row r="96" spans="2:18" x14ac:dyDescent="0.2">
      <c r="C96" s="136" t="s">
        <v>128</v>
      </c>
    </row>
    <row r="97" spans="3:3" x14ac:dyDescent="0.2">
      <c r="C97" s="136" t="s">
        <v>131</v>
      </c>
    </row>
    <row r="98" spans="3:3" x14ac:dyDescent="0.2">
      <c r="C98" s="136" t="s">
        <v>132</v>
      </c>
    </row>
  </sheetData>
  <mergeCells count="24">
    <mergeCell ref="B6:G6"/>
    <mergeCell ref="B8:G8"/>
    <mergeCell ref="B9:B10"/>
    <mergeCell ref="C66:F66"/>
    <mergeCell ref="C68:F68"/>
    <mergeCell ref="B1:G1"/>
    <mergeCell ref="B2:G2"/>
    <mergeCell ref="B3:G3"/>
    <mergeCell ref="B4:G4"/>
    <mergeCell ref="B5:G5"/>
    <mergeCell ref="K9:L11"/>
    <mergeCell ref="M9:N11"/>
    <mergeCell ref="O9:P11"/>
    <mergeCell ref="Q9:R11"/>
    <mergeCell ref="C84:F84"/>
    <mergeCell ref="C71:F71"/>
    <mergeCell ref="C73:F73"/>
    <mergeCell ref="C77:F77"/>
    <mergeCell ref="C79:F79"/>
    <mergeCell ref="C81:F81"/>
    <mergeCell ref="C82:F82"/>
    <mergeCell ref="C70:F70"/>
    <mergeCell ref="C69:F69"/>
    <mergeCell ref="I9:J11"/>
  </mergeCells>
  <phoneticPr fontId="9" type="noConversion"/>
  <pageMargins left="0.7" right="0.7" top="0.75" bottom="0.75" header="0.3" footer="0.3"/>
  <pageSetup scale="34" fitToHeight="0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86BA8-797E-4F55-B9ED-2CC5E9B89FC1}">
  <dimension ref="A1"/>
  <sheetViews>
    <sheetView workbookViewId="0">
      <selection activeCell="K16" sqref="K16"/>
    </sheetView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PPTO FINAL</vt:lpstr>
      <vt:lpstr>ESTUDIO DE MERCADO</vt:lpstr>
      <vt:lpstr>Hoja1</vt:lpstr>
      <vt:lpstr>'ESTUDIO DE MERCADO'!Área_de_impresión</vt:lpstr>
      <vt:lpstr>'PPTO FINAL'!Área_de_impresión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2026-08-28T02:13:24Z</dcterms:created>
  <dcterms:modified xsi:type="dcterms:W3CDTF">2026-10-21T22:24:59Z</dcterms:modified>
</cp:coreProperties>
</file>