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mc:AlternateContent xmlns:mc="http://schemas.openxmlformats.org/markup-compatibility/2006">
    <mc:Choice Requires="x15">
      <x15ac:absPath xmlns:x15ac="http://schemas.microsoft.com/office/spreadsheetml/2010/11/ac" url="D:\2021\LICITACION PUBLICA\FERRETERIA\"/>
    </mc:Choice>
  </mc:AlternateContent>
  <xr:revisionPtr revIDLastSave="0" documentId="8_{4506C822-65A1-4FD1-B6A1-D548BB04CB5C}" xr6:coauthVersionLast="46" xr6:coauthVersionMax="46" xr10:uidLastSave="{00000000-0000-0000-0000-000000000000}"/>
  <workbookProtection workbookAlgorithmName="SHA-512" workbookHashValue="cymJX2VIr2KuIlmUGvi6WUSWmoC0wsZSVbuhbK4f0GawoNYkRgGiOfmrkRqHIWnfEp5FtKtzDLQZou+t3QGJlA==" workbookSaltValue="pg4t6CprWq0Dsjf/ahKqoQ==" workbookSpinCount="100000" lockStructure="1"/>
  <bookViews>
    <workbookView xWindow="-120" yWindow="-120" windowWidth="20730" windowHeight="11160" activeTab="6" xr2:uid="{00000000-000D-0000-FFFF-FFFF00000000}"/>
  </bookViews>
  <sheets>
    <sheet name="Carpintería" sheetId="1" r:id="rId1"/>
    <sheet name="Ornamentación" sheetId="2" r:id="rId2"/>
    <sheet name="Cerrajería" sheetId="3" r:id="rId3"/>
    <sheet name="Albañilería" sheetId="4" r:id="rId4"/>
    <sheet name="Pintura" sheetId="5" r:id="rId5"/>
    <sheet name="Eléctrico" sheetId="6" r:id="rId6"/>
    <sheet name="Plomería" sheetId="7" r:id="rId7"/>
    <sheet name="Herramientas de taller" sheetId="8" r:id="rId8"/>
  </sheets>
  <externalReferences>
    <externalReference r:id="rId9"/>
  </externalReferences>
  <definedNames>
    <definedName name="_xlnm._FilterDatabase" localSheetId="3" hidden="1">Albañilería!$A$2:$AG$119</definedName>
    <definedName name="_xlnm._FilterDatabase" localSheetId="0" hidden="1">Carpintería!$A$2:$S$64</definedName>
    <definedName name="_xlnm._FilterDatabase" localSheetId="2" hidden="1">Cerrajería!$A$2:$AE$25</definedName>
    <definedName name="_xlnm._FilterDatabase" localSheetId="5" hidden="1">Eléctrico!$A$2:$AG$130</definedName>
    <definedName name="_xlnm._FilterDatabase" localSheetId="1" hidden="1">Ornamentación!$A$2:$AG$26</definedName>
    <definedName name="_xlnm._FilterDatabase" localSheetId="4" hidden="1">Pintura!$A$2:$AE$60</definedName>
    <definedName name="_xlnm._FilterDatabase" localSheetId="6" hidden="1">Plomería!$A$2:$AE$67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13" i="8" l="1"/>
  <c r="P113" i="8" s="1"/>
  <c r="K113" i="8"/>
  <c r="L113" i="8" s="1"/>
  <c r="M113" i="8" s="1"/>
  <c r="H113" i="8"/>
  <c r="E113" i="8"/>
  <c r="F113" i="8" s="1"/>
  <c r="O112" i="8"/>
  <c r="P112" i="8" s="1"/>
  <c r="K112" i="8"/>
  <c r="H112" i="8"/>
  <c r="E112" i="8"/>
  <c r="F112" i="8" s="1"/>
  <c r="O111" i="8"/>
  <c r="P111" i="8" s="1"/>
  <c r="L111" i="8"/>
  <c r="K111" i="8"/>
  <c r="M111" i="8" s="1"/>
  <c r="H111" i="8"/>
  <c r="E111" i="8"/>
  <c r="F111" i="8" s="1"/>
  <c r="O110" i="8"/>
  <c r="P110" i="8" s="1"/>
  <c r="K110" i="8"/>
  <c r="L110" i="8" s="1"/>
  <c r="H110" i="8"/>
  <c r="I110" i="8" s="1"/>
  <c r="J110" i="8" s="1"/>
  <c r="F110" i="8"/>
  <c r="E110" i="8"/>
  <c r="O109" i="8"/>
  <c r="P109" i="8" s="1"/>
  <c r="K109" i="8"/>
  <c r="I109" i="8"/>
  <c r="J109" i="8" s="1"/>
  <c r="H109" i="8"/>
  <c r="E109" i="8"/>
  <c r="F109" i="8" s="1"/>
  <c r="O108" i="8"/>
  <c r="P108" i="8" s="1"/>
  <c r="L108" i="8"/>
  <c r="K108" i="8"/>
  <c r="H108" i="8"/>
  <c r="F108" i="8"/>
  <c r="E108" i="8"/>
  <c r="O107" i="8"/>
  <c r="P107" i="8" s="1"/>
  <c r="L107" i="8"/>
  <c r="K107" i="8"/>
  <c r="M107" i="8" s="1"/>
  <c r="H107" i="8"/>
  <c r="E107" i="8"/>
  <c r="F107" i="8" s="1"/>
  <c r="P106" i="8"/>
  <c r="O106" i="8"/>
  <c r="K106" i="8"/>
  <c r="H106" i="8"/>
  <c r="E106" i="8"/>
  <c r="F106" i="8" s="1"/>
  <c r="O105" i="8"/>
  <c r="P105" i="8" s="1"/>
  <c r="K105" i="8"/>
  <c r="I105" i="8"/>
  <c r="H105" i="8"/>
  <c r="E105" i="8"/>
  <c r="F105" i="8" s="1"/>
  <c r="O104" i="8"/>
  <c r="P104" i="8" s="1"/>
  <c r="K104" i="8"/>
  <c r="L104" i="8" s="1"/>
  <c r="H104" i="8"/>
  <c r="I104" i="8" s="1"/>
  <c r="J104" i="8" s="1"/>
  <c r="E104" i="8"/>
  <c r="F104" i="8" s="1"/>
  <c r="O103" i="8"/>
  <c r="P103" i="8" s="1"/>
  <c r="K103" i="8"/>
  <c r="H103" i="8"/>
  <c r="I103" i="8" s="1"/>
  <c r="J103" i="8" s="1"/>
  <c r="E103" i="8"/>
  <c r="F103" i="8" s="1"/>
  <c r="O102" i="8"/>
  <c r="P102" i="8" s="1"/>
  <c r="L102" i="8"/>
  <c r="M102" i="8" s="1"/>
  <c r="O101" i="8"/>
  <c r="P101" i="8" s="1"/>
  <c r="K101" i="8"/>
  <c r="L101" i="8" s="1"/>
  <c r="H101" i="8"/>
  <c r="I101" i="8" s="1"/>
  <c r="J101" i="8" s="1"/>
  <c r="F101" i="8"/>
  <c r="E101" i="8"/>
  <c r="O100" i="8"/>
  <c r="P100" i="8" s="1"/>
  <c r="K100" i="8"/>
  <c r="I100" i="8"/>
  <c r="J100" i="8" s="1"/>
  <c r="H100" i="8"/>
  <c r="E100" i="8"/>
  <c r="F100" i="8" s="1"/>
  <c r="O99" i="8"/>
  <c r="P99" i="8" s="1"/>
  <c r="L99" i="8"/>
  <c r="K99" i="8"/>
  <c r="H99" i="8"/>
  <c r="F99" i="8"/>
  <c r="E99" i="8"/>
  <c r="O98" i="8"/>
  <c r="P98" i="8" s="1"/>
  <c r="L98" i="8"/>
  <c r="K98" i="8"/>
  <c r="M98" i="8" s="1"/>
  <c r="H98" i="8"/>
  <c r="E98" i="8"/>
  <c r="F98" i="8" s="1"/>
  <c r="P97" i="8"/>
  <c r="O97" i="8"/>
  <c r="K97" i="8"/>
  <c r="H97" i="8"/>
  <c r="I97" i="8" s="1"/>
  <c r="J97" i="8" s="1"/>
  <c r="E97" i="8"/>
  <c r="F97" i="8" s="1"/>
  <c r="O96" i="8"/>
  <c r="P96" i="8" s="1"/>
  <c r="K96" i="8"/>
  <c r="I96" i="8"/>
  <c r="H96" i="8"/>
  <c r="E96" i="8"/>
  <c r="F96" i="8" s="1"/>
  <c r="O95" i="8"/>
  <c r="P95" i="8" s="1"/>
  <c r="K95" i="8"/>
  <c r="L95" i="8" s="1"/>
  <c r="H95" i="8"/>
  <c r="I95" i="8" s="1"/>
  <c r="J95" i="8" s="1"/>
  <c r="E95" i="8"/>
  <c r="F95" i="8" s="1"/>
  <c r="O94" i="8"/>
  <c r="P94" i="8" s="1"/>
  <c r="K94" i="8"/>
  <c r="H94" i="8"/>
  <c r="I94" i="8" s="1"/>
  <c r="J94" i="8" s="1"/>
  <c r="E94" i="8"/>
  <c r="F94" i="8" s="1"/>
  <c r="O93" i="8"/>
  <c r="P93" i="8" s="1"/>
  <c r="L93" i="8"/>
  <c r="K93" i="8"/>
  <c r="H93" i="8"/>
  <c r="E93" i="8"/>
  <c r="F93" i="8" s="1"/>
  <c r="O92" i="8"/>
  <c r="P92" i="8" s="1"/>
  <c r="K92" i="8"/>
  <c r="F92" i="8"/>
  <c r="E92" i="8"/>
  <c r="O91" i="8"/>
  <c r="P91" i="8" s="1"/>
  <c r="L91" i="8"/>
  <c r="M91" i="8" s="1"/>
  <c r="K91" i="8"/>
  <c r="H91" i="8"/>
  <c r="E91" i="8"/>
  <c r="F91" i="8" s="1"/>
  <c r="P90" i="8"/>
  <c r="O90" i="8"/>
  <c r="K90" i="8"/>
  <c r="J90" i="8"/>
  <c r="I90" i="8"/>
  <c r="H90" i="8"/>
  <c r="E90" i="8"/>
  <c r="F90" i="8" s="1"/>
  <c r="P89" i="8"/>
  <c r="O89" i="8"/>
  <c r="K89" i="8"/>
  <c r="H89" i="8"/>
  <c r="F89" i="8"/>
  <c r="E89" i="8"/>
  <c r="O88" i="8"/>
  <c r="P88" i="8" s="1"/>
  <c r="H88" i="8"/>
  <c r="I88" i="8" s="1"/>
  <c r="J88" i="8" s="1"/>
  <c r="E88" i="8"/>
  <c r="F88" i="8" s="1"/>
  <c r="O87" i="8"/>
  <c r="P87" i="8" s="1"/>
  <c r="H87" i="8"/>
  <c r="E87" i="8"/>
  <c r="F87" i="8" s="1"/>
  <c r="O86" i="8"/>
  <c r="P86" i="8" s="1"/>
  <c r="K86" i="8"/>
  <c r="H86" i="8"/>
  <c r="I86" i="8" s="1"/>
  <c r="E86" i="8"/>
  <c r="F86" i="8" s="1"/>
  <c r="O85" i="8"/>
  <c r="P85" i="8" s="1"/>
  <c r="K85" i="8"/>
  <c r="L85" i="8" s="1"/>
  <c r="M85" i="8" s="1"/>
  <c r="H85" i="8"/>
  <c r="E85" i="8"/>
  <c r="F85" i="8" s="1"/>
  <c r="P84" i="8"/>
  <c r="O84" i="8"/>
  <c r="K84" i="8"/>
  <c r="I84" i="8"/>
  <c r="H84" i="8"/>
  <c r="E84" i="8"/>
  <c r="F84" i="8" s="1"/>
  <c r="O83" i="8"/>
  <c r="P83" i="8" s="1"/>
  <c r="K83" i="8"/>
  <c r="L83" i="8" s="1"/>
  <c r="M83" i="8" s="1"/>
  <c r="H83" i="8"/>
  <c r="F83" i="8"/>
  <c r="E83" i="8"/>
  <c r="O82" i="8"/>
  <c r="P82" i="8" s="1"/>
  <c r="K82" i="8"/>
  <c r="L82" i="8" s="1"/>
  <c r="M82" i="8" s="1"/>
  <c r="E82" i="8"/>
  <c r="F82" i="8" s="1"/>
  <c r="O81" i="8"/>
  <c r="P81" i="8" s="1"/>
  <c r="L81" i="8"/>
  <c r="K81" i="8"/>
  <c r="E81" i="8"/>
  <c r="F81" i="8" s="1"/>
  <c r="O80" i="8"/>
  <c r="P80" i="8" s="1"/>
  <c r="K80" i="8"/>
  <c r="L80" i="8" s="1"/>
  <c r="M80" i="8" s="1"/>
  <c r="H80" i="8"/>
  <c r="E80" i="8"/>
  <c r="F80" i="8" s="1"/>
  <c r="O79" i="8"/>
  <c r="P79" i="8" s="1"/>
  <c r="K79" i="8"/>
  <c r="L79" i="8" s="1"/>
  <c r="M79" i="8" s="1"/>
  <c r="H79" i="8"/>
  <c r="F79" i="8"/>
  <c r="E79" i="8"/>
  <c r="O78" i="8"/>
  <c r="P78" i="8" s="1"/>
  <c r="K78" i="8"/>
  <c r="H78" i="8"/>
  <c r="E78" i="8"/>
  <c r="F78" i="8" s="1"/>
  <c r="O77" i="8"/>
  <c r="P77" i="8" s="1"/>
  <c r="K77" i="8"/>
  <c r="E77" i="8"/>
  <c r="F77" i="8" s="1"/>
  <c r="O76" i="8"/>
  <c r="P76" i="8" s="1"/>
  <c r="K76" i="8"/>
  <c r="F76" i="8"/>
  <c r="E76" i="8"/>
  <c r="O75" i="8"/>
  <c r="P75" i="8" s="1"/>
  <c r="K75" i="8"/>
  <c r="H75" i="8"/>
  <c r="I75" i="8" s="1"/>
  <c r="J75" i="8" s="1"/>
  <c r="E75" i="8"/>
  <c r="F75" i="8" s="1"/>
  <c r="P74" i="8"/>
  <c r="O74" i="8"/>
  <c r="K74" i="8"/>
  <c r="H74" i="8"/>
  <c r="I74" i="8" s="1"/>
  <c r="F74" i="8"/>
  <c r="E74" i="8"/>
  <c r="O73" i="8"/>
  <c r="P73" i="8" s="1"/>
  <c r="K73" i="8"/>
  <c r="L73" i="8" s="1"/>
  <c r="M73" i="8" s="1"/>
  <c r="E73" i="8"/>
  <c r="F73" i="8" s="1"/>
  <c r="O72" i="8"/>
  <c r="P72" i="8" s="1"/>
  <c r="L72" i="8"/>
  <c r="K72" i="8"/>
  <c r="M72" i="8" s="1"/>
  <c r="O71" i="8"/>
  <c r="P71" i="8" s="1"/>
  <c r="K71" i="8"/>
  <c r="L71" i="8" s="1"/>
  <c r="M71" i="8" s="1"/>
  <c r="O70" i="8"/>
  <c r="P70" i="8" s="1"/>
  <c r="K70" i="8"/>
  <c r="L70" i="8" s="1"/>
  <c r="E70" i="8"/>
  <c r="F70" i="8" s="1"/>
  <c r="O69" i="8"/>
  <c r="P69" i="8" s="1"/>
  <c r="K69" i="8"/>
  <c r="L69" i="8" s="1"/>
  <c r="M69" i="8" s="1"/>
  <c r="O68" i="8"/>
  <c r="P68" i="8" s="1"/>
  <c r="H68" i="8"/>
  <c r="F68" i="8"/>
  <c r="E68" i="8"/>
  <c r="O67" i="8"/>
  <c r="P67" i="8" s="1"/>
  <c r="K67" i="8"/>
  <c r="L67" i="8" s="1"/>
  <c r="M67" i="8" s="1"/>
  <c r="H67" i="8"/>
  <c r="E67" i="8"/>
  <c r="F67" i="8" s="1"/>
  <c r="O66" i="8"/>
  <c r="P66" i="8" s="1"/>
  <c r="L66" i="8"/>
  <c r="K66" i="8"/>
  <c r="H66" i="8"/>
  <c r="E66" i="8"/>
  <c r="F66" i="8" s="1"/>
  <c r="O65" i="8"/>
  <c r="P65" i="8" s="1"/>
  <c r="K65" i="8"/>
  <c r="L65" i="8" s="1"/>
  <c r="M65" i="8" s="1"/>
  <c r="H65" i="8"/>
  <c r="E65" i="8"/>
  <c r="F65" i="8" s="1"/>
  <c r="O64" i="8"/>
  <c r="P64" i="8" s="1"/>
  <c r="K64" i="8"/>
  <c r="L64" i="8" s="1"/>
  <c r="M64" i="8" s="1"/>
  <c r="H64" i="8"/>
  <c r="E64" i="8"/>
  <c r="F64" i="8" s="1"/>
  <c r="O63" i="8"/>
  <c r="P63" i="8" s="1"/>
  <c r="K63" i="8"/>
  <c r="H63" i="8"/>
  <c r="E63" i="8"/>
  <c r="F63" i="8" s="1"/>
  <c r="O62" i="8"/>
  <c r="P62" i="8" s="1"/>
  <c r="K62" i="8"/>
  <c r="H62" i="8"/>
  <c r="I62" i="8" s="1"/>
  <c r="E62" i="8"/>
  <c r="F62" i="8" s="1"/>
  <c r="O44" i="8"/>
  <c r="P44" i="8" s="1"/>
  <c r="K44" i="8"/>
  <c r="L44" i="8" s="1"/>
  <c r="M44" i="8" s="1"/>
  <c r="H44" i="8"/>
  <c r="E44" i="8"/>
  <c r="F44" i="8" s="1"/>
  <c r="P28" i="8"/>
  <c r="O28" i="8"/>
  <c r="K28" i="8"/>
  <c r="E28" i="8"/>
  <c r="F28" i="8" s="1"/>
  <c r="O11" i="8"/>
  <c r="P11" i="8" s="1"/>
  <c r="K11" i="8"/>
  <c r="L11" i="8" s="1"/>
  <c r="E11" i="8"/>
  <c r="F11" i="8" s="1"/>
  <c r="O10" i="8"/>
  <c r="P10" i="8" s="1"/>
  <c r="K10" i="8"/>
  <c r="L10" i="8" s="1"/>
  <c r="M10" i="8" s="1"/>
  <c r="E10" i="8"/>
  <c r="F10" i="8" s="1"/>
  <c r="O9" i="8"/>
  <c r="P9" i="8" s="1"/>
  <c r="M9" i="8"/>
  <c r="L9" i="8"/>
  <c r="H9" i="8"/>
  <c r="F9" i="8"/>
  <c r="E9" i="8"/>
  <c r="O8" i="8"/>
  <c r="P8" i="8" s="1"/>
  <c r="E8" i="8"/>
  <c r="F8" i="8" s="1"/>
  <c r="O7" i="8"/>
  <c r="P7" i="8" s="1"/>
  <c r="K7" i="8"/>
  <c r="L7" i="8" s="1"/>
  <c r="M7" i="8" s="1"/>
  <c r="E7" i="8"/>
  <c r="F7" i="8" s="1"/>
  <c r="O6" i="8"/>
  <c r="P6" i="8" s="1"/>
  <c r="K6" i="8"/>
  <c r="E6" i="8"/>
  <c r="F6" i="8" s="1"/>
  <c r="O5" i="8"/>
  <c r="P5" i="8" s="1"/>
  <c r="L5" i="8"/>
  <c r="K5" i="8"/>
  <c r="E5" i="8"/>
  <c r="F5" i="8" s="1"/>
  <c r="O4" i="8"/>
  <c r="P4" i="8" s="1"/>
  <c r="K4" i="8"/>
  <c r="E4" i="8"/>
  <c r="F4" i="8" s="1"/>
  <c r="O3" i="8"/>
  <c r="P3" i="8" s="1"/>
  <c r="K3" i="8"/>
  <c r="L3" i="8" s="1"/>
  <c r="M3" i="8" s="1"/>
  <c r="E3" i="8"/>
  <c r="F3" i="8" s="1"/>
  <c r="AE67" i="7"/>
  <c r="AE66" i="7"/>
  <c r="AE65" i="7"/>
  <c r="AE64" i="7"/>
  <c r="AE63" i="7"/>
  <c r="AE62" i="7"/>
  <c r="AE61" i="7"/>
  <c r="AE60" i="7"/>
  <c r="AE59" i="7"/>
  <c r="AE58" i="7"/>
  <c r="AE57" i="7"/>
  <c r="AE56" i="7"/>
  <c r="AE55" i="7"/>
  <c r="AE54" i="7"/>
  <c r="AE53" i="7"/>
  <c r="AE52" i="7"/>
  <c r="AE51" i="7"/>
  <c r="AE50" i="7"/>
  <c r="AE49" i="7"/>
  <c r="AE48" i="7"/>
  <c r="AE47" i="7"/>
  <c r="AE46" i="7"/>
  <c r="AE45" i="7"/>
  <c r="AE44" i="7"/>
  <c r="AE43" i="7"/>
  <c r="AE42" i="7"/>
  <c r="AE41" i="7"/>
  <c r="AE40" i="7"/>
  <c r="AE39" i="7"/>
  <c r="AE38" i="7"/>
  <c r="AE37" i="7"/>
  <c r="AE36" i="7"/>
  <c r="AE35" i="7"/>
  <c r="AE34" i="7"/>
  <c r="AE33" i="7"/>
  <c r="AE32" i="7"/>
  <c r="AE31" i="7"/>
  <c r="AE30" i="7"/>
  <c r="AE29" i="7"/>
  <c r="AE28" i="7"/>
  <c r="AE27" i="7"/>
  <c r="AE26" i="7"/>
  <c r="AE25" i="7"/>
  <c r="AE24" i="7"/>
  <c r="AE23" i="7"/>
  <c r="AE22" i="7"/>
  <c r="AE21" i="7"/>
  <c r="AE20" i="7"/>
  <c r="AE19" i="7"/>
  <c r="AE18" i="7"/>
  <c r="AE17" i="7"/>
  <c r="AE16" i="7"/>
  <c r="AE15" i="7"/>
  <c r="AE14" i="7"/>
  <c r="AE13" i="7"/>
  <c r="AE12" i="7"/>
  <c r="AE11" i="7"/>
  <c r="AE10" i="7"/>
  <c r="AE9" i="7"/>
  <c r="AE8" i="7"/>
  <c r="AE7" i="7"/>
  <c r="AE6" i="7"/>
  <c r="AE5" i="7"/>
  <c r="AE4" i="7"/>
  <c r="AE3" i="7"/>
  <c r="AG130" i="6"/>
  <c r="AG129" i="6"/>
  <c r="AG128" i="6"/>
  <c r="AG127" i="6"/>
  <c r="AG126" i="6"/>
  <c r="AG125" i="6"/>
  <c r="AG124" i="6"/>
  <c r="AG123" i="6"/>
  <c r="AG122" i="6"/>
  <c r="AG121" i="6"/>
  <c r="AG120" i="6"/>
  <c r="AG119" i="6"/>
  <c r="AG118" i="6"/>
  <c r="AG117" i="6"/>
  <c r="AG116" i="6"/>
  <c r="AG115" i="6"/>
  <c r="AG114" i="6"/>
  <c r="AG113" i="6"/>
  <c r="AG112" i="6"/>
  <c r="AG111" i="6"/>
  <c r="AG110" i="6"/>
  <c r="AG109" i="6"/>
  <c r="AG108" i="6"/>
  <c r="AG107" i="6"/>
  <c r="AG106" i="6"/>
  <c r="AG105" i="6"/>
  <c r="AG104" i="6"/>
  <c r="AG103" i="6"/>
  <c r="AG102" i="6"/>
  <c r="AG101" i="6"/>
  <c r="AG100" i="6"/>
  <c r="AG98" i="6"/>
  <c r="AG97" i="6"/>
  <c r="AG96" i="6"/>
  <c r="AG95" i="6"/>
  <c r="AG94" i="6"/>
  <c r="AG93" i="6"/>
  <c r="AG92" i="6"/>
  <c r="AG91" i="6"/>
  <c r="AG90" i="6"/>
  <c r="AG89" i="6"/>
  <c r="AG88" i="6"/>
  <c r="AG87" i="6"/>
  <c r="AG86" i="6"/>
  <c r="AG85" i="6"/>
  <c r="AG84" i="6"/>
  <c r="AG83" i="6"/>
  <c r="AG82" i="6"/>
  <c r="AG81" i="6"/>
  <c r="AG80" i="6"/>
  <c r="AG79" i="6"/>
  <c r="AG78" i="6"/>
  <c r="AG77" i="6"/>
  <c r="AG76" i="6"/>
  <c r="AG75" i="6"/>
  <c r="AG74" i="6"/>
  <c r="AG73" i="6"/>
  <c r="AG72" i="6"/>
  <c r="AG71" i="6"/>
  <c r="AG70" i="6"/>
  <c r="AG69" i="6"/>
  <c r="AG68" i="6"/>
  <c r="AG67" i="6"/>
  <c r="AG66" i="6"/>
  <c r="AG65" i="6"/>
  <c r="AG64" i="6"/>
  <c r="AG63" i="6"/>
  <c r="AG62" i="6"/>
  <c r="AG61" i="6"/>
  <c r="AG60" i="6"/>
  <c r="AG59" i="6"/>
  <c r="AG58" i="6"/>
  <c r="AG57" i="6"/>
  <c r="AG56" i="6"/>
  <c r="AG55" i="6"/>
  <c r="AG54" i="6"/>
  <c r="AG53" i="6"/>
  <c r="AG52" i="6"/>
  <c r="AG51" i="6"/>
  <c r="AG50" i="6"/>
  <c r="AG49" i="6"/>
  <c r="AG48" i="6"/>
  <c r="AG47" i="6"/>
  <c r="AG46" i="6"/>
  <c r="AG45" i="6"/>
  <c r="AG44" i="6"/>
  <c r="AG43" i="6"/>
  <c r="AG42" i="6"/>
  <c r="AG41" i="6"/>
  <c r="AG40" i="6"/>
  <c r="AG39" i="6"/>
  <c r="AG38" i="6"/>
  <c r="AG37" i="6"/>
  <c r="AG36" i="6"/>
  <c r="AG35" i="6"/>
  <c r="AG34" i="6"/>
  <c r="AG33" i="6"/>
  <c r="AG32" i="6"/>
  <c r="AG31" i="6"/>
  <c r="AG30" i="6"/>
  <c r="AG29" i="6"/>
  <c r="AG28" i="6"/>
  <c r="AG27" i="6"/>
  <c r="AG26" i="6"/>
  <c r="AG25" i="6"/>
  <c r="AG24" i="6"/>
  <c r="AG23" i="6"/>
  <c r="AG22" i="6"/>
  <c r="AG21" i="6"/>
  <c r="AG20" i="6"/>
  <c r="AG19" i="6"/>
  <c r="AG18" i="6"/>
  <c r="AG17" i="6"/>
  <c r="AG16" i="6"/>
  <c r="AG15" i="6"/>
  <c r="AG14" i="6"/>
  <c r="AG13" i="6"/>
  <c r="AG12" i="6"/>
  <c r="AG11" i="6"/>
  <c r="AG10" i="6"/>
  <c r="AG9" i="6"/>
  <c r="AG8" i="6"/>
  <c r="AG7" i="6"/>
  <c r="AG6" i="6"/>
  <c r="AG5" i="6"/>
  <c r="AG4" i="6"/>
  <c r="AG3" i="6"/>
  <c r="AE60" i="5"/>
  <c r="AE59" i="5"/>
  <c r="AE58" i="5"/>
  <c r="AE57" i="5"/>
  <c r="AE56" i="5"/>
  <c r="AE55" i="5"/>
  <c r="AE54" i="5"/>
  <c r="AE53" i="5"/>
  <c r="AE52" i="5"/>
  <c r="AE51" i="5"/>
  <c r="AE50" i="5"/>
  <c r="AE49" i="5"/>
  <c r="AE48" i="5"/>
  <c r="AE47" i="5"/>
  <c r="AE46" i="5"/>
  <c r="AE45" i="5"/>
  <c r="AE44" i="5"/>
  <c r="AE43" i="5"/>
  <c r="AE42" i="5"/>
  <c r="AE41" i="5"/>
  <c r="AE40" i="5"/>
  <c r="AE39" i="5"/>
  <c r="AE38" i="5"/>
  <c r="AE37" i="5"/>
  <c r="AE36" i="5"/>
  <c r="AE35" i="5"/>
  <c r="AE34" i="5"/>
  <c r="AE33" i="5"/>
  <c r="AE32" i="5"/>
  <c r="AE31" i="5"/>
  <c r="AE30" i="5"/>
  <c r="AE29" i="5"/>
  <c r="AE28" i="5"/>
  <c r="AE27" i="5"/>
  <c r="AE26" i="5"/>
  <c r="AE25" i="5"/>
  <c r="AE24" i="5"/>
  <c r="AE23" i="5"/>
  <c r="AE22" i="5"/>
  <c r="AE21" i="5"/>
  <c r="AE20" i="5"/>
  <c r="AE19" i="5"/>
  <c r="AE18" i="5"/>
  <c r="AE17" i="5"/>
  <c r="AE16" i="5"/>
  <c r="AE15" i="5"/>
  <c r="AE14" i="5"/>
  <c r="AE13" i="5"/>
  <c r="AE12" i="5"/>
  <c r="AE11" i="5"/>
  <c r="AE10" i="5"/>
  <c r="AE9" i="5"/>
  <c r="AE8" i="5"/>
  <c r="AE7" i="5"/>
  <c r="AE6" i="5"/>
  <c r="AE5" i="5"/>
  <c r="AE4" i="5"/>
  <c r="AE3" i="5"/>
  <c r="AG119" i="4"/>
  <c r="U119" i="4"/>
  <c r="T119" i="4"/>
  <c r="AG118" i="4"/>
  <c r="U118" i="4"/>
  <c r="T118" i="4"/>
  <c r="AG117" i="4"/>
  <c r="U117" i="4"/>
  <c r="T117" i="4"/>
  <c r="AG116" i="4"/>
  <c r="U116" i="4"/>
  <c r="T116" i="4"/>
  <c r="AG115" i="4"/>
  <c r="U115" i="4"/>
  <c r="T115" i="4"/>
  <c r="AG114" i="4"/>
  <c r="U114" i="4"/>
  <c r="T114" i="4"/>
  <c r="AG113" i="4"/>
  <c r="U113" i="4"/>
  <c r="T113" i="4"/>
  <c r="AG112" i="4"/>
  <c r="U112" i="4"/>
  <c r="T112" i="4"/>
  <c r="AG111" i="4"/>
  <c r="U111" i="4"/>
  <c r="T111" i="4"/>
  <c r="AG110" i="4"/>
  <c r="U110" i="4"/>
  <c r="T110" i="4"/>
  <c r="AG109" i="4"/>
  <c r="U109" i="4"/>
  <c r="T109" i="4"/>
  <c r="AG108" i="4"/>
  <c r="U108" i="4"/>
  <c r="T108" i="4"/>
  <c r="AG107" i="4"/>
  <c r="U107" i="4"/>
  <c r="T107" i="4"/>
  <c r="AG106" i="4"/>
  <c r="U106" i="4"/>
  <c r="T106" i="4"/>
  <c r="AG105" i="4"/>
  <c r="U105" i="4"/>
  <c r="T105" i="4"/>
  <c r="AG104" i="4"/>
  <c r="U104" i="4"/>
  <c r="T104" i="4"/>
  <c r="AG103" i="4"/>
  <c r="U103" i="4"/>
  <c r="T103" i="4"/>
  <c r="AG102" i="4"/>
  <c r="U102" i="4"/>
  <c r="T102" i="4"/>
  <c r="AG101" i="4"/>
  <c r="U101" i="4"/>
  <c r="T101" i="4"/>
  <c r="AG100" i="4"/>
  <c r="U100" i="4"/>
  <c r="T100" i="4"/>
  <c r="AG99" i="4"/>
  <c r="U99" i="4"/>
  <c r="T99" i="4"/>
  <c r="AG98" i="4"/>
  <c r="U98" i="4"/>
  <c r="T98" i="4"/>
  <c r="AG97" i="4"/>
  <c r="U97" i="4"/>
  <c r="T97" i="4"/>
  <c r="AG96" i="4"/>
  <c r="U96" i="4"/>
  <c r="T96" i="4"/>
  <c r="AG95" i="4"/>
  <c r="U95" i="4"/>
  <c r="T95" i="4"/>
  <c r="AG94" i="4"/>
  <c r="U94" i="4"/>
  <c r="T94" i="4"/>
  <c r="AG93" i="4"/>
  <c r="U93" i="4"/>
  <c r="T93" i="4"/>
  <c r="AG92" i="4"/>
  <c r="U92" i="4"/>
  <c r="T92" i="4"/>
  <c r="AG91" i="4"/>
  <c r="U91" i="4"/>
  <c r="T91" i="4"/>
  <c r="AG90" i="4"/>
  <c r="U90" i="4"/>
  <c r="T90" i="4"/>
  <c r="AG89" i="4"/>
  <c r="U89" i="4"/>
  <c r="T89" i="4"/>
  <c r="AG88" i="4"/>
  <c r="U88" i="4"/>
  <c r="T88" i="4"/>
  <c r="AG87" i="4"/>
  <c r="U87" i="4"/>
  <c r="T87" i="4"/>
  <c r="AG86" i="4"/>
  <c r="U86" i="4"/>
  <c r="T86" i="4"/>
  <c r="AG85" i="4"/>
  <c r="U85" i="4"/>
  <c r="T85" i="4"/>
  <c r="AG84" i="4"/>
  <c r="U84" i="4"/>
  <c r="T84" i="4"/>
  <c r="AG83" i="4"/>
  <c r="U83" i="4"/>
  <c r="T83" i="4"/>
  <c r="AG82" i="4"/>
  <c r="U82" i="4"/>
  <c r="T82" i="4"/>
  <c r="AG81" i="4"/>
  <c r="U81" i="4"/>
  <c r="T81" i="4"/>
  <c r="AG80" i="4"/>
  <c r="U80" i="4"/>
  <c r="T80" i="4"/>
  <c r="AG79" i="4"/>
  <c r="U79" i="4"/>
  <c r="T79" i="4"/>
  <c r="AG78" i="4"/>
  <c r="U78" i="4"/>
  <c r="T78" i="4"/>
  <c r="AG77" i="4"/>
  <c r="U77" i="4"/>
  <c r="T77" i="4"/>
  <c r="AG76" i="4"/>
  <c r="U76" i="4"/>
  <c r="T76" i="4"/>
  <c r="AG75" i="4"/>
  <c r="U75" i="4"/>
  <c r="T75" i="4"/>
  <c r="AG74" i="4"/>
  <c r="U74" i="4"/>
  <c r="T74" i="4"/>
  <c r="AG73" i="4"/>
  <c r="U73" i="4"/>
  <c r="T73" i="4"/>
  <c r="AG72" i="4"/>
  <c r="U72" i="4"/>
  <c r="T72" i="4"/>
  <c r="AG71" i="4"/>
  <c r="U71" i="4"/>
  <c r="T71" i="4"/>
  <c r="AG70" i="4"/>
  <c r="U70" i="4"/>
  <c r="T70" i="4"/>
  <c r="AG69" i="4"/>
  <c r="U69" i="4"/>
  <c r="T69" i="4"/>
  <c r="AG68" i="4"/>
  <c r="U68" i="4"/>
  <c r="T68" i="4"/>
  <c r="AG67" i="4"/>
  <c r="U67" i="4"/>
  <c r="T67" i="4"/>
  <c r="AG66" i="4"/>
  <c r="U66" i="4"/>
  <c r="T66" i="4"/>
  <c r="AG65" i="4"/>
  <c r="U65" i="4"/>
  <c r="T65" i="4"/>
  <c r="AG64" i="4"/>
  <c r="U64" i="4"/>
  <c r="T64" i="4"/>
  <c r="AG63" i="4"/>
  <c r="U63" i="4"/>
  <c r="T63" i="4"/>
  <c r="AG62" i="4"/>
  <c r="U62" i="4"/>
  <c r="T62" i="4"/>
  <c r="AG61" i="4"/>
  <c r="U61" i="4"/>
  <c r="T61" i="4"/>
  <c r="AG60" i="4"/>
  <c r="U60" i="4"/>
  <c r="T60" i="4"/>
  <c r="AG59" i="4"/>
  <c r="U59" i="4"/>
  <c r="T59" i="4"/>
  <c r="AG58" i="4"/>
  <c r="U58" i="4"/>
  <c r="T58" i="4"/>
  <c r="AG57" i="4"/>
  <c r="U57" i="4"/>
  <c r="T57" i="4"/>
  <c r="AG56" i="4"/>
  <c r="U56" i="4"/>
  <c r="T56" i="4"/>
  <c r="AG55" i="4"/>
  <c r="U55" i="4"/>
  <c r="T55" i="4"/>
  <c r="AG54" i="4"/>
  <c r="U54" i="4"/>
  <c r="T54" i="4"/>
  <c r="AG53" i="4"/>
  <c r="U53" i="4"/>
  <c r="T53" i="4"/>
  <c r="AG52" i="4"/>
  <c r="U52" i="4"/>
  <c r="T52" i="4"/>
  <c r="AG51" i="4"/>
  <c r="U51" i="4"/>
  <c r="T51" i="4"/>
  <c r="AG50" i="4"/>
  <c r="U50" i="4"/>
  <c r="T50" i="4"/>
  <c r="AG49" i="4"/>
  <c r="U49" i="4"/>
  <c r="T49" i="4"/>
  <c r="AG48" i="4"/>
  <c r="U48" i="4"/>
  <c r="T48" i="4"/>
  <c r="AG47" i="4"/>
  <c r="U47" i="4"/>
  <c r="T47" i="4"/>
  <c r="AG46" i="4"/>
  <c r="U46" i="4"/>
  <c r="T46" i="4"/>
  <c r="AG45" i="4"/>
  <c r="U45" i="4"/>
  <c r="T45" i="4"/>
  <c r="AG44" i="4"/>
  <c r="U44" i="4"/>
  <c r="T44" i="4"/>
  <c r="AG43" i="4"/>
  <c r="U43" i="4"/>
  <c r="T43" i="4"/>
  <c r="AG42" i="4"/>
  <c r="U42" i="4"/>
  <c r="T42" i="4"/>
  <c r="AG41" i="4"/>
  <c r="U41" i="4"/>
  <c r="T41" i="4"/>
  <c r="AG40" i="4"/>
  <c r="U40" i="4"/>
  <c r="T40" i="4"/>
  <c r="AG39" i="4"/>
  <c r="U39" i="4"/>
  <c r="T39" i="4"/>
  <c r="AG38" i="4"/>
  <c r="U38" i="4"/>
  <c r="T38" i="4"/>
  <c r="AG37" i="4"/>
  <c r="U37" i="4"/>
  <c r="T37" i="4"/>
  <c r="AG36" i="4"/>
  <c r="U36" i="4"/>
  <c r="T36" i="4"/>
  <c r="AG35" i="4"/>
  <c r="U35" i="4"/>
  <c r="T35" i="4"/>
  <c r="AG34" i="4"/>
  <c r="U34" i="4"/>
  <c r="T34" i="4"/>
  <c r="AG33" i="4"/>
  <c r="U33" i="4"/>
  <c r="T33" i="4"/>
  <c r="AG32" i="4"/>
  <c r="U32" i="4"/>
  <c r="T32" i="4"/>
  <c r="AG31" i="4"/>
  <c r="U31" i="4"/>
  <c r="T31" i="4"/>
  <c r="AG30" i="4"/>
  <c r="U30" i="4"/>
  <c r="T30" i="4"/>
  <c r="AG29" i="4"/>
  <c r="U29" i="4"/>
  <c r="T29" i="4"/>
  <c r="AG28" i="4"/>
  <c r="U28" i="4"/>
  <c r="T28" i="4"/>
  <c r="AG27" i="4"/>
  <c r="U27" i="4"/>
  <c r="T27" i="4"/>
  <c r="AG26" i="4"/>
  <c r="U26" i="4"/>
  <c r="T26" i="4"/>
  <c r="AG25" i="4"/>
  <c r="U25" i="4"/>
  <c r="T25" i="4"/>
  <c r="AG24" i="4"/>
  <c r="U24" i="4"/>
  <c r="T24" i="4"/>
  <c r="AG23" i="4"/>
  <c r="U23" i="4"/>
  <c r="T23" i="4"/>
  <c r="AG22" i="4"/>
  <c r="U22" i="4"/>
  <c r="T22" i="4"/>
  <c r="AG21" i="4"/>
  <c r="U21" i="4"/>
  <c r="T21" i="4"/>
  <c r="AG20" i="4"/>
  <c r="U20" i="4"/>
  <c r="T20" i="4"/>
  <c r="AG19" i="4"/>
  <c r="U19" i="4"/>
  <c r="T19" i="4"/>
  <c r="AG18" i="4"/>
  <c r="U18" i="4"/>
  <c r="T18" i="4"/>
  <c r="AG17" i="4"/>
  <c r="U17" i="4"/>
  <c r="T17" i="4"/>
  <c r="AG16" i="4"/>
  <c r="U16" i="4"/>
  <c r="T16" i="4"/>
  <c r="AG15" i="4"/>
  <c r="U15" i="4"/>
  <c r="T15" i="4"/>
  <c r="AG14" i="4"/>
  <c r="U14" i="4"/>
  <c r="T14" i="4"/>
  <c r="AG13" i="4"/>
  <c r="U13" i="4"/>
  <c r="T13" i="4"/>
  <c r="AG12" i="4"/>
  <c r="U12" i="4"/>
  <c r="T12" i="4"/>
  <c r="AG11" i="4"/>
  <c r="U11" i="4"/>
  <c r="T11" i="4"/>
  <c r="AG10" i="4"/>
  <c r="U10" i="4"/>
  <c r="T10" i="4"/>
  <c r="AG9" i="4"/>
  <c r="U9" i="4"/>
  <c r="T9" i="4"/>
  <c r="AG8" i="4"/>
  <c r="U8" i="4"/>
  <c r="T8" i="4"/>
  <c r="AG7" i="4"/>
  <c r="U7" i="4"/>
  <c r="T7" i="4"/>
  <c r="AG6" i="4"/>
  <c r="U6" i="4"/>
  <c r="T6" i="4"/>
  <c r="AG5" i="4"/>
  <c r="U5" i="4"/>
  <c r="T5" i="4"/>
  <c r="AG4" i="4"/>
  <c r="U4" i="4"/>
  <c r="T4" i="4"/>
  <c r="AG3" i="4"/>
  <c r="U3" i="4"/>
  <c r="T3" i="4"/>
  <c r="AE25" i="3"/>
  <c r="AE24" i="3"/>
  <c r="AE23" i="3"/>
  <c r="AE22" i="3"/>
  <c r="AE21" i="3"/>
  <c r="AE20" i="3"/>
  <c r="AE19" i="3"/>
  <c r="AE18" i="3"/>
  <c r="AE17" i="3"/>
  <c r="AE16" i="3"/>
  <c r="AE15" i="3"/>
  <c r="AE14" i="3"/>
  <c r="AE13" i="3"/>
  <c r="AE12" i="3"/>
  <c r="AE11" i="3"/>
  <c r="AE10" i="3"/>
  <c r="AE9" i="3"/>
  <c r="AE8" i="3"/>
  <c r="AE7" i="3"/>
  <c r="AE6" i="3"/>
  <c r="AE5" i="3"/>
  <c r="AE4" i="3"/>
  <c r="AE3" i="3"/>
  <c r="AE26" i="2"/>
  <c r="AF26" i="2" s="1"/>
  <c r="AE25" i="2"/>
  <c r="AF25" i="2" s="1"/>
  <c r="AG25" i="2" s="1"/>
  <c r="AE24" i="2"/>
  <c r="AF24" i="2" s="1"/>
  <c r="AG24" i="2" s="1"/>
  <c r="AE23" i="2"/>
  <c r="AF23" i="2" s="1"/>
  <c r="AG23" i="2" s="1"/>
  <c r="AE22" i="2"/>
  <c r="AE21" i="2"/>
  <c r="AF21" i="2" s="1"/>
  <c r="AG21" i="2" s="1"/>
  <c r="AE20" i="2"/>
  <c r="AE19" i="2"/>
  <c r="AF19" i="2" s="1"/>
  <c r="AG19" i="2" s="1"/>
  <c r="AE18" i="2"/>
  <c r="AF18" i="2" s="1"/>
  <c r="AG18" i="2" s="1"/>
  <c r="AE17" i="2"/>
  <c r="AF17" i="2" s="1"/>
  <c r="AG17" i="2" s="1"/>
  <c r="AE16" i="2"/>
  <c r="AF16" i="2" s="1"/>
  <c r="AE15" i="2"/>
  <c r="AF15" i="2" s="1"/>
  <c r="AG15" i="2" s="1"/>
  <c r="AE14" i="2"/>
  <c r="AE13" i="2"/>
  <c r="AF13" i="2" s="1"/>
  <c r="AG13" i="2" s="1"/>
  <c r="AE12" i="2"/>
  <c r="AF12" i="2" s="1"/>
  <c r="AG12" i="2" s="1"/>
  <c r="AE11" i="2"/>
  <c r="AF11" i="2" s="1"/>
  <c r="AG11" i="2" s="1"/>
  <c r="AE10" i="2"/>
  <c r="AE9" i="2"/>
  <c r="AF9" i="2" s="1"/>
  <c r="AG9" i="2" s="1"/>
  <c r="AE8" i="2"/>
  <c r="AE7" i="2"/>
  <c r="AF7" i="2" s="1"/>
  <c r="AG7" i="2" s="1"/>
  <c r="AE6" i="2"/>
  <c r="AF6" i="2" s="1"/>
  <c r="AG6" i="2" s="1"/>
  <c r="AE5" i="2"/>
  <c r="AF5" i="2" s="1"/>
  <c r="AG5" i="2" s="1"/>
  <c r="AE4" i="2"/>
  <c r="AE3" i="2"/>
  <c r="AF3" i="2" s="1"/>
  <c r="AG3" i="2" s="1"/>
  <c r="M96" i="8" l="1"/>
  <c r="J87" i="8"/>
  <c r="M28" i="8"/>
  <c r="I63" i="8"/>
  <c r="J63" i="8" s="1"/>
  <c r="I65" i="8"/>
  <c r="J65" i="8" s="1"/>
  <c r="I78" i="8"/>
  <c r="J78" i="8" s="1"/>
  <c r="I87" i="8"/>
  <c r="L92" i="8"/>
  <c r="M92" i="8" s="1"/>
  <c r="L96" i="8"/>
  <c r="L105" i="8"/>
  <c r="M105" i="8" s="1"/>
  <c r="J111" i="8"/>
  <c r="M5" i="8"/>
  <c r="L28" i="8"/>
  <c r="I80" i="8"/>
  <c r="J80" i="8" s="1"/>
  <c r="I83" i="8"/>
  <c r="J83" i="8" s="1"/>
  <c r="L84" i="8"/>
  <c r="M84" i="8" s="1"/>
  <c r="J96" i="8"/>
  <c r="M99" i="8"/>
  <c r="J105" i="8"/>
  <c r="M108" i="8"/>
  <c r="I111" i="8"/>
  <c r="M66" i="8"/>
  <c r="M81" i="8"/>
  <c r="J84" i="8"/>
  <c r="M93" i="8"/>
  <c r="AF8" i="2"/>
  <c r="AG8" i="2" s="1"/>
  <c r="AF14" i="2"/>
  <c r="AG14" i="2" s="1"/>
  <c r="AF20" i="2"/>
  <c r="AG20" i="2" s="1"/>
  <c r="AG26" i="2"/>
  <c r="AF4" i="2"/>
  <c r="AG4" i="2" s="1"/>
  <c r="AF10" i="2"/>
  <c r="AG10" i="2" s="1"/>
  <c r="AF22" i="2"/>
  <c r="AG22" i="2" s="1"/>
  <c r="AG16" i="2"/>
  <c r="J79" i="8"/>
  <c r="M62" i="8"/>
  <c r="J9" i="8"/>
  <c r="M78" i="8"/>
  <c r="P114" i="8"/>
  <c r="L4" i="8"/>
  <c r="M4" i="8" s="1"/>
  <c r="I68" i="8"/>
  <c r="J68" i="8" s="1"/>
  <c r="I89" i="8"/>
  <c r="J89" i="8" s="1"/>
  <c r="M11" i="8"/>
  <c r="J62" i="8"/>
  <c r="L63" i="8"/>
  <c r="M63" i="8" s="1"/>
  <c r="M70" i="8"/>
  <c r="J74" i="8"/>
  <c r="L75" i="8"/>
  <c r="M75" i="8" s="1"/>
  <c r="L78" i="8"/>
  <c r="J86" i="8"/>
  <c r="L90" i="8"/>
  <c r="M90" i="8" s="1"/>
  <c r="I93" i="8"/>
  <c r="J93" i="8" s="1"/>
  <c r="M95" i="8"/>
  <c r="I99" i="8"/>
  <c r="J99" i="8" s="1"/>
  <c r="M101" i="8"/>
  <c r="M104" i="8"/>
  <c r="I108" i="8"/>
  <c r="J108" i="8" s="1"/>
  <c r="M110" i="8"/>
  <c r="L6" i="8"/>
  <c r="M6" i="8" s="1"/>
  <c r="I44" i="8"/>
  <c r="J44" i="8" s="1"/>
  <c r="I67" i="8"/>
  <c r="J67" i="8" s="1"/>
  <c r="I85" i="8"/>
  <c r="J85" i="8" s="1"/>
  <c r="L94" i="8"/>
  <c r="M94" i="8" s="1"/>
  <c r="L100" i="8"/>
  <c r="M100" i="8" s="1"/>
  <c r="L103" i="8"/>
  <c r="M103" i="8" s="1"/>
  <c r="L109" i="8"/>
  <c r="M109" i="8" s="1"/>
  <c r="L62" i="8"/>
  <c r="L74" i="8"/>
  <c r="M74" i="8" s="1"/>
  <c r="L77" i="8"/>
  <c r="M77" i="8" s="1"/>
  <c r="L86" i="8"/>
  <c r="M86" i="8" s="1"/>
  <c r="L89" i="8"/>
  <c r="M89" i="8" s="1"/>
  <c r="I98" i="8"/>
  <c r="J98" i="8" s="1"/>
  <c r="I107" i="8"/>
  <c r="J107" i="8" s="1"/>
  <c r="I113" i="8"/>
  <c r="J113" i="8" s="1"/>
  <c r="I66" i="8"/>
  <c r="J66" i="8" s="1"/>
  <c r="I106" i="8"/>
  <c r="J106" i="8" s="1"/>
  <c r="I112" i="8"/>
  <c r="J112" i="8" s="1"/>
  <c r="I9" i="8"/>
  <c r="I64" i="8"/>
  <c r="J64" i="8" s="1"/>
  <c r="L76" i="8"/>
  <c r="M76" i="8" s="1"/>
  <c r="I79" i="8"/>
  <c r="I91" i="8"/>
  <c r="J91" i="8" s="1"/>
  <c r="L97" i="8"/>
  <c r="M97" i="8" s="1"/>
  <c r="L106" i="8"/>
  <c r="M106" i="8" s="1"/>
  <c r="L112" i="8"/>
  <c r="M112" i="8" s="1"/>
  <c r="Q512" i="1" l="1"/>
  <c r="Q511" i="1"/>
  <c r="Q510" i="1"/>
  <c r="Q509" i="1"/>
  <c r="Q508" i="1"/>
  <c r="Q507" i="1"/>
  <c r="Q506" i="1"/>
  <c r="Q505" i="1"/>
  <c r="Q504" i="1"/>
  <c r="Q503" i="1"/>
  <c r="Q502" i="1"/>
  <c r="Q501" i="1"/>
  <c r="Q500" i="1"/>
  <c r="Q499" i="1"/>
  <c r="Q498" i="1"/>
  <c r="Q497" i="1"/>
  <c r="Q496" i="1"/>
  <c r="Q495" i="1"/>
  <c r="Q494" i="1"/>
  <c r="Q493" i="1"/>
  <c r="Q492" i="1"/>
  <c r="Q491" i="1"/>
  <c r="Q490" i="1"/>
  <c r="Q489" i="1"/>
  <c r="Q488" i="1"/>
  <c r="Q487" i="1"/>
  <c r="Q486" i="1"/>
  <c r="Q485" i="1"/>
  <c r="Q484" i="1"/>
  <c r="Q483" i="1"/>
  <c r="Q482" i="1"/>
  <c r="Q481" i="1"/>
  <c r="Q480" i="1"/>
  <c r="Q479" i="1"/>
  <c r="Q478" i="1"/>
  <c r="Q477" i="1"/>
  <c r="Q476" i="1"/>
  <c r="Q475" i="1"/>
  <c r="Q474" i="1"/>
  <c r="Q473" i="1"/>
  <c r="Q472" i="1"/>
  <c r="Q471" i="1"/>
  <c r="Q470" i="1"/>
  <c r="Q469" i="1"/>
  <c r="Q468" i="1"/>
  <c r="Q467" i="1"/>
  <c r="Q466" i="1"/>
  <c r="Q465" i="1"/>
  <c r="Q464" i="1"/>
  <c r="Q463" i="1"/>
  <c r="Q462" i="1"/>
  <c r="Q461" i="1"/>
  <c r="Q460" i="1"/>
  <c r="Q459" i="1"/>
  <c r="Q458" i="1"/>
  <c r="Q457" i="1"/>
  <c r="Q456" i="1"/>
  <c r="Q455" i="1"/>
  <c r="Q454" i="1"/>
  <c r="Q453" i="1"/>
  <c r="Q452" i="1"/>
  <c r="Q451" i="1"/>
  <c r="Q450" i="1"/>
  <c r="Q449" i="1"/>
  <c r="Q448" i="1"/>
  <c r="Q447" i="1"/>
  <c r="Q446" i="1"/>
  <c r="Q445" i="1"/>
  <c r="Q444" i="1"/>
  <c r="Q443" i="1"/>
  <c r="Q442" i="1"/>
  <c r="Q441" i="1"/>
  <c r="Q440" i="1"/>
  <c r="Q439" i="1"/>
  <c r="Q438" i="1"/>
  <c r="Q437" i="1"/>
  <c r="Q436" i="1"/>
  <c r="Q435" i="1"/>
  <c r="Q434" i="1"/>
  <c r="Q433" i="1"/>
  <c r="Q432" i="1"/>
  <c r="Q431" i="1"/>
  <c r="Q430" i="1"/>
  <c r="Q429" i="1"/>
  <c r="Q428" i="1"/>
  <c r="Q427" i="1"/>
  <c r="Q426" i="1"/>
  <c r="Q425" i="1"/>
  <c r="Q424" i="1"/>
  <c r="Q423" i="1"/>
  <c r="Q422" i="1"/>
  <c r="Q421" i="1"/>
  <c r="Q420" i="1"/>
  <c r="Q419" i="1"/>
  <c r="Q418" i="1"/>
  <c r="Q417" i="1"/>
  <c r="Q416" i="1"/>
  <c r="Q415" i="1"/>
  <c r="Q414" i="1"/>
  <c r="Q413" i="1"/>
  <c r="Q412" i="1"/>
  <c r="Q411" i="1"/>
  <c r="Q410" i="1"/>
  <c r="Q409" i="1"/>
  <c r="Q408" i="1"/>
  <c r="Q407" i="1"/>
  <c r="Q406" i="1"/>
  <c r="Q405" i="1"/>
  <c r="Q404" i="1"/>
  <c r="Q403" i="1"/>
  <c r="Q402" i="1"/>
  <c r="Q401" i="1"/>
  <c r="Q400" i="1"/>
  <c r="Q399" i="1"/>
  <c r="Q398" i="1"/>
  <c r="Q397" i="1"/>
  <c r="Q396" i="1"/>
  <c r="Q395" i="1"/>
  <c r="Q394" i="1"/>
  <c r="Q393" i="1"/>
  <c r="Q392" i="1"/>
  <c r="Q391" i="1"/>
  <c r="Q390" i="1"/>
  <c r="Q389" i="1"/>
  <c r="Q388" i="1"/>
  <c r="Q387" i="1"/>
  <c r="Q386" i="1"/>
  <c r="Q385" i="1"/>
  <c r="Q384" i="1"/>
  <c r="Q383" i="1"/>
  <c r="Q382" i="1"/>
  <c r="Q381" i="1"/>
  <c r="Q380" i="1"/>
  <c r="Q379" i="1"/>
  <c r="Q378" i="1"/>
  <c r="Q377" i="1"/>
  <c r="Q376" i="1"/>
  <c r="Q375" i="1"/>
  <c r="Q374" i="1"/>
  <c r="Q373" i="1"/>
  <c r="Q372" i="1"/>
  <c r="Q371" i="1"/>
  <c r="Q370" i="1"/>
  <c r="Q369" i="1"/>
  <c r="Q368" i="1"/>
  <c r="Q367" i="1"/>
  <c r="Q366" i="1"/>
  <c r="Q365" i="1"/>
  <c r="Q364" i="1"/>
  <c r="Q363" i="1"/>
  <c r="Q362" i="1"/>
  <c r="Q361" i="1"/>
  <c r="Q360" i="1"/>
  <c r="Q359" i="1"/>
  <c r="Q358" i="1"/>
  <c r="Q357" i="1"/>
  <c r="Q356" i="1"/>
  <c r="Q355" i="1"/>
  <c r="Q354" i="1"/>
  <c r="Q353" i="1"/>
  <c r="Q352" i="1"/>
  <c r="Q351" i="1"/>
  <c r="Q350" i="1"/>
  <c r="Q349" i="1"/>
  <c r="Q348" i="1"/>
  <c r="Q347" i="1"/>
  <c r="Q346" i="1"/>
  <c r="Q345" i="1"/>
  <c r="Q344" i="1"/>
  <c r="Q343" i="1"/>
  <c r="Q342" i="1"/>
  <c r="Q341" i="1"/>
  <c r="Q340" i="1"/>
  <c r="Q339" i="1"/>
  <c r="Q338" i="1"/>
  <c r="Q337" i="1"/>
  <c r="Q336" i="1"/>
  <c r="Q335" i="1"/>
  <c r="Q334" i="1"/>
  <c r="Q333" i="1"/>
  <c r="Q332" i="1"/>
  <c r="Q331" i="1"/>
  <c r="Q330" i="1"/>
  <c r="Q329" i="1"/>
  <c r="Q328" i="1"/>
  <c r="Q327" i="1"/>
  <c r="Q326" i="1"/>
  <c r="Q325" i="1"/>
  <c r="Q324" i="1"/>
  <c r="Q323" i="1"/>
  <c r="Q322" i="1"/>
  <c r="Q321" i="1"/>
  <c r="Q320" i="1"/>
  <c r="Q319" i="1"/>
  <c r="Q318" i="1"/>
  <c r="Q317" i="1"/>
  <c r="Q316" i="1"/>
  <c r="Q315" i="1"/>
  <c r="Q314" i="1"/>
  <c r="Q313" i="1"/>
  <c r="Q312" i="1"/>
  <c r="Q311" i="1"/>
  <c r="Q310" i="1"/>
  <c r="Q309" i="1"/>
  <c r="Q308" i="1"/>
  <c r="Q307" i="1"/>
  <c r="Q306" i="1"/>
  <c r="Q305" i="1"/>
  <c r="Q304" i="1"/>
  <c r="Q303" i="1"/>
  <c r="Q302" i="1"/>
  <c r="Q301" i="1"/>
  <c r="Q300" i="1"/>
  <c r="Q299" i="1"/>
  <c r="Q298" i="1"/>
  <c r="Q297" i="1"/>
  <c r="Q296" i="1"/>
  <c r="Q295" i="1"/>
  <c r="Q294" i="1"/>
  <c r="Q293" i="1"/>
  <c r="Q292" i="1"/>
  <c r="Q291" i="1"/>
  <c r="Q290" i="1"/>
  <c r="Q289" i="1"/>
  <c r="Q288" i="1"/>
  <c r="Q287" i="1"/>
  <c r="Q286" i="1"/>
  <c r="Q285" i="1"/>
  <c r="Q284" i="1"/>
  <c r="Q283" i="1"/>
  <c r="Q282" i="1"/>
  <c r="Q281" i="1"/>
  <c r="Q280" i="1"/>
  <c r="Q279" i="1"/>
  <c r="Q278" i="1"/>
  <c r="Q277" i="1"/>
  <c r="Q276" i="1"/>
  <c r="Q275" i="1"/>
  <c r="Q274" i="1"/>
  <c r="Q273" i="1"/>
  <c r="Q272" i="1"/>
  <c r="Q271" i="1"/>
  <c r="Q270" i="1"/>
  <c r="Q269" i="1"/>
  <c r="Q268" i="1"/>
  <c r="Q267" i="1"/>
  <c r="Q266" i="1"/>
  <c r="Q265" i="1"/>
  <c r="Q264" i="1"/>
  <c r="Q263" i="1"/>
  <c r="Q262" i="1"/>
  <c r="Q261" i="1"/>
  <c r="Q260" i="1"/>
  <c r="Q259" i="1"/>
  <c r="Q258" i="1"/>
  <c r="Q257" i="1"/>
  <c r="Q256" i="1"/>
  <c r="Q255" i="1"/>
  <c r="Q254" i="1"/>
  <c r="Q253" i="1"/>
  <c r="Q252" i="1"/>
  <c r="Q251" i="1"/>
  <c r="Q250" i="1"/>
  <c r="Q249" i="1"/>
  <c r="Q248" i="1"/>
  <c r="Q247" i="1"/>
  <c r="Q246" i="1"/>
  <c r="Q245" i="1"/>
  <c r="Q244" i="1"/>
  <c r="Q243" i="1"/>
  <c r="Q242" i="1"/>
  <c r="Q241" i="1"/>
  <c r="Q240" i="1"/>
  <c r="Q239" i="1"/>
  <c r="Q238" i="1"/>
  <c r="Q237" i="1"/>
  <c r="Q236" i="1"/>
  <c r="Q235" i="1"/>
  <c r="Q234" i="1"/>
  <c r="Q233" i="1"/>
  <c r="Q232" i="1"/>
  <c r="Q231" i="1"/>
  <c r="Q230" i="1"/>
  <c r="Q229" i="1"/>
  <c r="Q228" i="1"/>
  <c r="Q227" i="1"/>
  <c r="Q226" i="1"/>
  <c r="Q225" i="1"/>
  <c r="Q224" i="1"/>
  <c r="Q223" i="1"/>
  <c r="Q222" i="1"/>
  <c r="Q221" i="1"/>
  <c r="Q220" i="1"/>
  <c r="Q219" i="1"/>
  <c r="Q218" i="1"/>
  <c r="Q217" i="1"/>
  <c r="Q216" i="1"/>
  <c r="Q215" i="1"/>
  <c r="Q214" i="1"/>
  <c r="Q213" i="1"/>
  <c r="Q212" i="1"/>
  <c r="Q211" i="1"/>
  <c r="Q210" i="1"/>
  <c r="Q209" i="1"/>
  <c r="Q208" i="1"/>
  <c r="Q207" i="1"/>
  <c r="Q206" i="1"/>
  <c r="Q205" i="1"/>
  <c r="Q204" i="1"/>
  <c r="Q203" i="1"/>
  <c r="Q202" i="1"/>
  <c r="Q201" i="1"/>
  <c r="Q200" i="1"/>
  <c r="Q199" i="1"/>
  <c r="Q198" i="1"/>
  <c r="Q197" i="1"/>
  <c r="Q196" i="1"/>
  <c r="Q195" i="1"/>
  <c r="Q194" i="1"/>
  <c r="Q193" i="1"/>
  <c r="Q192" i="1"/>
  <c r="Q191" i="1"/>
  <c r="Q190" i="1"/>
  <c r="Q189" i="1"/>
  <c r="Q188" i="1"/>
  <c r="Q187" i="1"/>
  <c r="Q186" i="1"/>
  <c r="Q185" i="1"/>
  <c r="Q184" i="1"/>
  <c r="Q183" i="1"/>
  <c r="Q182" i="1"/>
  <c r="Q181" i="1"/>
  <c r="Q180" i="1"/>
  <c r="Q179" i="1"/>
  <c r="Q178" i="1"/>
  <c r="Q177" i="1"/>
  <c r="Q176" i="1"/>
  <c r="Q175" i="1"/>
  <c r="Q174" i="1"/>
  <c r="Q173" i="1"/>
  <c r="Q172" i="1"/>
  <c r="Q171" i="1"/>
  <c r="Q170" i="1"/>
  <c r="Q169" i="1"/>
  <c r="Q168" i="1"/>
  <c r="Q167" i="1"/>
  <c r="Q166" i="1"/>
  <c r="Q165" i="1"/>
  <c r="Q164" i="1"/>
  <c r="Q163" i="1"/>
  <c r="Q162" i="1"/>
  <c r="Q161" i="1"/>
  <c r="Q160" i="1"/>
  <c r="Q159" i="1"/>
  <c r="Q158" i="1"/>
  <c r="Q157" i="1"/>
  <c r="Q156" i="1"/>
  <c r="Q155" i="1"/>
  <c r="Q154" i="1"/>
  <c r="Q153" i="1"/>
  <c r="Q152" i="1"/>
  <c r="Q151" i="1"/>
  <c r="Q150" i="1"/>
  <c r="Q64" i="1"/>
  <c r="Q63" i="1"/>
  <c r="Q62" i="1"/>
  <c r="Q61" i="1"/>
  <c r="Q60" i="1"/>
  <c r="Q59" i="1"/>
  <c r="Q58" i="1"/>
  <c r="Q57" i="1"/>
  <c r="Q56" i="1"/>
  <c r="Q55" i="1"/>
  <c r="Q54" i="1"/>
  <c r="Q53" i="1"/>
  <c r="Q52" i="1"/>
  <c r="Q51" i="1"/>
  <c r="Q50" i="1"/>
  <c r="Q49" i="1"/>
  <c r="Q48" i="1"/>
  <c r="Q47" i="1"/>
  <c r="Q46" i="1"/>
  <c r="Q45" i="1"/>
  <c r="Q44" i="1"/>
  <c r="Q43" i="1"/>
  <c r="Q42" i="1"/>
  <c r="Q41" i="1"/>
  <c r="Q40" i="1"/>
  <c r="Q39" i="1"/>
  <c r="Q38" i="1"/>
  <c r="Q37" i="1"/>
  <c r="Q36" i="1"/>
  <c r="Q35" i="1"/>
  <c r="Q34" i="1"/>
  <c r="Q33" i="1"/>
  <c r="Q32" i="1"/>
  <c r="Q31" i="1"/>
  <c r="Q30" i="1"/>
  <c r="Q29" i="1"/>
  <c r="Q28" i="1"/>
  <c r="Q27" i="1"/>
  <c r="Q26" i="1"/>
  <c r="Q25" i="1"/>
  <c r="Q24" i="1"/>
  <c r="Q23" i="1"/>
  <c r="Q22" i="1"/>
  <c r="Q21" i="1"/>
  <c r="Q20" i="1"/>
  <c r="Q19" i="1"/>
  <c r="Q18" i="1"/>
  <c r="Q17" i="1"/>
  <c r="Q16" i="1"/>
  <c r="Q15" i="1"/>
  <c r="Q14" i="1"/>
  <c r="Q13" i="1"/>
  <c r="Q12" i="1"/>
  <c r="Q11" i="1"/>
  <c r="Q10" i="1"/>
  <c r="Q9" i="1"/>
  <c r="Q8" i="1"/>
  <c r="Q7" i="1"/>
  <c r="Q6" i="1"/>
  <c r="Q5" i="1"/>
  <c r="Q4" i="1"/>
  <c r="Q3" i="1"/>
  <c r="R5" i="1" l="1"/>
  <c r="S5" i="1" s="1"/>
  <c r="R7" i="1"/>
  <c r="S7" i="1" s="1"/>
  <c r="R15" i="1"/>
  <c r="S15" i="1" s="1"/>
  <c r="R4" i="1"/>
  <c r="S4" i="1" s="1"/>
  <c r="R6" i="1"/>
  <c r="S6" i="1" s="1"/>
  <c r="R8" i="1"/>
  <c r="S8" i="1" s="1"/>
  <c r="R10" i="1"/>
  <c r="S10" i="1" s="1"/>
  <c r="R12" i="1"/>
  <c r="S12" i="1" s="1"/>
  <c r="R14" i="1"/>
  <c r="S14" i="1" s="1"/>
  <c r="R16" i="1"/>
  <c r="S16" i="1" s="1"/>
  <c r="R18" i="1"/>
  <c r="S18" i="1" s="1"/>
  <c r="R20" i="1"/>
  <c r="S20" i="1" s="1"/>
  <c r="R22" i="1"/>
  <c r="S22" i="1" s="1"/>
  <c r="R24" i="1"/>
  <c r="S24" i="1" s="1"/>
  <c r="R26" i="1"/>
  <c r="S26" i="1" s="1"/>
  <c r="R28" i="1"/>
  <c r="S28" i="1" s="1"/>
  <c r="R30" i="1"/>
  <c r="S30" i="1" s="1"/>
  <c r="R32" i="1"/>
  <c r="S32" i="1" s="1"/>
  <c r="R34" i="1"/>
  <c r="S34" i="1" s="1"/>
  <c r="R36" i="1"/>
  <c r="S36" i="1" s="1"/>
  <c r="R38" i="1"/>
  <c r="S38" i="1" s="1"/>
  <c r="R40" i="1"/>
  <c r="S40" i="1" s="1"/>
  <c r="R42" i="1"/>
  <c r="S42" i="1" s="1"/>
  <c r="R44" i="1"/>
  <c r="S44" i="1" s="1"/>
  <c r="R46" i="1"/>
  <c r="S46" i="1" s="1"/>
  <c r="R48" i="1"/>
  <c r="S48" i="1" s="1"/>
  <c r="R50" i="1"/>
  <c r="S50" i="1" s="1"/>
  <c r="R52" i="1"/>
  <c r="S52" i="1" s="1"/>
  <c r="R54" i="1"/>
  <c r="S54" i="1" s="1"/>
  <c r="R56" i="1"/>
  <c r="S56" i="1" s="1"/>
  <c r="R58" i="1"/>
  <c r="S58" i="1" s="1"/>
  <c r="R60" i="1"/>
  <c r="S60" i="1" s="1"/>
  <c r="R62" i="1"/>
  <c r="S62" i="1" s="1"/>
  <c r="R64" i="1"/>
  <c r="S64" i="1" s="1"/>
  <c r="R3" i="1"/>
  <c r="S3" i="1" s="1"/>
  <c r="R11" i="1"/>
  <c r="S11" i="1" s="1"/>
  <c r="R17" i="1"/>
  <c r="S17" i="1" s="1"/>
  <c r="R23" i="1"/>
  <c r="S23" i="1" s="1"/>
  <c r="R27" i="1"/>
  <c r="S27" i="1" s="1"/>
  <c r="R31" i="1"/>
  <c r="S31" i="1" s="1"/>
  <c r="R35" i="1"/>
  <c r="S35" i="1" s="1"/>
  <c r="R39" i="1"/>
  <c r="S39" i="1" s="1"/>
  <c r="R45" i="1"/>
  <c r="S45" i="1" s="1"/>
  <c r="R51" i="1"/>
  <c r="S51" i="1" s="1"/>
  <c r="R57" i="1"/>
  <c r="S57" i="1" s="1"/>
  <c r="R63" i="1"/>
  <c r="S63" i="1" s="1"/>
  <c r="R9" i="1"/>
  <c r="S9" i="1" s="1"/>
  <c r="R13" i="1"/>
  <c r="S13" i="1" s="1"/>
  <c r="R19" i="1"/>
  <c r="S19" i="1" s="1"/>
  <c r="R21" i="1"/>
  <c r="S21" i="1" s="1"/>
  <c r="R25" i="1"/>
  <c r="S25" i="1" s="1"/>
  <c r="R29" i="1"/>
  <c r="S29" i="1" s="1"/>
  <c r="R33" i="1"/>
  <c r="S33" i="1" s="1"/>
  <c r="R37" i="1"/>
  <c r="S37" i="1" s="1"/>
  <c r="R41" i="1"/>
  <c r="S41" i="1" s="1"/>
  <c r="R43" i="1"/>
  <c r="S43" i="1" s="1"/>
  <c r="R47" i="1"/>
  <c r="S47" i="1" s="1"/>
  <c r="R49" i="1"/>
  <c r="S49" i="1" s="1"/>
  <c r="R53" i="1"/>
  <c r="S53" i="1" s="1"/>
  <c r="R55" i="1"/>
  <c r="S55" i="1" s="1"/>
  <c r="R59" i="1"/>
  <c r="S59" i="1" s="1"/>
  <c r="R61" i="1"/>
  <c r="S6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Edier Valderrama</author>
  </authors>
  <commentList>
    <comment ref="B2" authorId="0" shapeId="0" xr:uid="{00000000-0006-0000-0000-000001000000}">
      <text>
        <r>
          <rPr>
            <b/>
            <sz val="9"/>
            <color indexed="81"/>
            <rFont val="Tahoma"/>
            <family val="2"/>
          </rPr>
          <t>Edier Valderrama:</t>
        </r>
        <r>
          <rPr>
            <sz val="9"/>
            <color indexed="81"/>
            <rFont val="Tahoma"/>
            <family val="2"/>
          </rPr>
          <t xml:space="preserve">
Pegue en esta columna el listado de códigos reportados por el estructurador y ordenelos de menor a mayor</t>
        </r>
      </text>
    </comment>
    <comment ref="C2" authorId="0" shapeId="0" xr:uid="{00000000-0006-0000-0000-000002000000}">
      <text>
        <r>
          <rPr>
            <b/>
            <sz val="9"/>
            <color indexed="81"/>
            <rFont val="Tahoma"/>
            <family val="2"/>
          </rPr>
          <t>Edier Valderrama:</t>
        </r>
        <r>
          <rPr>
            <sz val="9"/>
            <color indexed="81"/>
            <rFont val="Tahoma"/>
            <family val="2"/>
          </rPr>
          <t xml:space="preserve">
no escriba en esta columna, la formula le dira si el codigo esta repetido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Edier Valderrama</author>
  </authors>
  <commentList>
    <comment ref="B2" authorId="0" shapeId="0" xr:uid="{00000000-0006-0000-0100-000001000000}">
      <text>
        <r>
          <rPr>
            <b/>
            <sz val="9"/>
            <color indexed="81"/>
            <rFont val="Tahoma"/>
            <family val="2"/>
          </rPr>
          <t>Edier Valderrama:</t>
        </r>
        <r>
          <rPr>
            <sz val="9"/>
            <color indexed="81"/>
            <rFont val="Tahoma"/>
            <family val="2"/>
          </rPr>
          <t xml:space="preserve">
Pegue en esta columna el listado de códigos reportados por el estructurador y ordenelos de menor a mayor</t>
        </r>
      </text>
    </comment>
    <comment ref="C2" authorId="0" shapeId="0" xr:uid="{00000000-0006-0000-0100-000002000000}">
      <text>
        <r>
          <rPr>
            <b/>
            <sz val="9"/>
            <color indexed="81"/>
            <rFont val="Tahoma"/>
            <family val="2"/>
          </rPr>
          <t>Edier Valderrama:</t>
        </r>
        <r>
          <rPr>
            <sz val="9"/>
            <color indexed="81"/>
            <rFont val="Tahoma"/>
            <family val="2"/>
          </rPr>
          <t xml:space="preserve">
no escriba en esta columna, la formula le dira si el codigo esta repetido</t>
        </r>
      </text>
    </comment>
    <comment ref="D2" authorId="0" shapeId="0" xr:uid="{00000000-0006-0000-0100-000003000000}">
      <text>
        <r>
          <rPr>
            <b/>
            <sz val="9"/>
            <color indexed="81"/>
            <rFont val="Tahoma"/>
            <family val="2"/>
          </rPr>
          <t>Edier Valderrama:</t>
        </r>
        <r>
          <rPr>
            <sz val="9"/>
            <color indexed="81"/>
            <rFont val="Tahoma"/>
            <family val="2"/>
          </rPr>
          <t xml:space="preserve">
pegue en esta columna las descripciones de los insumos para verificar si conincide con el de Dinamica</t>
        </r>
      </text>
    </comment>
    <comment ref="E2" authorId="0" shapeId="0" xr:uid="{00000000-0006-0000-0100-000004000000}">
      <text>
        <r>
          <rPr>
            <b/>
            <sz val="9"/>
            <color indexed="81"/>
            <rFont val="Tahoma"/>
            <family val="2"/>
          </rPr>
          <t>Edier Valderrama:</t>
        </r>
        <r>
          <rPr>
            <sz val="9"/>
            <color indexed="81"/>
            <rFont val="Tahoma"/>
            <family val="2"/>
          </rPr>
          <t xml:space="preserve">
no escriba en esta columna</t>
        </r>
      </text>
    </comment>
    <comment ref="F2" authorId="0" shapeId="0" xr:uid="{00000000-0006-0000-0100-000005000000}">
      <text>
        <r>
          <rPr>
            <b/>
            <sz val="9"/>
            <color indexed="81"/>
            <rFont val="Tahoma"/>
            <family val="2"/>
          </rPr>
          <t>Edier Valderrama:</t>
        </r>
        <r>
          <rPr>
            <sz val="9"/>
            <color indexed="81"/>
            <rFont val="Tahoma"/>
            <family val="2"/>
          </rPr>
          <t xml:space="preserve">
No escriba en esta columna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Edier Valderrama</author>
  </authors>
  <commentList>
    <comment ref="B2" authorId="0" shapeId="0" xr:uid="{00000000-0006-0000-0200-000001000000}">
      <text>
        <r>
          <rPr>
            <b/>
            <sz val="9"/>
            <color indexed="81"/>
            <rFont val="Tahoma"/>
            <family val="2"/>
          </rPr>
          <t>Edier Valderrama:</t>
        </r>
        <r>
          <rPr>
            <sz val="9"/>
            <color indexed="81"/>
            <rFont val="Tahoma"/>
            <family val="2"/>
          </rPr>
          <t xml:space="preserve">
Pegue en esta columna el listado de códigos reportados por el estructurador y ordenelos de menor a mayor</t>
        </r>
      </text>
    </comment>
    <comment ref="C2" authorId="0" shapeId="0" xr:uid="{00000000-0006-0000-0200-000002000000}">
      <text>
        <r>
          <rPr>
            <b/>
            <sz val="9"/>
            <color indexed="81"/>
            <rFont val="Tahoma"/>
            <family val="2"/>
          </rPr>
          <t>Edier Valderrama:</t>
        </r>
        <r>
          <rPr>
            <sz val="9"/>
            <color indexed="81"/>
            <rFont val="Tahoma"/>
            <family val="2"/>
          </rPr>
          <t xml:space="preserve">
no escriba en esta columna, la formula le dira si el codigo esta repetido</t>
        </r>
      </text>
    </comment>
    <comment ref="D2" authorId="0" shapeId="0" xr:uid="{00000000-0006-0000-0200-000003000000}">
      <text>
        <r>
          <rPr>
            <b/>
            <sz val="9"/>
            <color indexed="81"/>
            <rFont val="Tahoma"/>
            <family val="2"/>
          </rPr>
          <t>Edier Valderrama:</t>
        </r>
        <r>
          <rPr>
            <sz val="9"/>
            <color indexed="81"/>
            <rFont val="Tahoma"/>
            <family val="2"/>
          </rPr>
          <t xml:space="preserve">
pegue en esta columna las descripciones de los insumos para verificar si conincide con el de Dinamica</t>
        </r>
      </text>
    </comment>
    <comment ref="E2" authorId="0" shapeId="0" xr:uid="{00000000-0006-0000-0200-000004000000}">
      <text>
        <r>
          <rPr>
            <b/>
            <sz val="9"/>
            <color indexed="81"/>
            <rFont val="Tahoma"/>
            <family val="2"/>
          </rPr>
          <t>Edier Valderrama:</t>
        </r>
        <r>
          <rPr>
            <sz val="9"/>
            <color indexed="81"/>
            <rFont val="Tahoma"/>
            <family val="2"/>
          </rPr>
          <t xml:space="preserve">
no escriba en esta columna</t>
        </r>
      </text>
    </comment>
    <comment ref="F2" authorId="0" shapeId="0" xr:uid="{00000000-0006-0000-0200-000005000000}">
      <text>
        <r>
          <rPr>
            <b/>
            <sz val="9"/>
            <color indexed="81"/>
            <rFont val="Tahoma"/>
            <family val="2"/>
          </rPr>
          <t>Edier Valderrama:</t>
        </r>
        <r>
          <rPr>
            <sz val="9"/>
            <color indexed="81"/>
            <rFont val="Tahoma"/>
            <family val="2"/>
          </rPr>
          <t xml:space="preserve">
No escriba en esta columna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Edier Valderrama</author>
    <author>Yohana Homez</author>
  </authors>
  <commentList>
    <comment ref="B2" authorId="0" shapeId="0" xr:uid="{00000000-0006-0000-0300-000001000000}">
      <text>
        <r>
          <rPr>
            <b/>
            <sz val="9"/>
            <color indexed="81"/>
            <rFont val="Tahoma"/>
            <family val="2"/>
          </rPr>
          <t>Edier Valderrama:</t>
        </r>
        <r>
          <rPr>
            <sz val="9"/>
            <color indexed="81"/>
            <rFont val="Tahoma"/>
            <family val="2"/>
          </rPr>
          <t xml:space="preserve">
Pegue en esta columna el listado de códigos reportados por el estructurador y ordenelos de menor a mayor</t>
        </r>
      </text>
    </comment>
    <comment ref="C2" authorId="0" shapeId="0" xr:uid="{00000000-0006-0000-0300-000002000000}">
      <text>
        <r>
          <rPr>
            <b/>
            <sz val="9"/>
            <color indexed="81"/>
            <rFont val="Tahoma"/>
            <family val="2"/>
          </rPr>
          <t>Edier Valderrama:</t>
        </r>
        <r>
          <rPr>
            <sz val="9"/>
            <color indexed="81"/>
            <rFont val="Tahoma"/>
            <family val="2"/>
          </rPr>
          <t xml:space="preserve">
no escriba en esta columna, la formula le dira si el codigo esta repetido</t>
        </r>
      </text>
    </comment>
    <comment ref="D2" authorId="0" shapeId="0" xr:uid="{00000000-0006-0000-0300-000003000000}">
      <text>
        <r>
          <rPr>
            <b/>
            <sz val="9"/>
            <color indexed="81"/>
            <rFont val="Tahoma"/>
            <family val="2"/>
          </rPr>
          <t>Edier Valderrama:</t>
        </r>
        <r>
          <rPr>
            <sz val="9"/>
            <color indexed="81"/>
            <rFont val="Tahoma"/>
            <family val="2"/>
          </rPr>
          <t xml:space="preserve">
pegue en esta columna las descripciones de los insumos para verificar si conincide con el de Dinamica</t>
        </r>
      </text>
    </comment>
    <comment ref="E2" authorId="0" shapeId="0" xr:uid="{00000000-0006-0000-0300-000004000000}">
      <text>
        <r>
          <rPr>
            <b/>
            <sz val="9"/>
            <color indexed="81"/>
            <rFont val="Tahoma"/>
            <family val="2"/>
          </rPr>
          <t>Edier Valderrama:</t>
        </r>
        <r>
          <rPr>
            <sz val="9"/>
            <color indexed="81"/>
            <rFont val="Tahoma"/>
            <family val="2"/>
          </rPr>
          <t xml:space="preserve">
no escriba en esta columna</t>
        </r>
      </text>
    </comment>
    <comment ref="F2" authorId="0" shapeId="0" xr:uid="{00000000-0006-0000-0300-000005000000}">
      <text>
        <r>
          <rPr>
            <b/>
            <sz val="9"/>
            <color indexed="81"/>
            <rFont val="Tahoma"/>
            <family val="2"/>
          </rPr>
          <t>Edier Valderrama:</t>
        </r>
        <r>
          <rPr>
            <sz val="9"/>
            <color indexed="81"/>
            <rFont val="Tahoma"/>
            <family val="2"/>
          </rPr>
          <t xml:space="preserve">
No escriba en esta columna</t>
        </r>
      </text>
    </comment>
    <comment ref="AG10" authorId="1" shapeId="0" xr:uid="{00000000-0006-0000-0300-000006000000}">
      <text>
        <r>
          <rPr>
            <b/>
            <sz val="9"/>
            <color indexed="81"/>
            <rFont val="Tahoma"/>
            <charset val="1"/>
          </rPr>
          <t>Yohana Homez:</t>
        </r>
        <r>
          <rPr>
            <sz val="9"/>
            <color indexed="81"/>
            <rFont val="Tahoma"/>
            <charset val="1"/>
          </rPr>
          <t xml:space="preserve">
NO LLEVA IVA OJO</t>
        </r>
      </text>
    </comment>
    <comment ref="D94" authorId="1" shapeId="0" xr:uid="{00000000-0006-0000-0300-000007000000}">
      <text>
        <r>
          <rPr>
            <b/>
            <sz val="9"/>
            <color indexed="81"/>
            <rFont val="Tahoma"/>
            <charset val="1"/>
          </rPr>
          <t>Yohana Homez:</t>
        </r>
        <r>
          <rPr>
            <sz val="9"/>
            <color indexed="81"/>
            <rFont val="Tahoma"/>
            <charset val="1"/>
          </rPr>
          <t xml:space="preserve">
MEDIDA 30,5*30,5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Edier Valderrama</author>
  </authors>
  <commentList>
    <comment ref="B2" authorId="0" shapeId="0" xr:uid="{00000000-0006-0000-0400-000001000000}">
      <text>
        <r>
          <rPr>
            <b/>
            <sz val="9"/>
            <color indexed="81"/>
            <rFont val="Tahoma"/>
            <family val="2"/>
          </rPr>
          <t>Edier Valderrama:</t>
        </r>
        <r>
          <rPr>
            <sz val="9"/>
            <color indexed="81"/>
            <rFont val="Tahoma"/>
            <family val="2"/>
          </rPr>
          <t xml:space="preserve">
Pegue en esta columna el listado de códigos reportados por el estructurador y ordenelos de menor a mayor</t>
        </r>
      </text>
    </comment>
    <comment ref="C2" authorId="0" shapeId="0" xr:uid="{00000000-0006-0000-0400-000002000000}">
      <text>
        <r>
          <rPr>
            <b/>
            <sz val="9"/>
            <color indexed="81"/>
            <rFont val="Tahoma"/>
            <family val="2"/>
          </rPr>
          <t>Edier Valderrama:</t>
        </r>
        <r>
          <rPr>
            <sz val="9"/>
            <color indexed="81"/>
            <rFont val="Tahoma"/>
            <family val="2"/>
          </rPr>
          <t xml:space="preserve">
no escriba en esta columna, la formula le dira si el codigo esta repetido</t>
        </r>
      </text>
    </comment>
    <comment ref="D2" authorId="0" shapeId="0" xr:uid="{00000000-0006-0000-0400-000003000000}">
      <text>
        <r>
          <rPr>
            <b/>
            <sz val="9"/>
            <color indexed="81"/>
            <rFont val="Tahoma"/>
            <family val="2"/>
          </rPr>
          <t>Edier Valderrama:</t>
        </r>
        <r>
          <rPr>
            <sz val="9"/>
            <color indexed="81"/>
            <rFont val="Tahoma"/>
            <family val="2"/>
          </rPr>
          <t xml:space="preserve">
pegue en esta columna las descripciones de los insumos para verificar si conincide con el de Dinamica</t>
        </r>
      </text>
    </comment>
    <comment ref="E2" authorId="0" shapeId="0" xr:uid="{00000000-0006-0000-0400-000004000000}">
      <text>
        <r>
          <rPr>
            <b/>
            <sz val="9"/>
            <color indexed="81"/>
            <rFont val="Tahoma"/>
            <family val="2"/>
          </rPr>
          <t>Edier Valderrama:</t>
        </r>
        <r>
          <rPr>
            <sz val="9"/>
            <color indexed="81"/>
            <rFont val="Tahoma"/>
            <family val="2"/>
          </rPr>
          <t xml:space="preserve">
no escriba en esta columna</t>
        </r>
      </text>
    </comment>
    <comment ref="F2" authorId="0" shapeId="0" xr:uid="{00000000-0006-0000-0400-000005000000}">
      <text>
        <r>
          <rPr>
            <b/>
            <sz val="9"/>
            <color indexed="81"/>
            <rFont val="Tahoma"/>
            <family val="2"/>
          </rPr>
          <t>Edier Valderrama:</t>
        </r>
        <r>
          <rPr>
            <sz val="9"/>
            <color indexed="81"/>
            <rFont val="Tahoma"/>
            <family val="2"/>
          </rPr>
          <t xml:space="preserve">
No escriba en esta columna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Edier Valderrama</author>
  </authors>
  <commentList>
    <comment ref="B2" authorId="0" shapeId="0" xr:uid="{00000000-0006-0000-0500-000001000000}">
      <text>
        <r>
          <rPr>
            <b/>
            <sz val="9"/>
            <color indexed="81"/>
            <rFont val="Tahoma"/>
            <family val="2"/>
          </rPr>
          <t>Edier Valderrama:</t>
        </r>
        <r>
          <rPr>
            <sz val="9"/>
            <color indexed="81"/>
            <rFont val="Tahoma"/>
            <family val="2"/>
          </rPr>
          <t xml:space="preserve">
Pegue en esta columna el listado de códigos reportados por el estructurador y ordenelos de menor a mayor</t>
        </r>
      </text>
    </comment>
    <comment ref="C2" authorId="0" shapeId="0" xr:uid="{00000000-0006-0000-0500-000002000000}">
      <text>
        <r>
          <rPr>
            <b/>
            <sz val="9"/>
            <color indexed="81"/>
            <rFont val="Tahoma"/>
            <family val="2"/>
          </rPr>
          <t>Edier Valderrama:</t>
        </r>
        <r>
          <rPr>
            <sz val="9"/>
            <color indexed="81"/>
            <rFont val="Tahoma"/>
            <family val="2"/>
          </rPr>
          <t xml:space="preserve">
no escriba en esta columna, la formula le dira si el codigo esta repetido</t>
        </r>
      </text>
    </comment>
    <comment ref="D2" authorId="0" shapeId="0" xr:uid="{00000000-0006-0000-0500-000003000000}">
      <text>
        <r>
          <rPr>
            <b/>
            <sz val="9"/>
            <color indexed="81"/>
            <rFont val="Tahoma"/>
            <family val="2"/>
          </rPr>
          <t>Edier Valderrama:</t>
        </r>
        <r>
          <rPr>
            <sz val="9"/>
            <color indexed="81"/>
            <rFont val="Tahoma"/>
            <family val="2"/>
          </rPr>
          <t xml:space="preserve">
pegue en esta columna las descripciones de los insumos para verificar si conincide con el de Dinamica</t>
        </r>
      </text>
    </comment>
    <comment ref="E2" authorId="0" shapeId="0" xr:uid="{00000000-0006-0000-0500-000004000000}">
      <text>
        <r>
          <rPr>
            <b/>
            <sz val="9"/>
            <color indexed="81"/>
            <rFont val="Tahoma"/>
            <family val="2"/>
          </rPr>
          <t>Edier Valderrama:</t>
        </r>
        <r>
          <rPr>
            <sz val="9"/>
            <color indexed="81"/>
            <rFont val="Tahoma"/>
            <family val="2"/>
          </rPr>
          <t xml:space="preserve">
no escriba en esta columna</t>
        </r>
      </text>
    </comment>
    <comment ref="F2" authorId="0" shapeId="0" xr:uid="{00000000-0006-0000-0500-000005000000}">
      <text>
        <r>
          <rPr>
            <b/>
            <sz val="9"/>
            <color indexed="81"/>
            <rFont val="Tahoma"/>
            <family val="2"/>
          </rPr>
          <t>Edier Valderrama:</t>
        </r>
        <r>
          <rPr>
            <sz val="9"/>
            <color indexed="81"/>
            <rFont val="Tahoma"/>
            <family val="2"/>
          </rPr>
          <t xml:space="preserve">
No escriba en esta columna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Edier Valderrama</author>
  </authors>
  <commentList>
    <comment ref="B2" authorId="0" shapeId="0" xr:uid="{00000000-0006-0000-0600-000001000000}">
      <text>
        <r>
          <rPr>
            <b/>
            <sz val="9"/>
            <color indexed="81"/>
            <rFont val="Tahoma"/>
            <family val="2"/>
          </rPr>
          <t>Edier Valderrama:</t>
        </r>
        <r>
          <rPr>
            <sz val="9"/>
            <color indexed="81"/>
            <rFont val="Tahoma"/>
            <family val="2"/>
          </rPr>
          <t xml:space="preserve">
Pegue en esta columna el listado de códigos reportados por el estructurador y ordenelos de menor a mayor</t>
        </r>
      </text>
    </comment>
    <comment ref="C2" authorId="0" shapeId="0" xr:uid="{00000000-0006-0000-0600-000002000000}">
      <text>
        <r>
          <rPr>
            <b/>
            <sz val="9"/>
            <color indexed="81"/>
            <rFont val="Tahoma"/>
            <family val="2"/>
          </rPr>
          <t>Edier Valderrama:</t>
        </r>
        <r>
          <rPr>
            <sz val="9"/>
            <color indexed="81"/>
            <rFont val="Tahoma"/>
            <family val="2"/>
          </rPr>
          <t xml:space="preserve">
no escriba en esta columna, la formula le dira si el codigo esta repetido</t>
        </r>
      </text>
    </comment>
    <comment ref="D2" authorId="0" shapeId="0" xr:uid="{00000000-0006-0000-0600-000003000000}">
      <text>
        <r>
          <rPr>
            <b/>
            <sz val="9"/>
            <color indexed="81"/>
            <rFont val="Tahoma"/>
            <family val="2"/>
          </rPr>
          <t>Edier Valderrama:</t>
        </r>
        <r>
          <rPr>
            <sz val="9"/>
            <color indexed="81"/>
            <rFont val="Tahoma"/>
            <family val="2"/>
          </rPr>
          <t xml:space="preserve">
pegue en esta columna las descripciones de los insumos para verificar si conincide con el de Dinamica</t>
        </r>
      </text>
    </comment>
    <comment ref="E2" authorId="0" shapeId="0" xr:uid="{00000000-0006-0000-0600-000004000000}">
      <text>
        <r>
          <rPr>
            <b/>
            <sz val="9"/>
            <color indexed="81"/>
            <rFont val="Tahoma"/>
            <family val="2"/>
          </rPr>
          <t>Edier Valderrama:</t>
        </r>
        <r>
          <rPr>
            <sz val="9"/>
            <color indexed="81"/>
            <rFont val="Tahoma"/>
            <family val="2"/>
          </rPr>
          <t xml:space="preserve">
no escriba en esta columna</t>
        </r>
      </text>
    </comment>
    <comment ref="F2" authorId="0" shapeId="0" xr:uid="{00000000-0006-0000-0600-000005000000}">
      <text>
        <r>
          <rPr>
            <b/>
            <sz val="9"/>
            <color indexed="81"/>
            <rFont val="Tahoma"/>
            <family val="2"/>
          </rPr>
          <t>Edier Valderrama:</t>
        </r>
        <r>
          <rPr>
            <sz val="9"/>
            <color indexed="81"/>
            <rFont val="Tahoma"/>
            <family val="2"/>
          </rPr>
          <t xml:space="preserve">
No escriba en esta columna</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Cesar Perez</author>
    <author>CESAR</author>
  </authors>
  <commentList>
    <comment ref="G4" authorId="0" shapeId="0" xr:uid="{00000000-0006-0000-0700-000001000000}">
      <text>
        <r>
          <rPr>
            <sz val="9"/>
            <color indexed="81"/>
            <rFont val="Tahoma"/>
            <family val="2"/>
          </rPr>
          <t xml:space="preserve">No refiere  la dimensn en Pulgadas 
</t>
        </r>
      </text>
    </comment>
    <comment ref="G5" authorId="0" shapeId="0" xr:uid="{00000000-0006-0000-0700-000002000000}">
      <text>
        <r>
          <rPr>
            <b/>
            <sz val="9"/>
            <color indexed="81"/>
            <rFont val="Tahoma"/>
            <family val="2"/>
          </rPr>
          <t xml:space="preserve">set de esrtillaorpor 10 udades  aislado  1000volt </t>
        </r>
        <r>
          <rPr>
            <sz val="9"/>
            <color indexed="81"/>
            <rFont val="Tahoma"/>
            <family val="2"/>
          </rPr>
          <t xml:space="preserve">
</t>
        </r>
      </text>
    </comment>
    <comment ref="G6" authorId="0" shapeId="0" xr:uid="{00000000-0006-0000-0700-000003000000}">
      <text>
        <r>
          <rPr>
            <b/>
            <sz val="9"/>
            <color indexed="81"/>
            <rFont val="Tahoma"/>
            <family val="2"/>
          </rPr>
          <t>medidas de 150mm = 15 cms</t>
        </r>
        <r>
          <rPr>
            <sz val="9"/>
            <color indexed="81"/>
            <rFont val="Tahoma"/>
            <family val="2"/>
          </rPr>
          <t xml:space="preserve">
</t>
        </r>
      </text>
    </comment>
    <comment ref="G7" authorId="0" shapeId="0" xr:uid="{00000000-0006-0000-0700-000004000000}">
      <text>
        <r>
          <rPr>
            <sz val="9"/>
            <color indexed="81"/>
            <rFont val="Tahoma"/>
            <family val="2"/>
          </rPr>
          <t xml:space="preserve">Dimesniones de 100 mm=10 cms u 150mm= 15 cms 
</t>
        </r>
      </text>
    </comment>
    <comment ref="G8" authorId="0" shapeId="0" xr:uid="{00000000-0006-0000-0700-000005000000}">
      <text>
        <r>
          <rPr>
            <sz val="9"/>
            <color indexed="81"/>
            <rFont val="Tahoma"/>
            <family val="2"/>
          </rPr>
          <t xml:space="preserve">Dimesniones de 100 mm=10 cms u 150mm= 15 cms 
</t>
        </r>
      </text>
    </comment>
    <comment ref="G10" authorId="0" shapeId="0" xr:uid="{00000000-0006-0000-0700-000006000000}">
      <text>
        <r>
          <rPr>
            <b/>
            <sz val="9"/>
            <color indexed="81"/>
            <rFont val="Tahoma"/>
            <family val="2"/>
          </rPr>
          <t>se evidencia de 16 " y 20", no dice  +14"</t>
        </r>
        <r>
          <rPr>
            <sz val="9"/>
            <color indexed="81"/>
            <rFont val="Tahoma"/>
            <family val="2"/>
          </rPr>
          <t xml:space="preserve">
</t>
        </r>
      </text>
    </comment>
    <comment ref="G11" authorId="0" shapeId="0" xr:uid="{00000000-0006-0000-0700-000007000000}">
      <text>
        <r>
          <rPr>
            <b/>
            <sz val="9"/>
            <color indexed="81"/>
            <rFont val="Tahoma"/>
            <family val="2"/>
          </rPr>
          <t xml:space="preserve"> de 1/2" de 550 wattios </t>
        </r>
        <r>
          <rPr>
            <sz val="9"/>
            <color indexed="81"/>
            <rFont val="Tahoma"/>
            <family val="2"/>
          </rPr>
          <t xml:space="preserve">
</t>
        </r>
      </text>
    </comment>
    <comment ref="G28" authorId="0" shapeId="0" xr:uid="{00000000-0006-0000-0700-000008000000}">
      <text>
        <r>
          <rPr>
            <b/>
            <sz val="9"/>
            <color indexed="81"/>
            <rFont val="Tahoma"/>
            <family val="2"/>
          </rPr>
          <t xml:space="preserve">No se evidencia </t>
        </r>
        <r>
          <rPr>
            <sz val="9"/>
            <color indexed="81"/>
            <rFont val="Tahoma"/>
            <family val="2"/>
          </rPr>
          <t xml:space="preserve">
</t>
        </r>
      </text>
    </comment>
    <comment ref="G44" authorId="0" shapeId="0" xr:uid="{00000000-0006-0000-0700-000009000000}">
      <text>
        <r>
          <rPr>
            <b/>
            <sz val="9"/>
            <color indexed="81"/>
            <rFont val="Tahoma"/>
            <family val="2"/>
          </rPr>
          <t xml:space="preserve">se evidencia de 7 y 9 Pulgadas, hay una de 4 1/2 "  de 600 W EN $ 129.900 </t>
        </r>
        <r>
          <rPr>
            <sz val="9"/>
            <color indexed="81"/>
            <rFont val="Tahoma"/>
            <family val="2"/>
          </rPr>
          <t xml:space="preserve">
</t>
        </r>
      </text>
    </comment>
    <comment ref="G67" authorId="0" shapeId="0" xr:uid="{00000000-0006-0000-0700-00000A000000}">
      <text>
        <r>
          <rPr>
            <b/>
            <sz val="9"/>
            <color indexed="81"/>
            <rFont val="Tahoma"/>
            <family val="2"/>
          </rPr>
          <t>No dice de cuatas lbs el cotzado 5 lbs</t>
        </r>
        <r>
          <rPr>
            <sz val="9"/>
            <color indexed="81"/>
            <rFont val="Tahoma"/>
            <family val="2"/>
          </rPr>
          <t xml:space="preserve">
</t>
        </r>
      </text>
    </comment>
    <comment ref="G68" authorId="0" shapeId="0" xr:uid="{00000000-0006-0000-0700-00000B000000}">
      <text>
        <r>
          <rPr>
            <b/>
            <sz val="9"/>
            <color indexed="81"/>
            <rFont val="Tahoma"/>
            <family val="2"/>
          </rPr>
          <t>se evidencia set  de 65 piezas</t>
        </r>
        <r>
          <rPr>
            <sz val="9"/>
            <color indexed="81"/>
            <rFont val="Tahoma"/>
            <family val="2"/>
          </rPr>
          <t xml:space="preserve">
</t>
        </r>
      </text>
    </comment>
    <comment ref="G69" authorId="0" shapeId="0" xr:uid="{00000000-0006-0000-0700-00000C000000}">
      <text>
        <r>
          <rPr>
            <b/>
            <sz val="9"/>
            <color indexed="81"/>
            <rFont val="Tahoma"/>
            <family val="2"/>
          </rPr>
          <t>set x 10 brocas  para muro de 1/4"X 4 "</t>
        </r>
        <r>
          <rPr>
            <sz val="9"/>
            <color indexed="81"/>
            <rFont val="Tahoma"/>
            <family val="2"/>
          </rPr>
          <t xml:space="preserve">
</t>
        </r>
      </text>
    </comment>
    <comment ref="G70" authorId="0" shapeId="0" xr:uid="{00000000-0006-0000-0700-00000D000000}">
      <text>
        <r>
          <rPr>
            <b/>
            <sz val="9"/>
            <color indexed="81"/>
            <rFont val="Tahoma"/>
            <family val="2"/>
          </rPr>
          <t xml:space="preserve">SE EVIDENCIA DE 8", 6" Y SON DE DIFERENTE PRECIIO SE SUGIERE DESAGREGAR </t>
        </r>
      </text>
    </comment>
    <comment ref="G73" authorId="0" shapeId="0" xr:uid="{00000000-0006-0000-0700-00000E000000}">
      <text>
        <r>
          <rPr>
            <b/>
            <sz val="9"/>
            <color indexed="81"/>
            <rFont val="Tahoma"/>
            <family val="2"/>
          </rPr>
          <t>Es Martillo  convencional o Patecbra o e llama  igual????</t>
        </r>
        <r>
          <rPr>
            <sz val="9"/>
            <color indexed="81"/>
            <rFont val="Tahoma"/>
            <family val="2"/>
          </rPr>
          <t xml:space="preserve">
</t>
        </r>
      </text>
    </comment>
    <comment ref="G74" authorId="0" shapeId="0" xr:uid="{00000000-0006-0000-0700-00000F000000}">
      <text>
        <r>
          <rPr>
            <b/>
            <sz val="9"/>
            <color indexed="81"/>
            <rFont val="Tahoma"/>
            <family val="2"/>
          </rPr>
          <t xml:space="preserve">Puntero Picador </t>
        </r>
        <r>
          <rPr>
            <sz val="9"/>
            <color indexed="81"/>
            <rFont val="Tahoma"/>
            <family val="2"/>
          </rPr>
          <t xml:space="preserve">
</t>
        </r>
      </text>
    </comment>
    <comment ref="G75" authorId="0" shapeId="0" xr:uid="{00000000-0006-0000-0700-000010000000}">
      <text>
        <r>
          <rPr>
            <b/>
            <sz val="9"/>
            <color indexed="81"/>
            <rFont val="Tahoma"/>
            <family val="2"/>
          </rPr>
          <t>de 9"=22,9 cms</t>
        </r>
        <r>
          <rPr>
            <sz val="9"/>
            <color indexed="81"/>
            <rFont val="Tahoma"/>
            <family val="2"/>
          </rPr>
          <t xml:space="preserve">
</t>
        </r>
      </text>
    </comment>
    <comment ref="G76" authorId="0" shapeId="0" xr:uid="{00000000-0006-0000-0700-000011000000}">
      <text>
        <r>
          <rPr>
            <b/>
            <sz val="9"/>
            <color indexed="81"/>
            <rFont val="Tahoma"/>
            <family val="2"/>
          </rPr>
          <t>caja d cortavidrios 6 cuchillas x 12 udades, no dice sila cuchilla es  carburo tugsteno por $ 34.900 udad</t>
        </r>
        <r>
          <rPr>
            <sz val="9"/>
            <color indexed="81"/>
            <rFont val="Tahoma"/>
            <family val="2"/>
          </rPr>
          <t xml:space="preserve">
</t>
        </r>
      </text>
    </comment>
    <comment ref="G80" authorId="0" shapeId="0" xr:uid="{00000000-0006-0000-0700-000012000000}">
      <text>
        <r>
          <rPr>
            <b/>
            <sz val="9"/>
            <color indexed="81"/>
            <rFont val="Tahoma"/>
            <family val="2"/>
          </rPr>
          <t>barra de acero de 18 "</t>
        </r>
        <r>
          <rPr>
            <sz val="9"/>
            <color indexed="81"/>
            <rFont val="Tahoma"/>
            <family val="2"/>
          </rPr>
          <t xml:space="preserve">
</t>
        </r>
      </text>
    </comment>
    <comment ref="G81" authorId="0" shapeId="0" xr:uid="{00000000-0006-0000-0700-000013000000}">
      <text>
        <r>
          <rPr>
            <b/>
            <sz val="9"/>
            <color indexed="81"/>
            <rFont val="Tahoma"/>
            <family val="2"/>
          </rPr>
          <t>compresor de aire portatil Piston 8 Litros 4,2 cfm 1 hp</t>
        </r>
        <r>
          <rPr>
            <sz val="9"/>
            <color indexed="81"/>
            <rFont val="Tahoma"/>
            <family val="2"/>
          </rPr>
          <t xml:space="preserve">
</t>
        </r>
      </text>
    </comment>
    <comment ref="G82" authorId="0" shapeId="0" xr:uid="{00000000-0006-0000-0700-000014000000}">
      <text>
        <r>
          <rPr>
            <b/>
            <sz val="9"/>
            <color indexed="81"/>
            <rFont val="Tahoma"/>
            <family val="2"/>
          </rPr>
          <t xml:space="preserve">SE EVIDNECIA DE  120 A  7000 psi </t>
        </r>
        <r>
          <rPr>
            <sz val="9"/>
            <color indexed="81"/>
            <rFont val="Tahoma"/>
            <family val="2"/>
          </rPr>
          <t xml:space="preserve">
</t>
        </r>
      </text>
    </comment>
    <comment ref="G83" authorId="0" shapeId="0" xr:uid="{00000000-0006-0000-0700-000015000000}">
      <text>
        <r>
          <rPr>
            <b/>
            <sz val="9"/>
            <color indexed="81"/>
            <rFont val="Tahoma"/>
            <family val="2"/>
          </rPr>
          <t>Pistola Aerografica de alta presion</t>
        </r>
        <r>
          <rPr>
            <sz val="9"/>
            <color indexed="81"/>
            <rFont val="Tahoma"/>
            <family val="2"/>
          </rPr>
          <t xml:space="preserve">
</t>
        </r>
      </text>
    </comment>
    <comment ref="G84" authorId="0" shapeId="0" xr:uid="{00000000-0006-0000-0700-000016000000}">
      <text>
        <r>
          <rPr>
            <sz val="9"/>
            <color indexed="81"/>
            <rFont val="Tahoma"/>
            <family val="2"/>
          </rPr>
          <t xml:space="preserve">Certificada Tipo IAA Tijera 12 pasos 3,60 aluminoo Resisitencia 170 kgs $ 1.119900
</t>
        </r>
      </text>
    </comment>
    <comment ref="G85" authorId="0" shapeId="0" xr:uid="{00000000-0006-0000-0700-000017000000}">
      <text>
        <r>
          <rPr>
            <b/>
            <sz val="9"/>
            <color indexed="81"/>
            <rFont val="Tahoma"/>
            <family val="2"/>
          </rPr>
          <t xml:space="preserve">No se evidencia  IAA y la longitud no tiene semejanza </t>
        </r>
        <r>
          <rPr>
            <sz val="9"/>
            <color indexed="81"/>
            <rFont val="Tahoma"/>
            <family val="2"/>
          </rPr>
          <t xml:space="preserve">
</t>
        </r>
      </text>
    </comment>
    <comment ref="G86" authorId="0" shapeId="0" xr:uid="{00000000-0006-0000-0700-000018000000}">
      <text>
        <r>
          <rPr>
            <b/>
            <sz val="9"/>
            <color indexed="81"/>
            <rFont val="Tahoma"/>
            <family val="2"/>
          </rPr>
          <t xml:space="preserve">No se evidencia  IAA y la longitud no tiene semejanza </t>
        </r>
        <r>
          <rPr>
            <sz val="9"/>
            <color indexed="81"/>
            <rFont val="Tahoma"/>
            <family val="2"/>
          </rPr>
          <t xml:space="preserve">
</t>
        </r>
      </text>
    </comment>
    <comment ref="B87" authorId="1" shapeId="0" xr:uid="{00000000-0006-0000-0700-000019000000}">
      <text>
        <r>
          <rPr>
            <b/>
            <sz val="9"/>
            <color indexed="81"/>
            <rFont val="Tahoma"/>
            <family val="2"/>
          </rPr>
          <t>es  un disco sierra para fibrocemento ???</t>
        </r>
        <r>
          <rPr>
            <sz val="9"/>
            <color indexed="81"/>
            <rFont val="Tahoma"/>
            <family val="2"/>
          </rPr>
          <t xml:space="preserve">
</t>
        </r>
      </text>
    </comment>
    <comment ref="G87" authorId="0" shapeId="0" xr:uid="{00000000-0006-0000-0700-00001A000000}">
      <text>
        <r>
          <rPr>
            <b/>
            <sz val="9"/>
            <color indexed="81"/>
            <rFont val="Tahoma"/>
            <family val="2"/>
          </rPr>
          <t xml:space="preserve">No se hallo </t>
        </r>
      </text>
    </comment>
    <comment ref="G88" authorId="0" shapeId="0" xr:uid="{00000000-0006-0000-0700-00001B000000}">
      <text>
        <r>
          <rPr>
            <b/>
            <sz val="9"/>
            <color indexed="81"/>
            <rFont val="Tahoma"/>
            <family val="2"/>
          </rPr>
          <t>Máquina de Drenaje K-400 C-32IW 3/8-75 $ 3.299.900</t>
        </r>
        <r>
          <rPr>
            <sz val="9"/>
            <color indexed="81"/>
            <rFont val="Tahoma"/>
            <family val="2"/>
          </rPr>
          <t xml:space="preserve">
</t>
        </r>
      </text>
    </comment>
    <comment ref="G89" authorId="0" shapeId="0" xr:uid="{00000000-0006-0000-0700-00001C000000}">
      <text>
        <r>
          <rPr>
            <b/>
            <sz val="9"/>
            <color indexed="81"/>
            <rFont val="Tahoma"/>
            <family val="2"/>
          </rPr>
          <t xml:space="preserve">No se hallo  LAVABO </t>
        </r>
      </text>
    </comment>
    <comment ref="K89" authorId="1" shapeId="0" xr:uid="{00000000-0006-0000-0700-00001D000000}">
      <text>
        <r>
          <rPr>
            <b/>
            <sz val="9"/>
            <color indexed="81"/>
            <rFont val="Tahoma"/>
            <family val="2"/>
          </rPr>
          <t>llave telescopica de lavabo tekton  wrn9200</t>
        </r>
        <r>
          <rPr>
            <sz val="9"/>
            <color indexed="81"/>
            <rFont val="Tahoma"/>
            <family val="2"/>
          </rPr>
          <t xml:space="preserve">
</t>
        </r>
      </text>
    </comment>
    <comment ref="G90" authorId="0" shapeId="0" xr:uid="{00000000-0006-0000-0700-00001E000000}">
      <text>
        <r>
          <rPr>
            <b/>
            <sz val="9"/>
            <color indexed="81"/>
            <rFont val="Tahoma"/>
            <family val="2"/>
          </rPr>
          <t xml:space="preserve">SE UBICA COMO MAZO </t>
        </r>
        <r>
          <rPr>
            <sz val="9"/>
            <color indexed="81"/>
            <rFont val="Tahoma"/>
            <family val="2"/>
          </rPr>
          <t xml:space="preserve">
DE 4 LBS $ 75.900</t>
        </r>
      </text>
    </comment>
    <comment ref="G91" authorId="0" shapeId="0" xr:uid="{00000000-0006-0000-0700-00001F000000}">
      <text>
        <r>
          <rPr>
            <b/>
            <sz val="9"/>
            <color indexed="81"/>
            <rFont val="Tahoma"/>
            <family val="2"/>
          </rPr>
          <t xml:space="preserve">NO SE HALLO </t>
        </r>
        <r>
          <rPr>
            <sz val="9"/>
            <color indexed="81"/>
            <rFont val="Tahoma"/>
            <family val="2"/>
          </rPr>
          <t xml:space="preserve">
</t>
        </r>
      </text>
    </comment>
    <comment ref="G92" authorId="0" shapeId="0" xr:uid="{00000000-0006-0000-0700-000020000000}">
      <text>
        <r>
          <rPr>
            <b/>
            <sz val="9"/>
            <color indexed="81"/>
            <rFont val="Tahoma"/>
            <family val="2"/>
          </rPr>
          <t xml:space="preserve">NO SE HALLO </t>
        </r>
        <r>
          <rPr>
            <sz val="9"/>
            <color indexed="81"/>
            <rFont val="Tahoma"/>
            <family val="2"/>
          </rPr>
          <t xml:space="preserve">
</t>
        </r>
      </text>
    </comment>
    <comment ref="G93" authorId="0" shapeId="0" xr:uid="{00000000-0006-0000-0700-000021000000}">
      <text>
        <r>
          <rPr>
            <b/>
            <sz val="9"/>
            <color indexed="81"/>
            <rFont val="Tahoma"/>
            <family val="2"/>
          </rPr>
          <t xml:space="preserve">MARCA STANLEY  1000V 6 1/4 </t>
        </r>
        <r>
          <rPr>
            <sz val="9"/>
            <color indexed="81"/>
            <rFont val="Tahoma"/>
            <family val="2"/>
          </rPr>
          <t xml:space="preserve">
</t>
        </r>
      </text>
    </comment>
    <comment ref="G94" authorId="0" shapeId="0" xr:uid="{00000000-0006-0000-0700-000022000000}">
      <text>
        <r>
          <rPr>
            <b/>
            <sz val="9"/>
            <color indexed="81"/>
            <rFont val="Tahoma"/>
            <family val="2"/>
          </rPr>
          <t xml:space="preserve">Linterna Recargable Grande 100 Lumens
</t>
        </r>
        <r>
          <rPr>
            <sz val="9"/>
            <color indexed="81"/>
            <rFont val="Tahoma"/>
            <family val="2"/>
          </rPr>
          <t xml:space="preserve">
</t>
        </r>
      </text>
    </comment>
    <comment ref="G95" authorId="0" shapeId="0" xr:uid="{00000000-0006-0000-0700-000023000000}">
      <text>
        <r>
          <rPr>
            <b/>
            <sz val="9"/>
            <color indexed="81"/>
            <rFont val="Tahoma"/>
            <family val="2"/>
          </rPr>
          <t xml:space="preserve">NO SE HALLO </t>
        </r>
        <r>
          <rPr>
            <sz val="9"/>
            <color indexed="81"/>
            <rFont val="Tahoma"/>
            <family val="2"/>
          </rPr>
          <t xml:space="preserve">
</t>
        </r>
      </text>
    </comment>
    <comment ref="G96" authorId="0" shapeId="0" xr:uid="{00000000-0006-0000-0700-000024000000}">
      <text>
        <r>
          <rPr>
            <b/>
            <sz val="9"/>
            <color indexed="81"/>
            <rFont val="Tahoma"/>
            <family val="2"/>
          </rPr>
          <t>Tronzadora de Metales de 14 Pulg 2200W</t>
        </r>
        <r>
          <rPr>
            <sz val="9"/>
            <color indexed="81"/>
            <rFont val="Tahoma"/>
            <family val="2"/>
          </rPr>
          <t xml:space="preserve">
</t>
        </r>
      </text>
    </comment>
    <comment ref="G97" authorId="0" shapeId="0" xr:uid="{00000000-0006-0000-0700-000025000000}">
      <text>
        <r>
          <rPr>
            <b/>
            <sz val="9"/>
            <color indexed="81"/>
            <rFont val="Tahoma"/>
            <family val="2"/>
          </rPr>
          <t xml:space="preserve">NO SE HALLO </t>
        </r>
        <r>
          <rPr>
            <sz val="9"/>
            <color indexed="81"/>
            <rFont val="Tahoma"/>
            <family val="2"/>
          </rPr>
          <t xml:space="preserve">
</t>
        </r>
      </text>
    </comment>
    <comment ref="G98" authorId="0" shapeId="0" xr:uid="{00000000-0006-0000-0700-000026000000}">
      <text>
        <r>
          <rPr>
            <b/>
            <sz val="9"/>
            <color indexed="81"/>
            <rFont val="Tahoma"/>
            <family val="2"/>
          </rPr>
          <t>SE EVIDENCIA DE 6 PIEZAS STANLEY EN $ 117.900, se homologa con uno de 33 piezas $ 89.900</t>
        </r>
        <r>
          <rPr>
            <sz val="9"/>
            <color indexed="81"/>
            <rFont val="Tahoma"/>
            <family val="2"/>
          </rPr>
          <t xml:space="preserve">
</t>
        </r>
      </text>
    </comment>
    <comment ref="G99" authorId="0" shapeId="0" xr:uid="{00000000-0006-0000-0700-000027000000}">
      <text>
        <r>
          <rPr>
            <b/>
            <sz val="9"/>
            <color indexed="81"/>
            <rFont val="Tahoma"/>
            <family val="2"/>
          </rPr>
          <t xml:space="preserve">NO SE EVIDENCIA PARA LATONERIA SINO MARTILLOS DE GOMA Y OTROS </t>
        </r>
        <r>
          <rPr>
            <sz val="9"/>
            <color indexed="81"/>
            <rFont val="Tahoma"/>
            <family val="2"/>
          </rPr>
          <t xml:space="preserve">
</t>
        </r>
      </text>
    </comment>
    <comment ref="G100" authorId="0" shapeId="0" xr:uid="{00000000-0006-0000-0700-000028000000}">
      <text>
        <r>
          <rPr>
            <b/>
            <sz val="9"/>
            <color indexed="81"/>
            <rFont val="Tahoma"/>
            <family val="2"/>
          </rPr>
          <t>Soldador Inversor Portátil 127/220V para Electrodos y TIG LHN 162 $ 1.379.900</t>
        </r>
        <r>
          <rPr>
            <sz val="9"/>
            <color indexed="81"/>
            <rFont val="Tahoma"/>
            <family val="2"/>
          </rPr>
          <t xml:space="preserve">
</t>
        </r>
      </text>
    </comment>
    <comment ref="G101" authorId="0" shapeId="0" xr:uid="{00000000-0006-0000-0700-000029000000}">
      <text>
        <r>
          <rPr>
            <b/>
            <sz val="9"/>
            <color indexed="81"/>
            <rFont val="Tahoma"/>
            <family val="2"/>
          </rPr>
          <t>se evidencio Máscara para Soldar Lente Fotosensible de 34mmx90mm, sin más especificacijes en $ 99.900</t>
        </r>
        <r>
          <rPr>
            <sz val="9"/>
            <color indexed="81"/>
            <rFont val="Tahoma"/>
            <family val="2"/>
          </rPr>
          <t xml:space="preserve">
</t>
        </r>
      </text>
    </comment>
    <comment ref="G103" authorId="0" shapeId="0" xr:uid="{00000000-0006-0000-0700-00002A000000}">
      <text>
        <r>
          <rPr>
            <b/>
            <sz val="9"/>
            <color indexed="81"/>
            <rFont val="Tahoma"/>
            <family val="2"/>
          </rPr>
          <t xml:space="preserve">ALMADANA DE 3 LBS </t>
        </r>
        <r>
          <rPr>
            <sz val="9"/>
            <color indexed="81"/>
            <rFont val="Tahoma"/>
            <family val="2"/>
          </rPr>
          <t xml:space="preserve">
</t>
        </r>
      </text>
    </comment>
    <comment ref="G104" authorId="0" shapeId="0" xr:uid="{00000000-0006-0000-0700-00002B000000}">
      <text>
        <r>
          <rPr>
            <sz val="9"/>
            <color indexed="81"/>
            <rFont val="Tahoma"/>
            <family val="2"/>
          </rPr>
          <t xml:space="preserve">TRABAJO PESADO 4 BOCAS 
</t>
        </r>
      </text>
    </comment>
    <comment ref="G105" authorId="0" shapeId="0" xr:uid="{00000000-0006-0000-0700-00002C000000}">
      <text>
        <r>
          <rPr>
            <b/>
            <sz val="9"/>
            <color indexed="81"/>
            <rFont val="Tahoma"/>
            <family val="2"/>
          </rPr>
          <t>TRUPER
Serrucho Profesional 18 Pulgadas Ref.TRP18167</t>
        </r>
        <r>
          <rPr>
            <sz val="9"/>
            <color indexed="81"/>
            <rFont val="Tahoma"/>
            <family val="2"/>
          </rPr>
          <t xml:space="preserve">
</t>
        </r>
      </text>
    </comment>
    <comment ref="G106" authorId="0" shapeId="0" xr:uid="{00000000-0006-0000-0700-00002D000000}">
      <text>
        <r>
          <rPr>
            <b/>
            <sz val="9"/>
            <color indexed="81"/>
            <rFont val="Tahoma"/>
            <family val="2"/>
          </rPr>
          <t>Bisturí Multiusos 19mm</t>
        </r>
        <r>
          <rPr>
            <sz val="9"/>
            <color indexed="81"/>
            <rFont val="Tahoma"/>
            <family val="2"/>
          </rPr>
          <t xml:space="preserve">
</t>
        </r>
      </text>
    </comment>
    <comment ref="G107" authorId="0" shapeId="0" xr:uid="{00000000-0006-0000-0700-00002E000000}">
      <text>
        <r>
          <rPr>
            <b/>
            <sz val="9"/>
            <color indexed="81"/>
            <rFont val="Tahoma"/>
            <family val="2"/>
          </rPr>
          <t xml:space="preserve">no se hallo </t>
        </r>
      </text>
    </comment>
    <comment ref="G108" authorId="0" shapeId="0" xr:uid="{00000000-0006-0000-0700-00002F000000}">
      <text>
        <r>
          <rPr>
            <b/>
            <sz val="9"/>
            <color indexed="81"/>
            <rFont val="Tahoma"/>
            <family val="2"/>
          </rPr>
          <t>Pinzas Ponchadoras Alta Resistencia De 241 Mm</t>
        </r>
        <r>
          <rPr>
            <sz val="9"/>
            <color indexed="81"/>
            <rFont val="Tahoma"/>
            <family val="2"/>
          </rPr>
          <t xml:space="preserve">
</t>
        </r>
      </text>
    </comment>
    <comment ref="G109" authorId="0" shapeId="0" xr:uid="{00000000-0006-0000-0700-000030000000}">
      <text>
        <r>
          <rPr>
            <b/>
            <sz val="9"/>
            <color indexed="81"/>
            <rFont val="Tahoma"/>
            <family val="2"/>
          </rPr>
          <t>Pinza Pelacable Para Cables de Cobre Hasta 5mm Aislado 1000V Paqx3=$ 114900</t>
        </r>
        <r>
          <rPr>
            <sz val="9"/>
            <color indexed="81"/>
            <rFont val="Tahoma"/>
            <family val="2"/>
          </rPr>
          <t xml:space="preserve">
</t>
        </r>
      </text>
    </comment>
    <comment ref="G110" authorId="0" shapeId="0" xr:uid="{00000000-0006-0000-0700-000031000000}">
      <text>
        <r>
          <rPr>
            <b/>
            <sz val="9"/>
            <color indexed="81"/>
            <rFont val="Tahoma"/>
            <family val="2"/>
          </rPr>
          <t>no se hallo</t>
        </r>
      </text>
    </comment>
    <comment ref="G111" authorId="0" shapeId="0" xr:uid="{00000000-0006-0000-0700-000032000000}">
      <text>
        <r>
          <rPr>
            <b/>
            <sz val="9"/>
            <color indexed="81"/>
            <rFont val="Tahoma"/>
            <family val="2"/>
          </rPr>
          <t>Cautín Eléctrico 60W Calentamiento Progresivo</t>
        </r>
        <r>
          <rPr>
            <sz val="9"/>
            <color indexed="81"/>
            <rFont val="Tahoma"/>
            <family val="2"/>
          </rPr>
          <t xml:space="preserve">
</t>
        </r>
      </text>
    </comment>
    <comment ref="G112" authorId="0" shapeId="0" xr:uid="{00000000-0006-0000-0700-000033000000}">
      <text>
        <r>
          <rPr>
            <b/>
            <sz val="9"/>
            <color indexed="81"/>
            <rFont val="Tahoma"/>
            <family val="2"/>
          </rPr>
          <t>no se hallo</t>
        </r>
      </text>
    </comment>
    <comment ref="G113" authorId="0" shapeId="0" xr:uid="{00000000-0006-0000-0700-000034000000}">
      <text>
        <r>
          <rPr>
            <b/>
            <sz val="9"/>
            <color indexed="81"/>
            <rFont val="Tahoma"/>
            <family val="2"/>
          </rPr>
          <t xml:space="preserve">Redline
Cizalla cortapernos 24 pulgadas 14C46311
</t>
        </r>
        <r>
          <rPr>
            <sz val="9"/>
            <color indexed="81"/>
            <rFont val="Tahoma"/>
            <family val="2"/>
          </rPr>
          <t xml:space="preserve">
</t>
        </r>
      </text>
    </comment>
  </commentList>
</comments>
</file>

<file path=xl/sharedStrings.xml><?xml version="1.0" encoding="utf-8"?>
<sst xmlns="http://schemas.openxmlformats.org/spreadsheetml/2006/main" count="6612" uniqueCount="862">
  <si>
    <t>INTERNET 1</t>
  </si>
  <si>
    <t>INTERNET 2</t>
  </si>
  <si>
    <t xml:space="preserve">PRECIO COTIZACION 1  </t>
  </si>
  <si>
    <t xml:space="preserve">PRECIO COTIZACION 2  </t>
  </si>
  <si>
    <t xml:space="preserve">PRECIO COTIZACION 3 </t>
  </si>
  <si>
    <t xml:space="preserve">PRECIO COTIZACION 4 </t>
  </si>
  <si>
    <t>PRECIO REF PROCESO MC 021-2021</t>
  </si>
  <si>
    <t>PRECIO REF PROCESO BASC N° 19</t>
  </si>
  <si>
    <t>PRECIO REF PROCESO  CENAC PASTO</t>
  </si>
  <si>
    <t>PRECIO DE REFERENCIA</t>
  </si>
  <si>
    <t>N° ITEM</t>
  </si>
  <si>
    <t>CODIGO</t>
  </si>
  <si>
    <t>Analisis de codigos repetidos</t>
  </si>
  <si>
    <t>DESCRIPCION REPORTADA POR EL  ESTRUCTURADOR</t>
  </si>
  <si>
    <t>UNIDAD DE MEDIDA</t>
  </si>
  <si>
    <t>DESCRIPCION EN DINAMICA GERENCIAL</t>
  </si>
  <si>
    <t>VALOR UNITARIO</t>
  </si>
  <si>
    <t xml:space="preserve">VALOR UNITARIO </t>
  </si>
  <si>
    <t xml:space="preserve">IVA </t>
  </si>
  <si>
    <t>VALOR TOTAL INCLUIDO IVA</t>
  </si>
  <si>
    <t>OK</t>
  </si>
  <si>
    <t>AGLOMERADO MEL ROBLE CLARO 244X215X0.6 c</t>
  </si>
  <si>
    <t>UNIDAD</t>
  </si>
  <si>
    <t>AGLOMERADO MEL  ROBLE CLARO 244X215X0.6 c</t>
  </si>
  <si>
    <t>NO SE ENCUENTRA</t>
  </si>
  <si>
    <t>NO COTIZO</t>
  </si>
  <si>
    <t>BISAGRA DE PARCHE MEDIANA</t>
  </si>
  <si>
    <t>BISAGRA GRANDE TIPO PARCHE</t>
  </si>
  <si>
    <t>BISAGRA OMEGA DE 3X3. CAJA X 12</t>
  </si>
  <si>
    <t>BISAGRA PEQUEÑA  TIPO PARCHE</t>
  </si>
  <si>
    <t>BOTONES MACISOS COBRIZADOS</t>
  </si>
  <si>
    <t>CHAZO CON TORNILLO DE 1/4" X 3"</t>
  </si>
  <si>
    <t>PAQUETE</t>
  </si>
  <si>
    <t>CHAZO CON TORNILLO DE 3/4" 3"</t>
  </si>
  <si>
    <t>CHAZO CON TORNILLO DE 3/8" X 3"</t>
  </si>
  <si>
    <t>CHAZO CON TORNILLO DE 5/16" X 3"</t>
  </si>
  <si>
    <t>CHAZO CON TORNILLO DE 5/16" X3"</t>
  </si>
  <si>
    <t>NO SE ENCUENTRA LA MEDIDA</t>
  </si>
  <si>
    <t>CORREDERAS FULL STATION 40</t>
  </si>
  <si>
    <t>CORREDERAS FULL STATION 55</t>
  </si>
  <si>
    <t>CORREDERAS PARA CAJON DE 30 cm</t>
  </si>
  <si>
    <t>CORREDERAS PARA CAJON DE 30cmt</t>
  </si>
  <si>
    <t>CORREDERAS PARA CAJON DE 45 cm</t>
  </si>
  <si>
    <t>CORREDERAS PARA CAJON DE 45cms</t>
  </si>
  <si>
    <t>CUCHILLA PARA CALADORA</t>
  </si>
  <si>
    <t>JUEGO CUCHILLAS PARA PLANEADORA</t>
  </si>
  <si>
    <t>LAMINA DE MADECOR 10 mm COLOR BLANCO POR AMBAS CARAS</t>
  </si>
  <si>
    <t>LAMINA DE MADECOR 10mm COLOR BLANCO POR AMBAS CARAS</t>
  </si>
  <si>
    <t>LAMINA DE MADECOR 10 mm COLOR CEDRO POR AMBAS CARAS</t>
  </si>
  <si>
    <t>LAMINA DE MADECOR 10mm COLOR CEDRO POR AMBAS CARAS</t>
  </si>
  <si>
    <t>LAMINA DE MADECOR 20 mm COLOR BLANCO POR AMBAS CARAS</t>
  </si>
  <si>
    <t>LAMINAS</t>
  </si>
  <si>
    <t>LAMINA DE MADECOR 20mm COLOR BLANCO POR AMBAS CARAS</t>
  </si>
  <si>
    <t>LAMINA DE MADECOR 20 mm COLOR CEDRO POR AMBAS CARAS</t>
  </si>
  <si>
    <t>LAMINA DE MADECOR 20mm COLOR CEDRO POR AMBAS CARAS</t>
  </si>
  <si>
    <t>LAMINA DE MADECOR 20 MM COLOR WENGE</t>
  </si>
  <si>
    <t>LAMINA DE MADECOR 20MM COLOR WENGE</t>
  </si>
  <si>
    <t>LAMINA DE TRIPLEX 10 MM</t>
  </si>
  <si>
    <t>LAMINA DE TRIPLEX 10MM</t>
  </si>
  <si>
    <t>LAMINA DE TRIPLEX 15 MM</t>
  </si>
  <si>
    <t>LAMINA DE TRIPLEX 15MM</t>
  </si>
  <si>
    <t>LAMINA DE TRIPLEX 20 MM</t>
  </si>
  <si>
    <t>LAMINA DE TRIPLEX 20MM</t>
  </si>
  <si>
    <t>LAMINA DE TRIPLEX 5 MM</t>
  </si>
  <si>
    <t>LAMINA DE TRIPLEX 5MM</t>
  </si>
  <si>
    <t>MADECANTO DE 04 CM COLOR BLANCO. Rollo x 120 m</t>
  </si>
  <si>
    <t>ROLLO</t>
  </si>
  <si>
    <t>MADECANTO DE 04 CM COLOR BLANCO</t>
  </si>
  <si>
    <t>MADECANTO DE 04 CM COLOR CEDRO. Rollo x 120 m</t>
  </si>
  <si>
    <t>MADECANTO DE 04 CM COLOR CEDRO</t>
  </si>
  <si>
    <t>MADECANTO DE 04 CM COLOR WENGUE. Rollo x 120 m</t>
  </si>
  <si>
    <t>MADECANTO DE 04 CM COLOR WENGUE</t>
  </si>
  <si>
    <t>MADECANTO DE 10 mm COLOR BLANCO. ROLLO X 120 M</t>
  </si>
  <si>
    <t>MADECANTO DE 10mm COLOR BLANCO</t>
  </si>
  <si>
    <t>MADECANTO DE 10 MM COLOR CEDRO. Rollo x 120 m</t>
  </si>
  <si>
    <t>MADECANTO DE 10MM COLOR CEDRO</t>
  </si>
  <si>
    <t>MADECANTO DE 10 MM COLOR WENGUE. Rollo x 120 m</t>
  </si>
  <si>
    <t>MADECANTO DE 10MM COLOR WENGUE</t>
  </si>
  <si>
    <t>MADECANTO DE 20 mm COLOR BLANCO. ROLLO X 120 M</t>
  </si>
  <si>
    <t>MADECANTO DE 20mm COLOR BLANCO</t>
  </si>
  <si>
    <t>MADECANTO DE 20 mm COLOR CEDRO. ROLLO X 120 M</t>
  </si>
  <si>
    <t>MADECANTO DE 20mm COLOR CEDRO</t>
  </si>
  <si>
    <t>MADECANTO DE 20 MM COLOR WENGUE. Rollo x 120 m</t>
  </si>
  <si>
    <t>MADECANTO DE 20MM COLOR WENGUE</t>
  </si>
  <si>
    <t>MANIJAS PARA CAJON</t>
  </si>
  <si>
    <t>MANIJAS PARA MUEBLE</t>
  </si>
  <si>
    <t>MARCO MADERA 25X100X210X15CMS  PARA PUERTA</t>
  </si>
  <si>
    <t>MARCO MADERA 25x78x209x15 cm PARA PUERTA</t>
  </si>
  <si>
    <t>Marco madera 25x78x209x15cms  para puerta</t>
  </si>
  <si>
    <t>PEGANTE COLBON MADERA</t>
  </si>
  <si>
    <t>GALON</t>
  </si>
  <si>
    <t>NO  SE ENCUENTRA</t>
  </si>
  <si>
    <t>PEGANTE PL285. Galón</t>
  </si>
  <si>
    <t>PEGANTE PL285</t>
  </si>
  <si>
    <t>PIE DE AMIGO 35CM X 35 CM BLANCO</t>
  </si>
  <si>
    <t>PIE DE AMIGO 35CM X 35 CM NEGRO</t>
  </si>
  <si>
    <t>PUNTILLA ACERADA 1/2"</t>
  </si>
  <si>
    <t>LIBRAS</t>
  </si>
  <si>
    <t xml:space="preserve">NO SE ENCUENTRA  </t>
  </si>
  <si>
    <t>PUNTILLA ACERADA 3/4"</t>
  </si>
  <si>
    <t>PUNTILLA ACERADA DE 1"</t>
  </si>
  <si>
    <t>PUNTILLA CON CABEZA ¾” PULGADAS</t>
  </si>
  <si>
    <t>PUNTILLA CON CABEZA DE 1"</t>
  </si>
  <si>
    <t>PUNTILLA CON CABEZA DE 2PUL</t>
  </si>
  <si>
    <t xml:space="preserve">NO SE ENCUENTRA </t>
  </si>
  <si>
    <t>PUNTILLA CON CABEZA DE 3PUL</t>
  </si>
  <si>
    <t>PUNTILLA EN ACERO DE 1 1/2PUL</t>
  </si>
  <si>
    <t>PUNTILLA EN ACERO DE 2PUL</t>
  </si>
  <si>
    <t>PUNTILLA SIN CABEZA ¾” PULGADAS</t>
  </si>
  <si>
    <t>PUNTILLA SIN CABEZA DE 1 "</t>
  </si>
  <si>
    <t>PUNTILLA SIN CABEZA DE 1 1/4"</t>
  </si>
  <si>
    <t>PUNTILLA SIN CABEZA DE1 1/4"</t>
  </si>
  <si>
    <t>PUNTILLA SIN CABEZA DE 1.1/2 PULG</t>
  </si>
  <si>
    <t>PUNTILLA SIN CABEZA DE 2 PULG</t>
  </si>
  <si>
    <t>TABLA BURRA de 3.5 cm</t>
  </si>
  <si>
    <t>tabla burra de 3.5 cm</t>
  </si>
  <si>
    <t>TORNILLO AUTOPERFORANTE GRADO 8X1 1/2" 100UN"</t>
  </si>
  <si>
    <t>TORNILLO AUTOPERFORANTE  6X1 1/2" 100UN"</t>
  </si>
  <si>
    <t>TORNILLO AUTOPERFORANTE GRADO 8X1/2" 100UN"</t>
  </si>
  <si>
    <t>TORNILLO AUTOPERFORANTE  7X1/2" 100UN"</t>
  </si>
  <si>
    <t>TORNILLO AUTOPERFORANTE GRADO 8X2" 100UN"</t>
  </si>
  <si>
    <t>TORNILLO AUTOPERFORANTE  6X2" 100UN"</t>
  </si>
  <si>
    <t>TORNILLO AUTOPERFORANTE. GRADO 8X1" 100 UN"</t>
  </si>
  <si>
    <t>TORNILLO AUTOPERFORANTE  6X1" 100UN"</t>
  </si>
  <si>
    <t>VARSOL</t>
  </si>
  <si>
    <t xml:space="preserve">PRECIO COTIZACION 2 </t>
  </si>
  <si>
    <t>CONTRATO CON EL QUE SE HA ADQUIRIDO</t>
  </si>
  <si>
    <t>PROVEEDOR</t>
  </si>
  <si>
    <t>ANÁLISIS DESCRIPCION</t>
  </si>
  <si>
    <t>ULTIMO VALOR</t>
  </si>
  <si>
    <t>Consumo 2017</t>
  </si>
  <si>
    <t>Consumo 2018</t>
  </si>
  <si>
    <t>Consumo 2019</t>
  </si>
  <si>
    <t>Promedio mensual año 2019</t>
  </si>
  <si>
    <t>Consumo 2020</t>
  </si>
  <si>
    <t>Promedio mensual año 2020</t>
  </si>
  <si>
    <t>Consumo 2021</t>
  </si>
  <si>
    <t>Existencias A fecha hoy en todo el HMC</t>
  </si>
  <si>
    <t>Observación</t>
  </si>
  <si>
    <t xml:space="preserve"> IVA</t>
  </si>
  <si>
    <t>ANGULO EN ALUMINIO DE 1 1/2  X 6 METROS</t>
  </si>
  <si>
    <t>OBRA</t>
  </si>
  <si>
    <t>ANGULO EN ALUMINIO DE 1"</t>
  </si>
  <si>
    <t>ANGULO EN ALUMINIO DE 1 "</t>
  </si>
  <si>
    <t>DISCO DE CORTE PARA METAL  DE 4"</t>
  </si>
  <si>
    <t>FLEXOMETRO</t>
  </si>
  <si>
    <t>HOJA DE SEGUETA 18 DIENTES</t>
  </si>
  <si>
    <t>HOJA DE SEGUETA 24 DIENTES</t>
  </si>
  <si>
    <t>HOMBRESOLO</t>
  </si>
  <si>
    <t>JUEGO DE BROCAS DE 1/16 A 1/2 PARA LÁMINA</t>
  </si>
  <si>
    <t>PLATINA 1 1/2" x 1/8 EN ACERO</t>
  </si>
  <si>
    <t>PLATINA 1" x 1/8 EN ACERO</t>
  </si>
  <si>
    <t>PLATINA 1" x 1/8 EN HIERRO</t>
  </si>
  <si>
    <t>PLATINA EN ALUMINIO DE 1"X 1/8"</t>
  </si>
  <si>
    <t>REMACHE POP 3/16 X 3/4</t>
  </si>
  <si>
    <t>REMACHES POP DE 1/8 X 3/4</t>
  </si>
  <si>
    <t>REMACHES POP DE 1/8</t>
  </si>
  <si>
    <t>REMACHES POP DE 3/16 X 1/2</t>
  </si>
  <si>
    <t>REMACHES POP DE 3/16</t>
  </si>
  <si>
    <t>REMACHES POP DE 5/32 X 3/4</t>
  </si>
  <si>
    <t>REMACHES POP DE 5/32</t>
  </si>
  <si>
    <t>SOLDADURA ELECTRICA 6013 DE 1/8"</t>
  </si>
  <si>
    <t>SOLDADURA ELECTRICA  DE 1/8"</t>
  </si>
  <si>
    <t>SOLDADURA ELECTRICA 6013 DE 3/32"</t>
  </si>
  <si>
    <t>SOLDADURA ELÉCTRICA PARA ACERO INOXIDABLE 305L</t>
  </si>
  <si>
    <t>Tornillo para lámina goloso  No. 7</t>
  </si>
  <si>
    <t>Tornillo para lamina goloso  No. 7</t>
  </si>
  <si>
    <t>TORNILLO PARA LAMINA GOLOSO No. 10</t>
  </si>
  <si>
    <t>TORNILLO PARA LAMINA GOLOSO No. 14</t>
  </si>
  <si>
    <t>TORNILLO PARA LAMINA GOLOSO No. 8</t>
  </si>
  <si>
    <t>TORNILLO PARA LAMINA GOLOSO No.12</t>
  </si>
  <si>
    <t>ITEM N°</t>
  </si>
  <si>
    <t>VALOR UNITARIO MENOR VALOR</t>
  </si>
  <si>
    <t>IVA</t>
  </si>
  <si>
    <t>CADENA ESLABONADA GALVANIZADA 3/16"</t>
  </si>
  <si>
    <t>METROS</t>
  </si>
  <si>
    <t>N/A</t>
  </si>
  <si>
    <t>CANDADO ANTICIZALLA 40 MM</t>
  </si>
  <si>
    <t>CANDADO ANTICIZALLA 50 MM</t>
  </si>
  <si>
    <t>CANDADO ANTICIZALLA 70 MM</t>
  </si>
  <si>
    <t>CANDADO ANTICIZALLA 80 MM</t>
  </si>
  <si>
    <t>CANDADO DE CADENA</t>
  </si>
  <si>
    <t>CERRADURA 4141 ST ALCOBA</t>
  </si>
  <si>
    <t>CERRADURA DE EMBUTIR REF.170 X 1/4 YALEE</t>
  </si>
  <si>
    <t>CERRADURA MULTIPUNTO DE ALTA SEGURIDAD 70MM</t>
  </si>
  <si>
    <t>CERROJO PUERTA CADENA</t>
  </si>
  <si>
    <t>CHAPA CAJÓN NIQUELADA 19X32MM</t>
  </si>
  <si>
    <t>CHAPA GAVETA 1550</t>
  </si>
  <si>
    <t>CHAPA GAVETA 1560</t>
  </si>
  <si>
    <t>CHAPA PRESIÓN NIQUELADA ESCRITORIO 25MM</t>
  </si>
  <si>
    <t>LIMA PLANA DE 8"</t>
  </si>
  <si>
    <t>LIMA TRIANGULAR 15 CM</t>
  </si>
  <si>
    <t>UNIDAD SUMINISTRO</t>
  </si>
  <si>
    <t>LIMATESA PERFIL 7 Y PERFIL 10</t>
  </si>
  <si>
    <t>LLAVES MIXTAS 7/16 STANLEY</t>
  </si>
  <si>
    <t>JUEGO</t>
  </si>
  <si>
    <t>MODELO DE LLAVE 1000S</t>
  </si>
  <si>
    <t>MODELO LLAVE 1000R</t>
  </si>
  <si>
    <t>PASADOR COMUN PUERTA</t>
  </si>
  <si>
    <t>PICAPORTE NEGRO 4"</t>
  </si>
  <si>
    <t>PORTACANDADO 4"</t>
  </si>
  <si>
    <t>ADHESIVO  O PEGANTE ENCHAPE X 25 Kg</t>
  </si>
  <si>
    <t>GRAMO</t>
  </si>
  <si>
    <t>ADHESIVO  O PEGANTE ENCHAPE X 25000grs</t>
  </si>
  <si>
    <t xml:space="preserve">ALAMBRE PUAS </t>
  </si>
  <si>
    <t>ALAMBRE DE PUA</t>
  </si>
  <si>
    <t>ALAMBRE DULCE</t>
  </si>
  <si>
    <t>AMARRE PARA TEJA</t>
  </si>
  <si>
    <t>AMARRE PARA TEJA  BOLSA X100 METALICA</t>
  </si>
  <si>
    <t>ARENA DE RIO</t>
  </si>
  <si>
    <t>METORO CUADRADRO</t>
  </si>
  <si>
    <t>BISTURI INDUSTRIAL</t>
  </si>
  <si>
    <t>BLOQUE # 4 ESTÁNDAR 10 X 20 X 30 CM 15,5U/M2</t>
  </si>
  <si>
    <t>BLOQUE MEDIO 1/2 ESTANDAR 10 X 20 X 15 CM</t>
  </si>
  <si>
    <t>BLOQUE No5</t>
  </si>
  <si>
    <t>BLOQUE PRENSADO MACIZO 24,5 X 12 X 5,5 CM</t>
  </si>
  <si>
    <t>BOQUILLA PARA PISOS</t>
  </si>
  <si>
    <t>KILO</t>
  </si>
  <si>
    <t>BOQUILLERA DE ALUMINIO</t>
  </si>
  <si>
    <t>BOQUILLERA</t>
  </si>
  <si>
    <t>BROCA PARA LAMINA 5/16</t>
  </si>
  <si>
    <t>BROCA TUNGSTENO 1"</t>
  </si>
  <si>
    <t>BROCA TUNGSTENO       1"</t>
  </si>
  <si>
    <t>BROCA TUNGSTENO 3/4"</t>
  </si>
  <si>
    <t>BROCA TUNGSTENO       3/4"</t>
  </si>
  <si>
    <t>BROCAS DE TUGSTENO DE 1/2</t>
  </si>
  <si>
    <t xml:space="preserve">BROCAS DE TUGSTENO </t>
  </si>
  <si>
    <t>BROCAS DE TUGSTENO DE 3/8</t>
  </si>
  <si>
    <t>BROCAS DE TUGSTENO DE1/4,</t>
  </si>
  <si>
    <t>BROCAS TUGSTENO 5/16</t>
  </si>
  <si>
    <t>CEMENTO BLANCO</t>
  </si>
  <si>
    <t>BULTO</t>
  </si>
  <si>
    <t>CEMENTO GRIS BULTO X 50 KILOS</t>
  </si>
  <si>
    <t>CEMENTO  GRIS BULTO X 50 KILOS</t>
  </si>
  <si>
    <t>CHAZO DE ANCLAJE CON TORNILLO 3/8"</t>
  </si>
  <si>
    <t>CHAZO DE ANCLAJE  3/8"</t>
  </si>
  <si>
    <t>CHAZO DE ANCLAJE CON TORNILLO 5/16"</t>
  </si>
  <si>
    <t>CHAZO DE ANCLAJE  5/16"</t>
  </si>
  <si>
    <t>CHAZO EXPANSIVO CONCRETO CON TORNILLO 3/8" X 3"</t>
  </si>
  <si>
    <t>CHAZO EXPANSIVO CONCRETO   3/8" X 3"</t>
  </si>
  <si>
    <t>CHAZO PLASTICO CON TORNILLO  1/2" PARA DRIWALL"</t>
  </si>
  <si>
    <t>CHAZO PLASTICO  1/2" PARA DRIWALL"</t>
  </si>
  <si>
    <t>CHAZO PLASTICO CON TORNILLO 1"</t>
  </si>
  <si>
    <t>CHAZO PLASTICO  1"</t>
  </si>
  <si>
    <t>CHAZO PLASTICO CON TORNILLO DRYWALL 1/4"</t>
  </si>
  <si>
    <t>CHAZO PLASTICO DRYWALL 1/4"</t>
  </si>
  <si>
    <t>CINCEL 1/2"</t>
  </si>
  <si>
    <t>CINCEL 1X 8</t>
  </si>
  <si>
    <t>CINCEL 3/4 X 8</t>
  </si>
  <si>
    <t>CINCEL 3/4  X 8</t>
  </si>
  <si>
    <t>CINCEL 5/8"</t>
  </si>
  <si>
    <t>CINTA DE ENMASCARAR DE 2" X 40 MTS"</t>
  </si>
  <si>
    <t>CINTA  DE ENMASCARAR DE 2" X 40 MTS"</t>
  </si>
  <si>
    <t>CINTA DOBLE FAZ</t>
  </si>
  <si>
    <t>CINTA PEGANTE ANCHA PARA SELLAR CAJAS</t>
  </si>
  <si>
    <t>CORTADORA DE EMCHAPE</t>
  </si>
  <si>
    <t>DISCO DIAMANTADO DE 7”</t>
  </si>
  <si>
    <t>DISCO DIAMANTADO DE CONCRETO</t>
  </si>
  <si>
    <t>DISCO DIAMANTADO DENTADO DE 4 PULGADAS</t>
  </si>
  <si>
    <t>DISCO PARA CORTE DE METAL 4 1/2</t>
  </si>
  <si>
    <t>EMULSION ASFALTICA  X 5 GL</t>
  </si>
  <si>
    <t>EMULSIÓN ASFÁLTICA X GALÓN</t>
  </si>
  <si>
    <t>EMULSIÓN ASFÁLTICAGALÓN</t>
  </si>
  <si>
    <t>ENCHAPE CERÁMICO 20 X 20 VARIOS COLORES M2</t>
  </si>
  <si>
    <t>ENCHAPE CERÁMICO 20 X 20 COLORES M2</t>
  </si>
  <si>
    <t>ENCHAPE CERÁMICO 30 X 30 VARIOS  COLORES M2</t>
  </si>
  <si>
    <t>ENCHAPE CERÁMICO 30 X 30 COLORES M2</t>
  </si>
  <si>
    <t>ENCHAPE CERÁMICO 30 X 60 VARIOS COLORES M2</t>
  </si>
  <si>
    <t>ENCHAPE CERÁMICO 60 X 60 VARIOS COLORES  M2</t>
  </si>
  <si>
    <t>ESPATULA FLEXIBLE DE 3"</t>
  </si>
  <si>
    <t>ESPATULA FLEXIBLE DE 5"</t>
  </si>
  <si>
    <t>FIBRA VIDRIO ROLLO X 40M2</t>
  </si>
  <si>
    <t>NO  SE ENCUENTRA MEDIDA</t>
  </si>
  <si>
    <t>GRATA DE ACERO MANGO MADERA</t>
  </si>
  <si>
    <t>JUEGO PUNTAS DE BROCA PUNTA ESTRELLA</t>
  </si>
  <si>
    <t>LADRILLO</t>
  </si>
  <si>
    <t>LLANA METALICA 10"</t>
  </si>
  <si>
    <t>LLANA METALICA 12"</t>
  </si>
  <si>
    <t>LLANAS DENTADAS 12 MMX 12 MM</t>
  </si>
  <si>
    <t>LONA PARA ESCOMBRO</t>
  </si>
  <si>
    <t>Lona para escombro</t>
  </si>
  <si>
    <t>MACETA 2 LB</t>
  </si>
  <si>
    <t>MACETA 4 LB</t>
  </si>
  <si>
    <t>MALLA CON VENA</t>
  </si>
  <si>
    <t>MANTO ELASTOPLY MINERAL BLANCO 3.5MM 1-ROLLO X10M</t>
  </si>
  <si>
    <t>MARTILLO DE CAUCHO 2LBS</t>
  </si>
  <si>
    <t>MARTILLO DE CAUCHO 3/4LBS</t>
  </si>
  <si>
    <t>MASTICO EN POLVO</t>
  </si>
  <si>
    <t>MASTICO LIQUIDO</t>
  </si>
  <si>
    <t>MINERAL ALEMAN EN CAJA (COLORES)</t>
  </si>
  <si>
    <t>MIXTO</t>
  </si>
  <si>
    <t>MIXTO No 4 (GRAVILLA Y ARENA LAVADA)</t>
  </si>
  <si>
    <t>MORTERO IMPERMEABLE BLANCO 25 KILOS</t>
  </si>
  <si>
    <t>CUÑETE</t>
  </si>
  <si>
    <t>MORTERO SECO PARA PISOS 40 KG</t>
  </si>
  <si>
    <t>PALA CUADRADA</t>
  </si>
  <si>
    <t>PALA REDONDA DE TRABAJO</t>
  </si>
  <si>
    <t>PALUSTRE No.6</t>
  </si>
  <si>
    <t>PEGACOR BLANCO MAX  25 KILOS</t>
  </si>
  <si>
    <t>PEGANTE ADHESIVO 10 PARA VINISOL</t>
  </si>
  <si>
    <t>PICA PARA CONSTRUCCION 5LBS</t>
  </si>
  <si>
    <t>PISO CERÁMICO NATURAL PIEDRA ANGULAR M2</t>
  </si>
  <si>
    <t>METRO CUADRADO</t>
  </si>
  <si>
    <t>PISO CERÁMICO SAUCILLO 42.5X42.5 CM M2</t>
  </si>
  <si>
    <t>PISO LAMINADO 10 MM DIFERENTES COLORES M2</t>
  </si>
  <si>
    <t>PISO LAMINADO 6MM  DIFERENTES COLORES M2</t>
  </si>
  <si>
    <t>PISO LAMINADO 8 MM DIFERENTES COLORES M2</t>
  </si>
  <si>
    <t>PISO MARMOL 30X30 GRANITO BLANCO M2</t>
  </si>
  <si>
    <t>NO SE ENCUENTRA MEDIDA</t>
  </si>
  <si>
    <t>PISO MARMOL 30X30 GRANITO NEGRO M2</t>
  </si>
  <si>
    <t>PISO PORCELANATO  MARFIM EXTERIOR 60X60CM.M2</t>
  </si>
  <si>
    <t>PISO PORCELANATO BLANCO 30X30 CM.M2</t>
  </si>
  <si>
    <t>PISO PORCELANATO BLANCO 30X30CM.M2</t>
  </si>
  <si>
    <t>PISO PORCELANATO BLANCO 30X60 CM.M2</t>
  </si>
  <si>
    <t>PISO PORCELANATO BLANCO 30X60CM.M2</t>
  </si>
  <si>
    <t>PISO PORCELANATO BLANCO EXTERIOR 60X60 CM. M2</t>
  </si>
  <si>
    <t>PISO PORCELANATO BLANCO EXTERIOR 60X60CM. M2</t>
  </si>
  <si>
    <t>PISO PORCELANATO DIFERENTES COLORES  30X30 CM.M2</t>
  </si>
  <si>
    <t>PISO PORCELANATO DIFERENTES COLORES  30X30CM.M2</t>
  </si>
  <si>
    <t>PISO PORCELANATO DIFERENTES COLORES  EXTERIOR 60X60 CM. M2</t>
  </si>
  <si>
    <t>PISO PORCELANATO DIFERENTES COLORES  EXTERIOR 60X60CM. M2</t>
  </si>
  <si>
    <t>PISO PORCELANATO ESMALTADO BLANCO 60X60 CM M2</t>
  </si>
  <si>
    <t>PISO PORCELANATO  ESMALTADO BLANCO 60X60 CM M2</t>
  </si>
  <si>
    <t>PISO PORCELANATO ESMALTADO NEGRO 60X60 CMM2</t>
  </si>
  <si>
    <t>PISO PORCELANATO  ESMALTADO NEGRO 60X60 CMM2</t>
  </si>
  <si>
    <t>PISO PORCELANATO NEGRO  EXTERIOR 60X60 CM. M2</t>
  </si>
  <si>
    <t>PISO PORCELANATO NEGRO  EXTERIOR 60X60CM. M2</t>
  </si>
  <si>
    <t>PISO PORCELANATO NEGRO 30X30 CM.M2</t>
  </si>
  <si>
    <t>PISO PORCELANATO NEGRO  30X30CM.M2</t>
  </si>
  <si>
    <t>PISO PORCELANATO NEGRO 30X60CM.M2</t>
  </si>
  <si>
    <t>PISO PORCELANATO NEGRO  30X60CM.M2</t>
  </si>
  <si>
    <t>PISO PORCELANATO URBAN 56.6X56.6 M2</t>
  </si>
  <si>
    <t>PISTOLA PARA TUBO DE SILICONA</t>
  </si>
  <si>
    <t>PLACCO K-89 IMPERMEABILIZANTE X 1 GALÓN</t>
  </si>
  <si>
    <t>PLACCO K-89 IMPERMEABILIZANTE 1 GALÓN</t>
  </si>
  <si>
    <t>PLACCO TAPAGOTERAS X  GALÓN</t>
  </si>
  <si>
    <t>PLACCO TAPAGOTERAS 1 GALÓN</t>
  </si>
  <si>
    <t>PLOMADA</t>
  </si>
  <si>
    <t>POLISOMBRA VERDE  X 100 MTS</t>
  </si>
  <si>
    <t>POLISOMBRA</t>
  </si>
  <si>
    <t>POLISOMBRA NEGRA X 100 m</t>
  </si>
  <si>
    <t>POLISOMBRA NEGRA X 100MTS</t>
  </si>
  <si>
    <t>SIKA EMULSION 5/1 ASFALTICA</t>
  </si>
  <si>
    <t>CANECAS</t>
  </si>
  <si>
    <t>SIKA FLEX 221 (BLANCA)</t>
  </si>
  <si>
    <t>SIKA FLEX 221 (TRANSPARENTE )</t>
  </si>
  <si>
    <t>SIKA MORTERO "BULTO POR 25''"</t>
  </si>
  <si>
    <t>SIKAFILL POWER 12 BLANCO 20 KG</t>
  </si>
  <si>
    <t>SIKAFLEX  SILICONA EN TUBO</t>
  </si>
  <si>
    <t>SILICONA MULTIUSOS 300 ML</t>
  </si>
  <si>
    <t>TUBO</t>
  </si>
  <si>
    <t>SILICONA MULTIUSOS 300ML</t>
  </si>
  <si>
    <t>VARILLA  G-60 W 3/8 PULG X 6M CORRUGADA VARILLA</t>
  </si>
  <si>
    <t>VARILLA  G-60 W 3/8PULG X6M CORRUGADA VARILLA</t>
  </si>
  <si>
    <t>VARILLA DE 3/4 CORRUGADA</t>
  </si>
  <si>
    <t>VARILLA G-60 W 1/2 PULG X 6M CORRUGADA</t>
  </si>
  <si>
    <t>VARILLA  G-60 W 1/2PULG X6M CORRUGADA</t>
  </si>
  <si>
    <t>VARILLA G-60 W 1/4 PULG X6M CORRUGADA</t>
  </si>
  <si>
    <t>VARILLA G-60 W 1/4PULG X6M CORRUGADA</t>
  </si>
  <si>
    <t>VARILLA G-60 W 5/8 PULG X 6M CORRUGADA</t>
  </si>
  <si>
    <t>VARILLA -60 W 5/8PULG X6M CORRUGADA</t>
  </si>
  <si>
    <t>VARILLA G-60 W 9MM X 6M CORRUGADA</t>
  </si>
  <si>
    <t>VARILLA  G-60 W 9MM X6M CORRUGADA</t>
  </si>
  <si>
    <t>VARILLA LISA 1PG 6M G-40</t>
  </si>
  <si>
    <t>ARENA PEÑA LAVADA</t>
  </si>
  <si>
    <t>METRO CUBICO</t>
  </si>
  <si>
    <t>VIAJE ARENA PEÑA LAVADA</t>
  </si>
  <si>
    <t>VINISOL BLANCO 3MM</t>
  </si>
  <si>
    <t>WIN PARA GUARDA ESCOBA PLASTICO COLORES</t>
  </si>
  <si>
    <t>Según el artículo 424 del estatuto tributario, los ladrillos y bloques clasificados e la partida arancelaria 69.04.10.00.00 están excluidos del Iva.</t>
  </si>
  <si>
    <t>BROCHA CERDA FINA DE 2" DE ALTA CALIDAD"</t>
  </si>
  <si>
    <t>BROCHA DE 3"</t>
  </si>
  <si>
    <t>BROCHA PROFESIONAL  4"</t>
  </si>
  <si>
    <t>CINTA ADHESIVA AMARILLA PARA DEMARCACIÓN DE 16 m x 5 cm</t>
  </si>
  <si>
    <t>CINTA ADHESIVA ROJA PARA DEMARCACIÓN DE 16 m x 5 cm</t>
  </si>
  <si>
    <t>CINTA DE ENMASCARAR DE 1"x40 M</t>
  </si>
  <si>
    <t>CINTA DE ENMASCARAR</t>
  </si>
  <si>
    <t>CINTA MALLA</t>
  </si>
  <si>
    <t>CINTA PAPEL  X 50</t>
  </si>
  <si>
    <t>CINTA PAPEL  X 150 MT</t>
  </si>
  <si>
    <t>CINTAS DE SEÑALIZACIÓN X 500 (PELIGRO)</t>
  </si>
  <si>
    <t>DRYWALL LAMINA 1.22 M X 2.44 M - 1/2"</t>
  </si>
  <si>
    <t>ESMALTE EPOXICO</t>
  </si>
  <si>
    <t>ESPATULA METALICA 2"</t>
  </si>
  <si>
    <t>ESPATULA METALICA 4"</t>
  </si>
  <si>
    <t>ESPATULA METALICA 6"</t>
  </si>
  <si>
    <t>ESPATULA PARA DRYWALL 8'</t>
  </si>
  <si>
    <t>ESQUINERO METALICO 3,5MM PVC PARA CIELO RAZO</t>
  </si>
  <si>
    <t>ESQUINERO PLASTICO 3,5MM PVC PARA CIELO RAZO</t>
  </si>
  <si>
    <t>LACA AMARILLA EPOXICA</t>
  </si>
  <si>
    <t>LACA AMARILLA</t>
  </si>
  <si>
    <t>LACA BLANCA EPOXICA</t>
  </si>
  <si>
    <t>LACA BLANCA</t>
  </si>
  <si>
    <t>LACA GOLD TONER EPOXICA</t>
  </si>
  <si>
    <t>LACA GOLD TONER</t>
  </si>
  <si>
    <t>LACA NEGRA EPOXICA</t>
  </si>
  <si>
    <t>LITROS</t>
  </si>
  <si>
    <t>LACA NEGRA</t>
  </si>
  <si>
    <t>LACA TRANSPARENTE EPOXICA</t>
  </si>
  <si>
    <t>LACA TRANSPARENTE (COLORES)</t>
  </si>
  <si>
    <t>LAMINA SUPERBOARD  14MM 1.22 M X 2.44 M</t>
  </si>
  <si>
    <t>LAMINA SUPERBOARD 08MM 1.22 M X 2.44 M</t>
  </si>
  <si>
    <t>LAMINA SUPERBOARD  08MM 1.22 M X 2.44 M</t>
  </si>
  <si>
    <t>LAMINA SUPERBOARD 10MM 1.22 M X 2.44 M</t>
  </si>
  <si>
    <t>LAMINA SUPERBOARD  10MM 1.22 M X 2.44 M</t>
  </si>
  <si>
    <t>LAMINAS PVC BLANCO BRILLANTE 7 MM X 5,95M X 0.25 CM</t>
  </si>
  <si>
    <t>LAMINAS PVC BLANCO BRILLANTE  7 MM X 5,95M X 0.25 CM</t>
  </si>
  <si>
    <t>LIJA PARA AGUA N° 100</t>
  </si>
  <si>
    <t>LIJA PARA AGUA N° 120</t>
  </si>
  <si>
    <t>LIJA PARA AGUA NO 120</t>
  </si>
  <si>
    <t>1477-2018</t>
  </si>
  <si>
    <t>OTTO BOCK HEALTH  CARE ANDINA LTDA  .</t>
  </si>
  <si>
    <t>LIJA PARA AGUA N° 150</t>
  </si>
  <si>
    <t>Lija para agua n0 150</t>
  </si>
  <si>
    <t>LIJA PARA AGUA N° 80</t>
  </si>
  <si>
    <t>LIJA PARA AGUA NO 80</t>
  </si>
  <si>
    <t>MASILLA GRIS</t>
  </si>
  <si>
    <t>MASILLA</t>
  </si>
  <si>
    <t>OMEGA PARA SUPERBOARD</t>
  </si>
  <si>
    <t>PASTA SUPERMASTICO</t>
  </si>
  <si>
    <t>PINTURA BITUMINOSA REFLECTIVA PLATEADA</t>
  </si>
  <si>
    <t>PINTURA BITUMINOSA REFLECTIVA VARIOS COLORES</t>
  </si>
  <si>
    <t>PINTURA EPOXICA BLANCA A BASE DE AGUA  X 5GAL</t>
  </si>
  <si>
    <t>PINTURA ESMALTE INDUSTRIAL BLANCO</t>
  </si>
  <si>
    <t>PINTURA ESMALTE INDUSTRIAL VARIOS COLORES</t>
  </si>
  <si>
    <t>PINTURA TRAFICO EPOXICA (COLORES)</t>
  </si>
  <si>
    <t>PINTURA TRAFICO (COLORES)</t>
  </si>
  <si>
    <t>PINTURA TRAFICO PESADO (COLORES)</t>
  </si>
  <si>
    <t>PUNTAS INMANTADAS</t>
  </si>
  <si>
    <t>RODILLO DE 9 PULGADAS</t>
  </si>
  <si>
    <t>RODILLOS DE 3" (FELPA)"</t>
  </si>
  <si>
    <t>RODILLOS DE 6" (FELPA)"</t>
  </si>
  <si>
    <t>ROLLO DE CARTON PARA PISO X 100 MTS</t>
  </si>
  <si>
    <t>ROLLO DE CARTON PARA PISO   X 100 MTS</t>
  </si>
  <si>
    <t>SUPERBOARD 6MM</t>
  </si>
  <si>
    <t>THINER EXTRAFINO</t>
  </si>
  <si>
    <t>THINNER</t>
  </si>
  <si>
    <t>TINTES PARA MADERA (COLORES) 1/8</t>
  </si>
  <si>
    <t>TINTES PARA MADERA (COLORES)</t>
  </si>
  <si>
    <t>TORNILLO PANEL DRYWALL PTA BROCA 6X1" 100UN"</t>
  </si>
  <si>
    <t>TORNILLO PANEL DRYWALL PTA BROCA 6X1-1/4" 100UN"</t>
  </si>
  <si>
    <t>TORNILLO PANEL DRYWALL PTA BROCA 6X2" 100UN"</t>
  </si>
  <si>
    <t>TORNILLO PANEL DRYWALL PTA BROCA 6X3/4" 100UN"</t>
  </si>
  <si>
    <t>VIGUETA 37 MM PARA ESTRUCTURA</t>
  </si>
  <si>
    <t>VINILO BLANCO TIPO 1</t>
  </si>
  <si>
    <t>VINILO BLANCO  TIPO 1</t>
  </si>
  <si>
    <t>VINILO CONCENTRADO (COLORES)</t>
  </si>
  <si>
    <t>YESO ESCAYOLA</t>
  </si>
  <si>
    <t>YESO</t>
  </si>
  <si>
    <t>PRECIO COTIZACION 4</t>
  </si>
  <si>
    <t>PRECIO COTIZACION 5</t>
  </si>
  <si>
    <t xml:space="preserve">PRECIO COTIZACION 6 </t>
  </si>
  <si>
    <t>PRECIO COTIZACION 7</t>
  </si>
  <si>
    <t>ADAPTADOR 1 1/2" PULGADA TERMINAL CONDUIT"</t>
  </si>
  <si>
    <t xml:space="preserve"> NO COTIZO</t>
  </si>
  <si>
    <t>NO SE ENCUENTRA LA  MEDIDA</t>
  </si>
  <si>
    <t>ADAPTADOR 1 1/2" TERMINAL PVC ELECTRICO"</t>
  </si>
  <si>
    <t>ADAPTADOR 11/2" TERMINAL PVC ELECTRICO"</t>
  </si>
  <si>
    <t>ADAPTADOR 1 1/2" UNION  CONDUIT"</t>
  </si>
  <si>
    <t>ADAPTADOR 11/2" UNION  CONDUIT"</t>
  </si>
  <si>
    <t>ADAPTADOR 1" HEMBRA PVC ELECTRICO"</t>
  </si>
  <si>
    <t>ADAPTADOR 1" MACHO PVC ELÉCTRICO"</t>
  </si>
  <si>
    <t>ADAPTADOR 1" TERMINAL CONDUIT"</t>
  </si>
  <si>
    <t>ADAPTADOR 1" TERMINAL PVC ELECTRICO"</t>
  </si>
  <si>
    <t>ADAPTADOR 1" UNION CONDUIT"</t>
  </si>
  <si>
    <t>ADAPTADOR 1" UNION  CONDUIT"</t>
  </si>
  <si>
    <t>ADAPTADOR 1/2" HEMBRA PVC ELECTRICO"</t>
  </si>
  <si>
    <t>ADAPTADOR 1/2" MACHO CONDUIT"</t>
  </si>
  <si>
    <t>ADAPTADOR 1/2" MACHO  CONDUIT"</t>
  </si>
  <si>
    <t>ADAPTADOR 1/2" MACHO PVC ELECTRICO"</t>
  </si>
  <si>
    <t>ADAPTADOR 1/2" TERMINAL CONDUIT"</t>
  </si>
  <si>
    <t>ADAPTADOR 1/2" TERMINAL PVC ELECTRICO"</t>
  </si>
  <si>
    <t>ADAPTADOR 1/2" UNION  CONDUIT"</t>
  </si>
  <si>
    <t>ADAPTADOR 11/2" HEMBRA  CONDUIT"</t>
  </si>
  <si>
    <t>ADAPTADOR 11/2" HEMBRA PVC ELECTRICO"</t>
  </si>
  <si>
    <t>ADAPTADOR 11/2" MACHO  CONDUIT"</t>
  </si>
  <si>
    <t>ADAPTADOR 11/2" MACHO PVC ELECTRICO"</t>
  </si>
  <si>
    <t>ADAPTADOR 2" MACHO PVC ELECTRICO"</t>
  </si>
  <si>
    <t>ADAPTADOR 2" TERMINAL PVC ELECTRICO"</t>
  </si>
  <si>
    <t>ADAPTADOR 2" UNION  CONDUIT"</t>
  </si>
  <si>
    <t>ADAPTADOR 3/4" MACHO PVC ELECTRICO"</t>
  </si>
  <si>
    <t>ADAPTADOR 3/4" TERMINAL PVC ELECTRICO"</t>
  </si>
  <si>
    <t>ADAPTADOR 3/4" UNION CONDUIT"</t>
  </si>
  <si>
    <t>ADAPTADOR 3/4" UNION  CONDUIT"</t>
  </si>
  <si>
    <t>ALAMBRE # 8</t>
  </si>
  <si>
    <t>ALAMBRE 7 HILOS N°14</t>
  </si>
  <si>
    <t>ALAMBRE 7 HILOS N°8</t>
  </si>
  <si>
    <t>ALAMBRE DESNUDO No 12</t>
  </si>
  <si>
    <t>ALAMBRE GALVANIZADO 1KG</t>
  </si>
  <si>
    <t>ALAMBRE No 10</t>
  </si>
  <si>
    <t>ALAMBRE No 12</t>
  </si>
  <si>
    <t>ALAMBRE No 14</t>
  </si>
  <si>
    <t>ALAMBRE Nro 14 DESNUDO</t>
  </si>
  <si>
    <t>AMARRES PLASTICOS PARA CABLEADO</t>
  </si>
  <si>
    <t>BOMBILLO LED</t>
  </si>
  <si>
    <t>BOMBILLO LED 9W E27</t>
  </si>
  <si>
    <t>BREAKER 1 POLOS X 15 AMP (RETIE)</t>
  </si>
  <si>
    <t>BREAKER 1 POLOS X 20 AMP (RETIE)</t>
  </si>
  <si>
    <t>BREAKER 1 POLOS X 30 AMP (RETIE)</t>
  </si>
  <si>
    <t>BREAKER 1 POLOS X 40 AMP (RETIE)</t>
  </si>
  <si>
    <t>BREAKER 1 POLOS X 50 AMP (RETIE)</t>
  </si>
  <si>
    <t>BREAKER 2 POLOS  X 50 AMP (RETIE)</t>
  </si>
  <si>
    <t>BREAKER 2 POLOS X 100 AMP (RETIE)</t>
  </si>
  <si>
    <t>BREAKER 2 POLOS X 70 AMP (RETIE)</t>
  </si>
  <si>
    <t>BREAKER 3 POLOS X 100 AMP (RETIE)</t>
  </si>
  <si>
    <t>BREAKER 3 POLOS X 70 AMP (RETIE)</t>
  </si>
  <si>
    <t>BREAKER 3X30AMP</t>
  </si>
  <si>
    <t>CABLE 7 HILOS N° 8 VERDE PARA TIERRA</t>
  </si>
  <si>
    <t>CABLE COAXIAL</t>
  </si>
  <si>
    <t>CABLE DUPLEX 2X10</t>
  </si>
  <si>
    <t>CABLE DUPLEX 2X12</t>
  </si>
  <si>
    <t>CABLE DUPLEX 2X14</t>
  </si>
  <si>
    <t>CABLE DUPLEX 2X16</t>
  </si>
  <si>
    <t>CABLE ENCAUCHETADO 3 X 10 7 HILOS</t>
  </si>
  <si>
    <t>CABLE ENCAUCHETADO 3 X 12</t>
  </si>
  <si>
    <t>CABLE ENCAUCHETADO DE 3 X 14</t>
  </si>
  <si>
    <t>CABLE TRENSADO 3X12 AWG12</t>
  </si>
  <si>
    <t>CAJA 2400 CAL20 GALVANIZADA</t>
  </si>
  <si>
    <t>CAJA 2400 CAL20 PLASTICA</t>
  </si>
  <si>
    <t>CAJA 2400 PLASTICA CON SUPLEMENTO</t>
  </si>
  <si>
    <t>CAJA OCTAGONAL</t>
  </si>
  <si>
    <t>CAJA PLASTICA 5800 SENCILLA BLANCA</t>
  </si>
  <si>
    <t>CAJAS 10x10 CON TAPA CIEGA METALICA</t>
  </si>
  <si>
    <t>CAJAS 10X10 GALVANIZADA SENCILLA</t>
  </si>
  <si>
    <t>CANALETA DE SUPERFICIE DEXSON, BLANCA, 10X10</t>
  </si>
  <si>
    <t>CANALETA DE SUPERFICIE DEXSON, BLANCA, 20X12</t>
  </si>
  <si>
    <t>CANALETA DE SUPERFICIE DEXSON, BLANCA, 20X20</t>
  </si>
  <si>
    <t>CANALETA DE SUPERFICIE DEXSON, BLANCA, 60X40</t>
  </si>
  <si>
    <t>CINTA AISLANTE 3M O SCOCOCHT 33</t>
  </si>
  <si>
    <t>CURVA 90° X 1" PVC ELECTRICO"</t>
  </si>
  <si>
    <t>CURVA 90° X 1/2 PVC ELECTRICO</t>
  </si>
  <si>
    <t>CURVA 90° X 2" PVC ELECTRICO"</t>
  </si>
  <si>
    <t>INTERRUMPTOR DOBLE BLANCO HOSPITALARIO</t>
  </si>
  <si>
    <t>INTERRUMPTOR SENCILLO BLANCO HOSPITALARIO</t>
  </si>
  <si>
    <t>INTERRUPTOR DE CODILLO 2 POSICIONES</t>
  </si>
  <si>
    <t>INTERRUPTOR DOBLE LEVINTON</t>
  </si>
  <si>
    <t>INTERRUPTOR SENCILLO LEVINTON</t>
  </si>
  <si>
    <t>LAMPARA DE EMERGENCIA</t>
  </si>
  <si>
    <t>PANEL LED  12 " DE SOBRE PONER"</t>
  </si>
  <si>
    <t>PANEL LED 18"INCRUSTAR"</t>
  </si>
  <si>
    <t>PANEL LED 18"SOBREPONER"</t>
  </si>
  <si>
    <t>PANEL LED 24"INCRUSTAR"</t>
  </si>
  <si>
    <t>PANEL LED 24"SOBREPONER"</t>
  </si>
  <si>
    <t>PANEL LED 3" DE INCUSTRAR"</t>
  </si>
  <si>
    <t>PANEL LED 30 X 120</t>
  </si>
  <si>
    <t>PANEL LED 30 X 30  CUADRADO  - LUZ FRIA</t>
  </si>
  <si>
    <t>PANEL LED 30 X 30  REDONDA  - LUZ FRIA</t>
  </si>
  <si>
    <t>PANEL LED 5" INCRUSTAR 9W"</t>
  </si>
  <si>
    <t>PANEL LED 6" SOBREPONER 12W"</t>
  </si>
  <si>
    <t>PANEL LED 60X60</t>
  </si>
  <si>
    <t>PANEL LED 9" INCRUSTAR"</t>
  </si>
  <si>
    <t>PANEL LED 9" SOBREPONER"</t>
  </si>
  <si>
    <t>PANEL LED DE 12" INCRUSTAR"</t>
  </si>
  <si>
    <t>PANEL LED DE 3" DE SOBRE PONER"</t>
  </si>
  <si>
    <t>PANEL LED DE 6" SOBREPONER"</t>
  </si>
  <si>
    <t>PANEL LED DE 8" INCRUSTAR"</t>
  </si>
  <si>
    <t>PAQUETE AMARRES DEXSON BLANCO  X 20 CMS X 100 UDS</t>
  </si>
  <si>
    <t>PINZA PELA CABLE 9</t>
  </si>
  <si>
    <t>REFLECTORES LED</t>
  </si>
  <si>
    <t>SONDA DE GUAYA ELECTRICA 15MTS - PARA CABLEAR</t>
  </si>
  <si>
    <t>TABLERO TRIFASICO 24 CIRCUITOS</t>
  </si>
  <si>
    <t>TABLERO TRIFASICO 6 CIRCUITOS</t>
  </si>
  <si>
    <t>TAPA CIEGA 5800 GALVANIZADA</t>
  </si>
  <si>
    <t>TAPA CIEGA 5800 PLASTICA</t>
  </si>
  <si>
    <t>TAPA CIEGA GALVANIZADA 2400</t>
  </si>
  <si>
    <t>TAPA CIEGA HEXAGONAL GALVANIZADA</t>
  </si>
  <si>
    <t>TAPA CIEGA HEXAGONAL PLASTICA</t>
  </si>
  <si>
    <t>TAPA CIEGA PLÁSTICA 2400</t>
  </si>
  <si>
    <t>TAPA FINAL  CANALETA , BLANCA, 10X10</t>
  </si>
  <si>
    <t>TAPA FINAL CANALETA, BLANCA, 10X12</t>
  </si>
  <si>
    <t>TAPA FINAL CANALETA, BLANCA, 20X12</t>
  </si>
  <si>
    <t>TAPA FINAL CANALETA, BLANCA, 20X20</t>
  </si>
  <si>
    <t>TAPA FINAL CANALETA, BLANCA, 60X40</t>
  </si>
  <si>
    <t>TOMA DOBLE LEVINTON BLANCA TIPO HOSPITAL 120V - 20 AMP</t>
  </si>
  <si>
    <t>TOMACORRIENTE REGULADA 120V - 15 AMP</t>
  </si>
  <si>
    <t>TOMAS DOBLES LEVINTON GRADO HOSPITALARIO COLOR BLANCO CON POLO A TIERRA 15APM</t>
  </si>
  <si>
    <t>TUBO CONDUIT DE 1/2 X 3 MTS</t>
  </si>
  <si>
    <t>TUBO CONDUIT DE 3/4"</t>
  </si>
  <si>
    <t>TUBO CONDUIT PVC DE 1 X 3</t>
  </si>
  <si>
    <t>TUBO PVC 1"  X 3M ELECRTICO"</t>
  </si>
  <si>
    <t>TUBO PVC 1/2"  X 3M ELECRTICO"</t>
  </si>
  <si>
    <t>TUBO PVC 11/2"  X 3M ELECRTICO"</t>
  </si>
  <si>
    <t>TUBO PVC 2"   X 3M ELECRTICO"</t>
  </si>
  <si>
    <t>TUBO PVC 3/4"  3M ELECRTICO"</t>
  </si>
  <si>
    <t>UNION JUNTA EXPANCION  PVC SANITARIO 4"</t>
  </si>
  <si>
    <t>UNIONES EMT DE 3/4</t>
  </si>
  <si>
    <t>PRECIO HOMECENTER INTERNET</t>
  </si>
  <si>
    <t>PRECIO MERCADO LIBRE</t>
  </si>
  <si>
    <t>ADAPTADOR HEMBRA COBRE DE 1”</t>
  </si>
  <si>
    <t>ADAPTADOR HEMBRA COBRE TIPO K PRESION DE 1”</t>
  </si>
  <si>
    <t>ADAPTADOR MACHO PVC PRESION  DE 1/2"</t>
  </si>
  <si>
    <t>BUJE REDUCCIÓN  PRESIÓN DE 1 1/2" A 1 1/4"</t>
  </si>
  <si>
    <t>BUJE REDUCCIÓN PVC SANITARIO DE 2" A 1 1/2"</t>
  </si>
  <si>
    <t>BUJE REDUCCIÓN PVC SANITARIO DE 3" A 1 1/2"</t>
  </si>
  <si>
    <t>BUJE REDUCCIÓN PVC SANITARIO DE 3" A 2"</t>
  </si>
  <si>
    <t>BUJE REDUCCIÓN PVC SANITARIO DE 4" A 2"</t>
  </si>
  <si>
    <t>BUJE REDUCCIÓN PVC SANITARIO DE 4" A 3"</t>
  </si>
  <si>
    <t>CODO COBRE DE 1"</t>
  </si>
  <si>
    <t>ADAPTADOR CODO COBRE TIPO K DE 1</t>
  </si>
  <si>
    <t>CODO PVC PRESIÓN DE 1/2</t>
  </si>
  <si>
    <t>CODO PVC SANITARIO DE 1½”</t>
  </si>
  <si>
    <t>ADAPTADOR CODO PVC SANITARIO DE 1½”</t>
  </si>
  <si>
    <t>CODO PVC SANITARIO DE 2”</t>
  </si>
  <si>
    <t>ADAPTADOR CODO PVC SANITARIO DE 2”</t>
  </si>
  <si>
    <t>CODO PVC SANITARIO DE 3”</t>
  </si>
  <si>
    <t>ADAPTADOR CODO PVC SANITARIO DE 3”</t>
  </si>
  <si>
    <t>CODO PVC SANITARIO DE 4"</t>
  </si>
  <si>
    <t>ADAPTADOR CODO PVC SANITARIO DE 4</t>
  </si>
  <si>
    <t>DESAGUES PUCH LARGO METAL SIN REBOSE (CROMO). REF: 01-2906-11-11</t>
  </si>
  <si>
    <t>DESAGUES PUCH LARGO METAL CON REBOSE (CROMO) REF 01-2911-11</t>
  </si>
  <si>
    <t>DESAGUES PUSH CORTO METAL SIN REBOSE (CROMO). Ref: 01-2900-11</t>
  </si>
  <si>
    <t>DESAGUES PUCH CORTO METAL SIN REBOSE (CROMO) REF 01-2900-11</t>
  </si>
  <si>
    <t>ESCUDO PARA DUCHA</t>
  </si>
  <si>
    <t>GRIFERÍA DUCHA 8 PULGADAS NUEVA TEDESCA</t>
  </si>
  <si>
    <t>JUNTA REPARACION PVC SANITARIA 4"</t>
  </si>
  <si>
    <t>LAVAMANOS DE PARED PARA MEZCLADOR DE 8"</t>
  </si>
  <si>
    <t>LAVAMANOS DE PARED</t>
  </si>
  <si>
    <t>LIMPIADOR CPVC</t>
  </si>
  <si>
    <t>LIMPIADOR PVC</t>
  </si>
  <si>
    <t>LLAVE ABASTO PARA CONECTOR PLÁSTICO. Ref: 01-9911-11</t>
  </si>
  <si>
    <t>LLAVE PARA ORINAL PUSH. Ref: 10PU08-11</t>
  </si>
  <si>
    <t>MANIJA DUCHA Y LAVAMANOS. Ref: Rb0822-11</t>
  </si>
  <si>
    <t>MEZCLADOR LAVAMANOS 8" METALICO REF. 01-0612-00"</t>
  </si>
  <si>
    <t>MEZCLADOR LAVAMANOS 8" METALICO REF. 01061200"</t>
  </si>
  <si>
    <t>PORTA ESCUDOS DUCHA. Ref: Rb0429-12S</t>
  </si>
  <si>
    <t>REGADERA DUCHA. Ref: BL8430-11</t>
  </si>
  <si>
    <t>REJILLA CON SOSCO DE 3X2</t>
  </si>
  <si>
    <t>SEMICODO PVC PRESIÓN DE 1/2</t>
  </si>
  <si>
    <t>SEMICODO PVC SANITARIO DE 1½”</t>
  </si>
  <si>
    <t>ADAPTADOR SEMICODO PVC SANITARIO DE 1½”</t>
  </si>
  <si>
    <t>SEMICODO PVC SANITARIO DE 2”</t>
  </si>
  <si>
    <t>ADAPTADOR SEMICODO PVC SANITARIO DE 2”</t>
  </si>
  <si>
    <t>SEMICODO PVC SANITARIO DE 3”</t>
  </si>
  <si>
    <t>ADAPTADOR SEMICODO PVC SANITARIO DE 3”</t>
  </si>
  <si>
    <t>SEMICODO PVC SANITARIO DE 4</t>
  </si>
  <si>
    <t>ADAPTADOR SEMICODO PVC SANITARIO DE 4</t>
  </si>
  <si>
    <t>SIFON BOTELLA PARA LAVAMANOS Ref: 1043276666</t>
  </si>
  <si>
    <t>SIFON BOTELLA PARA LAVAMANOS</t>
  </si>
  <si>
    <t>SIFON EN "P" PLASTICO DE 1 1/2"X 1 1/4" BLANCO REF 01-1941-15"</t>
  </si>
  <si>
    <t>SIFON EN P PLASTICO DE 1 1/2"X 11/4" BLANCO REF 011941-15"</t>
  </si>
  <si>
    <t>SOLDADURA BRONCE 3/32"</t>
  </si>
  <si>
    <t>SOLDADURA CPVC.</t>
  </si>
  <si>
    <t>SOLDADURA PVC.</t>
  </si>
  <si>
    <t>SOLDADURA DOS COMPONENTES PARA ANCLAJES Y VARILLAS</t>
  </si>
  <si>
    <t>SOLDADURA PVC (AZUL DURMAN)</t>
  </si>
  <si>
    <t>T PVC PRESIÓN DE 1/2</t>
  </si>
  <si>
    <t>T PVC SANITARIA 1 1/2"</t>
  </si>
  <si>
    <t>ADAPTADOR UNION "Y" PVC SANITARIO 6"</t>
  </si>
  <si>
    <t>T PVC SANITARIA 2"</t>
  </si>
  <si>
    <t>ADAPTADOR UNION "Y" PVC SANITARIO DE 1"</t>
  </si>
  <si>
    <t>T PVC SANITARIA 3"</t>
  </si>
  <si>
    <t>ADAPTADOR UNION "Y" PVC SANITARIO DE 1½”"</t>
  </si>
  <si>
    <t>T PVC SANITARIA 4"</t>
  </si>
  <si>
    <t>ADAPTADOR UNION "Y" PVC SANITARIO DE 4"</t>
  </si>
  <si>
    <t>T PVC SANITARIA DE 4" A 2</t>
  </si>
  <si>
    <t>ADAPTADOR UNION "Y" PVC SANITARIO DE 4" A 2"</t>
  </si>
  <si>
    <t>T PVC SANITARIA DE 4" A 3</t>
  </si>
  <si>
    <t>ADAPTADOR UNION "Y" PVC SANITARIO DE 3”"</t>
  </si>
  <si>
    <t>TAPON INSPECCION 1 1/2"</t>
  </si>
  <si>
    <t>TEFLON</t>
  </si>
  <si>
    <t>TORRE DUCHA ANTIGUA ROSCADA ORDINARIA. Ref. Rb0271-12</t>
  </si>
  <si>
    <t>TORRE CENTRAL DUCHA REF. RB0271-12</t>
  </si>
  <si>
    <t>TUBO PVC PRESION DE 1/2"  X 6 MTS"</t>
  </si>
  <si>
    <t>TUBO PVC SANITARIO DE 1 1/2" X 6 MTS"</t>
  </si>
  <si>
    <t>TUBO PVC SANITARIO DE 1.1/2" X 6 MTS"</t>
  </si>
  <si>
    <t>TUBO PVC SANITARIO DE 2" X 6MTS"</t>
  </si>
  <si>
    <t>TUBO PVC SANITARIO DE 3”</t>
  </si>
  <si>
    <t>TUBO PVC SANITARIO DE 4"X 6MTS"</t>
  </si>
  <si>
    <t>UNION PVC PRESION DE 1/2"</t>
  </si>
  <si>
    <t>ADAPTADOR UNION PVC PRESION  DE 1/2"</t>
  </si>
  <si>
    <t>UNION PVC SANITARIO DE 1½”"</t>
  </si>
  <si>
    <t>ADAPTADOR UNION "T" PVC SANITARIO DE 1½”"</t>
  </si>
  <si>
    <t>UNION PVC SANITARIO DE 2”"</t>
  </si>
  <si>
    <t>ADAPTADOR UNION "T" PVC SANITARIO DE 2”"</t>
  </si>
  <si>
    <t>UNION PVC SANITARIO DE 3”"</t>
  </si>
  <si>
    <t>ADAPTADOR UNION "T" PVC SANITARIO DE 3”"</t>
  </si>
  <si>
    <t>UNION PVC SANITARIO DE 4"</t>
  </si>
  <si>
    <t>ADAPTADOR UNION "T" PVC SANITARIO DE 4"</t>
  </si>
  <si>
    <t>VALVULA DE BOLA EN PVC DE SOLDAR DE 1 1/2"</t>
  </si>
  <si>
    <t>VALVULA DE BOLA EN PVC DE SOLDAR DE 11/2"</t>
  </si>
  <si>
    <t>VALVULA DE BOLA EN PVC DE SOLDAR DE 1"</t>
  </si>
  <si>
    <t>VALVULA DE BOLA EN PVC DE SOLDAR DE 1/2"</t>
  </si>
  <si>
    <t>Y PVC SANITARIA DE 4"</t>
  </si>
  <si>
    <t>ADAPTADOR UNIÓN "Y" PVC SANITARIO DE 4" A 1 1/2"</t>
  </si>
  <si>
    <t>Y PVC SANITARIA DE 4" X 2</t>
  </si>
  <si>
    <t>"Y" PVC SANITARIA DE 4" X 2</t>
  </si>
  <si>
    <t>Y PVC SANITARIA DE 4" X 3</t>
  </si>
  <si>
    <t>"Y" PVC SANITARIA DE 4" X 3</t>
  </si>
  <si>
    <t xml:space="preserve">COTIZACION 1 </t>
  </si>
  <si>
    <t xml:space="preserve">Cotización No 2  Plataforma de Consulta </t>
  </si>
  <si>
    <t>Cotización No 2  Plataforma de Consulta</t>
  </si>
  <si>
    <t xml:space="preserve">PRECIO DE REFERENCIA </t>
  </si>
  <si>
    <t xml:space="preserve">No </t>
  </si>
  <si>
    <t xml:space="preserve">Descripcion del Bien o Servicio a Adquirir </t>
  </si>
  <si>
    <t xml:space="preserve">Valor Untario </t>
  </si>
  <si>
    <t>V/r IVA</t>
  </si>
  <si>
    <t xml:space="preserve">V/r Unitario Total </t>
  </si>
  <si>
    <t xml:space="preserve">Fuente de Consulta </t>
  </si>
  <si>
    <t xml:space="preserve">V/r Unitario </t>
  </si>
  <si>
    <t xml:space="preserve">V/r IVA </t>
  </si>
  <si>
    <t xml:space="preserve">HERRAMIENTAS DE MANO </t>
  </si>
  <si>
    <r>
      <t>MARTILLO TIPO BOLA</t>
    </r>
    <r>
      <rPr>
        <sz val="11"/>
        <rFont val="Arial Narrow"/>
        <family val="2"/>
      </rPr>
      <t xml:space="preserve"> </t>
    </r>
    <r>
      <rPr>
        <b/>
        <sz val="11"/>
        <rFont val="Arial Narrow"/>
        <family val="2"/>
      </rPr>
      <t>(Material:</t>
    </r>
    <r>
      <rPr>
        <sz val="11"/>
        <rFont val="Arial Narrow"/>
        <family val="2"/>
      </rPr>
      <t xml:space="preserve"> acero y fibra de vidrio - Empuñadura ergonómica y soporte magnético para clavo – </t>
    </r>
    <r>
      <rPr>
        <b/>
        <sz val="11"/>
        <rFont val="Arial Narrow"/>
        <family val="2"/>
      </rPr>
      <t>Largo:</t>
    </r>
    <r>
      <rPr>
        <sz val="11"/>
        <rFont val="Arial Narrow"/>
        <family val="2"/>
      </rPr>
      <t xml:space="preserve"> 34 cm de </t>
    </r>
    <r>
      <rPr>
        <b/>
        <sz val="11"/>
        <rFont val="Arial Narrow"/>
        <family val="2"/>
      </rPr>
      <t>Uso</t>
    </r>
    <r>
      <rPr>
        <sz val="11"/>
        <rFont val="Arial Narrow"/>
        <family val="2"/>
      </rPr>
      <t>: profesional</t>
    </r>
    <r>
      <rPr>
        <b/>
        <sz val="11"/>
        <rFont val="Arial Narrow"/>
        <family val="2"/>
      </rPr>
      <t xml:space="preserve">). </t>
    </r>
    <r>
      <rPr>
        <sz val="11"/>
        <rFont val="Arial Narrow"/>
        <family val="2"/>
      </rPr>
      <t>Resistencia y durabilidad. Uso profesional.</t>
    </r>
  </si>
  <si>
    <r>
      <t xml:space="preserve">ALICATE UNIVERSAL : Material: </t>
    </r>
    <r>
      <rPr>
        <sz val="11"/>
        <rFont val="Arial Narrow"/>
        <family val="2"/>
      </rPr>
      <t>Recubrimiento anti-corrosión,</t>
    </r>
    <r>
      <rPr>
        <b/>
        <sz val="11"/>
        <rFont val="Arial Narrow"/>
        <family val="2"/>
      </rPr>
      <t xml:space="preserve"> </t>
    </r>
    <r>
      <rPr>
        <sz val="11"/>
        <rFont val="Arial Narrow"/>
        <family val="2"/>
      </rPr>
      <t>Acero y</t>
    </r>
    <r>
      <rPr>
        <b/>
        <sz val="11"/>
        <rFont val="Arial Narrow"/>
        <family val="2"/>
      </rPr>
      <t xml:space="preserve"> </t>
    </r>
    <r>
      <rPr>
        <sz val="11"/>
        <rFont val="Arial Narrow"/>
        <family val="2"/>
      </rPr>
      <t xml:space="preserve">caucho - </t>
    </r>
    <r>
      <rPr>
        <b/>
        <sz val="11"/>
        <rFont val="Arial Narrow"/>
        <family val="2"/>
      </rPr>
      <t>Largo:</t>
    </r>
    <r>
      <rPr>
        <sz val="11"/>
        <rFont val="Arial Narrow"/>
        <family val="2"/>
      </rPr>
      <t xml:space="preserve"> 8 pulgadas – </t>
    </r>
    <r>
      <rPr>
        <b/>
        <sz val="11"/>
        <rFont val="Arial Narrow"/>
        <family val="2"/>
      </rPr>
      <t>Tipo:</t>
    </r>
    <r>
      <rPr>
        <sz val="11"/>
        <rFont val="Arial Narrow"/>
        <family val="2"/>
      </rPr>
      <t xml:space="preserve"> multiusos profesional, apto para trabajo eléctrico                                                 Aislamiento: Mango en caucho</t>
    </r>
  </si>
  <si>
    <r>
      <t>DESTORNILLADOR PALA: Destornillador por unidad pala aislado 1000 V, 4 pulgadas (Material</t>
    </r>
    <r>
      <rPr>
        <sz val="11"/>
        <rFont val="Arial Narrow"/>
        <family val="2"/>
      </rPr>
      <t xml:space="preserve">: punta de acero al cromo –vanadio de alta calidad, mango ergonómico en caucho o polímero de resistencia no conductivo, apto para trabajo eléctrico.               Largo: 4”                                                                Punta: imantada </t>
    </r>
  </si>
  <si>
    <r>
      <t>DESTORNILLADOR  DE ESTRELLA: Destornillador por unidad estrella aislado 1000 V, 4 pulgadas. 15 cm/150mm.
 (Material</t>
    </r>
    <r>
      <rPr>
        <sz val="11"/>
        <rFont val="Arial Narrow"/>
        <family val="2"/>
      </rPr>
      <t xml:space="preserve">: punta de acero al cromo –vanadio de alta calidad, mango ergonómico en caucho o polímero de resistencia no conductivo, apto para trabajo eléctrico.                                                                   Largo: 4”                                                                  Punta: imantada                                                         Uso: profesional </t>
    </r>
  </si>
  <si>
    <r>
      <t>DESTORNILLADOR PALA: (Material</t>
    </r>
    <r>
      <rPr>
        <sz val="11"/>
        <rFont val="Arial Narrow"/>
        <family val="2"/>
      </rPr>
      <t xml:space="preserve">: punta de acero al cromo –vanadio de alta calidad, mango ergonómico en caucho o polímero de resistencia no conductivo, apto para trabajo eléctrico.            Largo: 6”                                                                Punta: imantada                                                                                                     Uso: profesional                                                                  </t>
    </r>
  </si>
  <si>
    <r>
      <t>DESTORNILLADOR  DE ESTRELLA: Destornillador por unidad estrella aislado 1000 V, 6 pulgadas. 15 cm/150mm.(Material</t>
    </r>
    <r>
      <rPr>
        <sz val="11"/>
        <rFont val="Arial Narrow"/>
        <family val="2"/>
      </rPr>
      <t xml:space="preserve">: punta de acero al cromo –vanadio de alta calidad, mango ergonómico en caucho o polímero de resistencia no conductivo, apto para trabajo eléctrico.Punta: imantada ;  Largo: 6” Uso: profesional </t>
    </r>
  </si>
  <si>
    <r>
      <t>HOMBRESOLO:</t>
    </r>
    <r>
      <rPr>
        <sz val="11"/>
        <rFont val="Arial Narrow"/>
        <family val="2"/>
      </rPr>
      <t xml:space="preserve"> (Materiales: Alicate de presión quijada curva, mordaza superior fija con soldadura de cobre para máxima fuerza de apriete, ajustable palanca de fácil liberación de presión. Largo: 10” Punta: Recta  Uso: Profesional</t>
    </r>
  </si>
  <si>
    <r>
      <t>CAJA DE HERRAMIENTAS:</t>
    </r>
    <r>
      <rPr>
        <sz val="11"/>
        <rFont val="Arial Narrow"/>
        <family val="2"/>
      </rPr>
      <t xml:space="preserve">  Caja de herramientas 22" + organizador de 14" Cajas de Herramientas 20" + 14" resistencia 35 kg – bandeja interna; Medidas: 24.3 x 24.4 x 50.7 cm; Uso: profesional; Color: Verde – Negro</t>
    </r>
  </si>
  <si>
    <t>TALADRO PERCUTOR ½”</t>
  </si>
  <si>
    <r>
      <t>DESCRIPCIÓN:</t>
    </r>
    <r>
      <rPr>
        <sz val="11"/>
        <rFont val="Arial Narrow"/>
        <family val="2"/>
      </rPr>
      <t xml:space="preserve"> Herramienta Taladro de ½” para perforaciones en muro, madera y metal</t>
    </r>
  </si>
  <si>
    <t>Interruptor de dirección rotacional</t>
  </si>
  <si>
    <t>Tamaño pequeño y ligero</t>
  </si>
  <si>
    <r>
      <t>Potencia</t>
    </r>
    <r>
      <rPr>
        <sz val="11"/>
        <rFont val="Arial Narrow"/>
        <family val="2"/>
      </rPr>
      <t xml:space="preserve"> absorbida:  710 W</t>
    </r>
  </si>
  <si>
    <r>
      <t>Alimentación:</t>
    </r>
    <r>
      <rPr>
        <sz val="11"/>
        <rFont val="Arial Narrow"/>
        <family val="2"/>
      </rPr>
      <t xml:space="preserve"> 110v</t>
    </r>
  </si>
  <si>
    <r>
      <t>Velocidad de giro en vacío:</t>
    </r>
    <r>
      <rPr>
        <sz val="11"/>
        <rFont val="Arial Narrow"/>
        <family val="2"/>
      </rPr>
      <t>  0 - 2800 RPM                  </t>
    </r>
  </si>
  <si>
    <r>
      <t>Peso :</t>
    </r>
    <r>
      <rPr>
        <sz val="11"/>
        <rFont val="Arial Narrow"/>
        <family val="2"/>
      </rPr>
      <t>  1.6 kg</t>
    </r>
  </si>
  <si>
    <t>Par de giro en atornillado blando:  10.8 Nm</t>
  </si>
  <si>
    <t>Par de giro nominal:  1.8 Nm</t>
  </si>
  <si>
    <r>
      <t>Capacidad de sujeción</t>
    </r>
    <r>
      <rPr>
        <sz val="11"/>
        <rFont val="Arial Narrow"/>
        <family val="2"/>
      </rPr>
      <t xml:space="preserve"> del portabrocas min / máx:  1.5 - 13 mm</t>
    </r>
  </si>
  <si>
    <r>
      <t>Dimensiones</t>
    </r>
    <r>
      <rPr>
        <sz val="11"/>
        <rFont val="Arial Narrow"/>
        <family val="2"/>
      </rPr>
      <t xml:space="preserve"> (La x Al):  266 x 180 mm</t>
    </r>
  </si>
  <si>
    <t>Número máximo de impactos:  44800 BPM</t>
  </si>
  <si>
    <r>
      <t xml:space="preserve">Diámetro de perforación en hormigón:  </t>
    </r>
    <r>
      <rPr>
        <sz val="11"/>
        <rFont val="Arial Narrow"/>
        <family val="2"/>
      </rPr>
      <t>13 mm</t>
    </r>
  </si>
  <si>
    <r>
      <t xml:space="preserve">Diámetro de perforación en madera:  </t>
    </r>
    <r>
      <rPr>
        <sz val="11"/>
        <rFont val="Arial Narrow"/>
        <family val="2"/>
      </rPr>
      <t>25 mm</t>
    </r>
  </si>
  <si>
    <r>
      <t xml:space="preserve">Diámetro de perforación en acero:  </t>
    </r>
    <r>
      <rPr>
        <sz val="11"/>
        <rFont val="Arial Narrow"/>
        <family val="2"/>
      </rPr>
      <t>10 mm</t>
    </r>
  </si>
  <si>
    <r>
      <t xml:space="preserve">Diámetro de perforación en mampostería:  </t>
    </r>
    <r>
      <rPr>
        <sz val="11"/>
        <rFont val="Arial Narrow"/>
        <family val="2"/>
      </rPr>
      <t>15 mm</t>
    </r>
  </si>
  <si>
    <t>Resistencia y durabilidad. Uso profesional. Uso Industrial.</t>
  </si>
  <si>
    <t xml:space="preserve">TALADRO INALAMBRICO DESTORNILLADOR </t>
  </si>
  <si>
    <r>
      <t>DESCRIPCIÓN:</t>
    </r>
    <r>
      <rPr>
        <sz val="11"/>
        <rFont val="Arial Narrow"/>
        <family val="2"/>
      </rPr>
      <t xml:space="preserve"> herramienta eléctrica diseñada </t>
    </r>
    <r>
      <rPr>
        <b/>
        <sz val="11"/>
        <rFont val="Arial Narrow"/>
        <family val="2"/>
      </rPr>
      <t>para taladrar</t>
    </r>
    <r>
      <rPr>
        <sz val="11"/>
        <rFont val="Arial Narrow"/>
        <family val="2"/>
      </rPr>
      <t> agujeros, así como </t>
    </r>
    <r>
      <rPr>
        <b/>
        <sz val="11"/>
        <rFont val="Arial Narrow"/>
        <family val="2"/>
      </rPr>
      <t>para</t>
    </r>
    <r>
      <rPr>
        <sz val="11"/>
        <rFont val="Arial Narrow"/>
        <family val="2"/>
      </rPr>
      <t xml:space="preserve"> insertar y retirar tornillos. Es alimentado por una batería recargable. </t>
    </r>
  </si>
  <si>
    <t xml:space="preserve">Tensión de la batería 12 V </t>
  </si>
  <si>
    <t xml:space="preserve">Torque (suave/duro/máx.) 14/30/- Nm </t>
  </si>
  <si>
    <t xml:space="preserve">Velocidad de giro en vacío (1.ª velocidad/2.ª velocidad) 0 400 / 0 1.500 rpm </t>
  </si>
  <si>
    <t xml:space="preserve">Tipo de batería Litio </t>
  </si>
  <si>
    <t xml:space="preserve">Número de impactos máx. 22.500 bpm </t>
  </si>
  <si>
    <t xml:space="preserve">Capacidad mín./máx. de sujeción del portabrocas 1,5 / 10 mm </t>
  </si>
  <si>
    <t xml:space="preserve">Peso sin batería 0,9 kg </t>
  </si>
  <si>
    <t xml:space="preserve">En madera 20 mm de perforación máx. </t>
  </si>
  <si>
    <t xml:space="preserve">En acero 10 mm de perforación máx. </t>
  </si>
  <si>
    <t xml:space="preserve">En mampostería* 8 mm máx. </t>
  </si>
  <si>
    <t>De los tornillos* 7 mm Ø de los tornillos de perforación máx.</t>
  </si>
  <si>
    <t>en mampostería* 8 m</t>
  </si>
  <si>
    <t>PULIDORA</t>
  </si>
  <si>
    <r>
      <t>DESCRIPCIÓN:</t>
    </r>
    <r>
      <rPr>
        <sz val="11"/>
        <rFont val="Arial Narrow"/>
        <family val="2"/>
      </rPr>
      <t xml:space="preserve"> Herramienta Pulidora eléctricas. Esmeriladora angular con motor de mayor velocidad de desbaste y protección contra sobrecarga.</t>
    </r>
  </si>
  <si>
    <r>
      <t>Empleada Para:</t>
    </r>
    <r>
      <rPr>
        <sz val="11"/>
        <rFont val="Arial Narrow"/>
        <family val="2"/>
      </rPr>
      <t xml:space="preserve"> pulir salientes o bordes, así como soltar remaches, redondear ángulos, cortar metales, etc. Por ello, la industria las requiere de manera permanente para varios procesos en los que involucre bruñido, afilado o bordeado de superficies</t>
    </r>
  </si>
  <si>
    <t>4-1/2 PULG 1500 W 11.000 RPM</t>
  </si>
  <si>
    <t>ESPECIFICACIONES</t>
  </si>
  <si>
    <t>Velocidad de giro en vacío: 11.000 rpm</t>
  </si>
  <si>
    <t>Rosca del husillo portamuela: M 14 5/8</t>
  </si>
  <si>
    <t>Diámetro de disco: 115 mm</t>
  </si>
  <si>
    <t>Peso. 1.9 kg</t>
  </si>
  <si>
    <t>Lijar superficies (desbastado)</t>
  </si>
  <si>
    <t>Nivel de vibraciones generadas ah: 7 m/s2</t>
  </si>
  <si>
    <t>Incertidumbre K : 1.5 m/s2</t>
  </si>
  <si>
    <t>Lijar con hoja de lija</t>
  </si>
  <si>
    <t>Nivel de vibraciones generadas ah: 4 m/s2</t>
  </si>
  <si>
    <t xml:space="preserve">Incertidumbre K : 1.5 m/s2 </t>
  </si>
  <si>
    <t xml:space="preserve">Sistema de extracción de polvo. </t>
  </si>
  <si>
    <t xml:space="preserve">Interruptor de tipo paleta. </t>
  </si>
  <si>
    <t>Mango robusto de 2 posiciones</t>
  </si>
  <si>
    <t>CARRETILLA DE CARGA</t>
  </si>
  <si>
    <r>
      <t xml:space="preserve"> </t>
    </r>
    <r>
      <rPr>
        <sz val="11"/>
        <rFont val="Arial Narrow"/>
        <family val="2"/>
      </rPr>
      <t xml:space="preserve"> Carretilla de tolva de 6 ft, </t>
    </r>
    <r>
      <rPr>
        <b/>
        <sz val="11"/>
        <rFont val="Arial Narrow"/>
        <family val="2"/>
      </rPr>
      <t>material</t>
    </r>
    <r>
      <rPr>
        <sz val="11"/>
        <rFont val="Arial Narrow"/>
        <family val="2"/>
      </rPr>
      <t xml:space="preserve"> de la tolva plástica, rin metálico, ruda anti pinchazo; Marco: En Madera- Accesorios De Trabajo Pesado- rueda maciza; Color: Negra; Trabajo: Profesional </t>
    </r>
  </si>
  <si>
    <t xml:space="preserve">PALA REDONDA  No 2 </t>
  </si>
  <si>
    <t>Pala Punta redonda No 2 con cabo en madera</t>
  </si>
  <si>
    <t>PALA REDONDA N°4</t>
  </si>
  <si>
    <t>Pala Punta redonda No 4 con cabo en madera</t>
  </si>
  <si>
    <t xml:space="preserve">PALA CUADRADA N°2 </t>
  </si>
  <si>
    <t>Pala Punta cuadrada No 2 con cabo en madera</t>
  </si>
  <si>
    <t>PALA CUADRADA N°4</t>
  </si>
  <si>
    <t>Pala Punta cuadrada No 4 con cabo en madera</t>
  </si>
  <si>
    <t xml:space="preserve">PICA </t>
  </si>
  <si>
    <t>Con Mango de madera.Medidas promedio: 93 cm x 49 cm. 5 lbs</t>
  </si>
  <si>
    <t>JUEGO DE BROCAS PLUS PARA ROTO MARTILLO</t>
  </si>
  <si>
    <t>Brocas para muro, medidas 5 x 110 mm-6 x 110 mm-6 x 160 mm-8 x 160 mm-10 x 160 mm-10 x 210 mm-12 x 210 mm-10 x 450 mm-12 x 450 mm-16 x 450 mm. Maletín de Alto Impacto.</t>
  </si>
  <si>
    <t xml:space="preserve">BROCAS DE UN CUARTO </t>
  </si>
  <si>
    <t xml:space="preserve">Broca de 1/4" para muros de alto desempeño Set 10 brocas de 1/4" X 5 Pulgadas 
</t>
  </si>
  <si>
    <t xml:space="preserve">NO COTIZADO </t>
  </si>
  <si>
    <t xml:space="preserve">PALUSTRE 8 </t>
  </si>
  <si>
    <r>
      <t xml:space="preserve">PALUSTRE: </t>
    </r>
    <r>
      <rPr>
        <sz val="11"/>
        <rFont val="Arial Narrow"/>
        <family val="2"/>
      </rPr>
      <t>Palustre 8 pulgadas resistentes, mango madera.</t>
    </r>
  </si>
  <si>
    <t>PALUSTRE 6</t>
  </si>
  <si>
    <r>
      <t xml:space="preserve">PALUSTRE: </t>
    </r>
    <r>
      <rPr>
        <sz val="11"/>
        <rFont val="Arial Narrow"/>
        <family val="2"/>
      </rPr>
      <t>Palustre 6 pulgadas resistentes, mango madera.</t>
    </r>
  </si>
  <si>
    <t xml:space="preserve">PALUSTRE 4 </t>
  </si>
  <si>
    <r>
      <t xml:space="preserve">PALUSTRE: </t>
    </r>
    <r>
      <rPr>
        <sz val="11"/>
        <rFont val="Arial Narrow"/>
        <family val="2"/>
      </rPr>
      <t>Palustre 4 pulgadas resistentes, mango madera.</t>
    </r>
  </si>
  <si>
    <t xml:space="preserve">MARTILLOS PATECABRA </t>
  </si>
  <si>
    <t>Cabeza del martillo en acero de alto carbono, recubrimiento con aceite antioxidante, conexión segura de la cabeza y el martillo, con patecabra para extraer puntillas y demás, calidad del mango que evita deformación o agrietamiento.</t>
  </si>
  <si>
    <t xml:space="preserve">PUNTEROS (Cincel Puntero) </t>
  </si>
  <si>
    <t>Extremo plano afilado, de acero de alto carbono, resiste el óxido y la corrosión. Longitud de 30cm y protección de manos (Mango de goma suave).</t>
  </si>
  <si>
    <t xml:space="preserve">PISTOLA CALAFATEO </t>
  </si>
  <si>
    <t>Pistola de calafateo Pro; largo: 32 centímetros, ancho: 6 centímetros, alto: 21 centímetros, material de alta resistencia y con resistencia a la corrosión.</t>
  </si>
  <si>
    <t xml:space="preserve">CORTA VIDRIOS INDUSTRTIAL </t>
  </si>
  <si>
    <t>Cabeza metálica con cuchillas de carburo de tungsteno, mango perfilado, para un corte limpio, ranuras de recorte, longitud 5" (127mm). Alta resistencia.</t>
  </si>
  <si>
    <t xml:space="preserve">TENAZA </t>
  </si>
  <si>
    <r>
      <t xml:space="preserve"> </t>
    </r>
    <r>
      <rPr>
        <sz val="11"/>
        <rFont val="Arial Narrow"/>
        <family val="2"/>
      </rPr>
      <t>Tenaza corta baldosa Longitud 9", en acero con soldadura de alta frecuencia, dientes de carburo de tungsteno, resorte de autoapertura, alta resistencia.</t>
    </r>
  </si>
  <si>
    <t xml:space="preserve">BROCHAS </t>
  </si>
  <si>
    <t>Brocha usos generales, mango plástico, 5”, cerda natural, alta calidad y durabilidad.</t>
  </si>
  <si>
    <t>Mazo De Goma 24 Oz, antiderrapante. Alta resistencia.</t>
  </si>
  <si>
    <t>BARRA</t>
  </si>
  <si>
    <t>Barra en acero 18 Lb, alta resistencia</t>
  </si>
  <si>
    <t xml:space="preserve">COMPRESOR PORTATIL  </t>
  </si>
  <si>
    <t>De aire portátil de 50 lt, Arranque automático y manual, regulador de presión, manómetro y 2 salidas de aire: presión máxima y presión regulable, protector térmico contra sobrecalentamiento del motor;                                            Tensión 120 V-Frecuencia 60 Hz-Capacidad del tanque 50 L-Presión Tipo Monofásico. Uso Profesional.</t>
  </si>
  <si>
    <t>PISTOLA DE ALTA PRESIÓN</t>
  </si>
  <si>
    <t>Presión de aire sugerida: 50 PSI – 70 PSI Máxima
Para pintar alta presión, profesional, cuerpo de pistola y vaso de aluminio, capacidad del vaso mínima de 0.95 litros, boquilla ajustable, conexión de aire.</t>
  </si>
  <si>
    <t>PISTOLA DE BAJA PRESIÓN</t>
  </si>
  <si>
    <t>AEROGRAFO para pintar de baja presión, profesional, cuerpo de aerógrafo y vaso de aluminio, capacidad del vaso mínima de 0.6 litros, boquilla ajustable, conexión de aire.</t>
  </si>
  <si>
    <t>ESCALERA DE DIEZ PASOS</t>
  </si>
  <si>
    <t>ESCALERA CERTIFICADA tipo tijera 10 pasos de 3,00 metros en aluminio tipo IAA, rígida y de alta resistencia, cumpla norma ANSI, peldaños antideslizantes, zapatas antideslizante, de gran durabilidad.</t>
  </si>
  <si>
    <t>ESCALERA DE CINCO PASOS</t>
  </si>
  <si>
    <r>
      <t xml:space="preserve">ESCALERA CERTIFICADA  </t>
    </r>
    <r>
      <rPr>
        <sz val="11"/>
        <rFont val="Arial Narrow"/>
        <family val="2"/>
      </rPr>
      <t>tipo tijera 5 pasos de 1,87 metros en aluminio tipo IAA, rígida y de alta resistencia, cumpla norma ANSI, peldaños antideslizantes, zapatas antideslizante, de gran durabilidad.</t>
    </r>
  </si>
  <si>
    <t>ESCALERA DE CUATRO PASOS</t>
  </si>
  <si>
    <r>
      <t xml:space="preserve">ESCALERA CERTIFICADA </t>
    </r>
    <r>
      <rPr>
        <sz val="11"/>
        <rFont val="Arial Narrow"/>
        <family val="2"/>
      </rPr>
      <t>tipo tijera 4 pasos de 1,56 metros en aluminio tipo IAA, rígida y de alta resistencia, cumpla norma ANSI, peldaños antideslizantes, zapatas antideslizante, de gran durabilidad.</t>
    </r>
  </si>
  <si>
    <t>TIGERAS DE DRIWALL</t>
  </si>
  <si>
    <r>
      <t xml:space="preserve">TIGERAS DE DRIWALL </t>
    </r>
    <r>
      <rPr>
        <sz val="11"/>
        <rFont val="Arial Narrow"/>
        <family val="2"/>
      </rPr>
      <t>de Uso Profesional.  Tijera para láminas de fibrocemento de 4 a 12 mm Herramientas para drywall, este accesorio de taladros para cortes rápidos y limpios, especialmente indicado para corte de placas de base de fibrocemento. El eje motor de este accesorio puede insertarse rápidamente en el portabrocas de un taladro eléctrico con cable o inalámbrico.</t>
    </r>
  </si>
  <si>
    <t>SONDA MAQ. DESTAPADORA DE CAÑOS K50 5/8"</t>
  </si>
  <si>
    <r>
      <t>SONDA ELÉCTRICA</t>
    </r>
    <r>
      <rPr>
        <sz val="11"/>
        <rFont val="Arial Narrow"/>
        <family val="2"/>
      </rPr>
      <t xml:space="preserve"> Desrtapador de cañeria profesional con las caracteristicas relacionadas
para destapar cañerías k50, adecuado para todo tipo de limpieza de tuberías interiores y exteriores. Uso profesional. Capaz de utilizar cables de diferentes tamaños. Voltaje: 110v, Potencia: 390W, Diámetro de acople: 16 mm (acessorios), Longitud mínima de guaya: 20 Metros, Espesor de guaya: 1 x 8mm, 1 x 16mm</t>
    </r>
  </si>
  <si>
    <t>LLAVE PARA LAVABO TELESCOPICA</t>
  </si>
  <si>
    <r>
      <t xml:space="preserve">LLAVE PARA LAVABO TELESCÓPICA </t>
    </r>
    <r>
      <rPr>
        <sz val="11"/>
        <rFont val="Arial Narrow"/>
        <family val="2"/>
      </rPr>
      <t>Empuñadura en T con giro de 180 grados y un adaptador del impulsor de 3/8 pulg, agarre contorneado y sobremoldeado, largo 10-17 pulg con extensión completa, capacidad 10-30. Resistencia y Durabilidad. Uso profesional.</t>
    </r>
  </si>
  <si>
    <t>MACETA 2 LIBRAS</t>
  </si>
  <si>
    <r>
      <t xml:space="preserve">MACETA OCTAGONAL MANGO 12PG 2LB </t>
    </r>
    <r>
      <rPr>
        <sz val="11"/>
        <rFont val="Arial Narrow"/>
        <family val="2"/>
      </rPr>
      <t>Cabeza forjada en acero al alto carbono con doble tratamiento térmico, caras maquinadas y biseladas; Mango fabricado en madera de encino encerado y laqueado, protector termoplástico que reduce la vibración y protege contra golpes fallidos.                                                                 Cabeza 2 lb, Mango 12" (304.8mm). Resistencia y durabilidad. Uso profesional.</t>
    </r>
  </si>
  <si>
    <t>JUEGO DE LLAVES BRISTOL</t>
  </si>
  <si>
    <r>
      <t>JUEGO DE LLAVES BRISTOL</t>
    </r>
    <r>
      <rPr>
        <sz val="11"/>
        <rFont val="Arial Narrow"/>
        <family val="2"/>
      </rPr>
      <t xml:space="preserve"> Juego de 13 llaves Bristol Métricas extra larga, con organizador, fabricadas en acero al carbono, acabado con mayor resistencia al óxido, punta hexagonal. Llave de 1.3 mm, llave de 1.5 mm, llave de 2 mm, llave de 2.5 mm, llave de 3 mm, llave de 3.5 mm, llave de 4 mm, llave de 4.5 mm, llave de 5 mm, llave de 5.5 mm, llave de 6 mm, llave de 8 mm, llave de 10 mm. Norma o certificación ASME B18.3. Resistencia y durabilidad. Uso profesional.</t>
    </r>
  </si>
  <si>
    <t>JUEGO DE PUNTAS TORX</t>
  </si>
  <si>
    <r>
      <t xml:space="preserve">JUEGO DE PUNTAS TORX </t>
    </r>
    <r>
      <rPr>
        <sz val="11"/>
        <rFont val="Arial Narrow"/>
        <family val="2"/>
      </rPr>
      <t>Juego de 9 Llaves Torx con organizador, fabricadas en acero al cromo vanadio 2x más resistentes al desgaste, tipo de llaves Torx. Llave torx T-10, llave torx T-15, llave torx T-20, llave torx T-25, llave torx T-27, llave torx T-30, llave torx T-40, llave torx T-45, llave torx T-50. Norma o Certificación NAS 1799 90. Resistencia y durabilidad. Uso profesional.</t>
    </r>
  </si>
  <si>
    <t>CORTAFRIOS</t>
  </si>
  <si>
    <r>
      <t>CORTAFRIOS</t>
    </r>
    <r>
      <rPr>
        <sz val="11"/>
        <rFont val="Arial Narrow"/>
        <family val="2"/>
      </rPr>
      <t xml:space="preserve"> 1000V 6 1/4 Pinza de Corte Diagonal de 6 pulgadas de largo (15.2 cm), cuerpo forjado, fabricado en Acero con aleación de Cromo-Níquel, para mayor durabilidad y mejor superficie de corte, con recubrimiento anticorrosión, quijadas maquinadas para mejor agarre, mangos antideslizantes recubiertos con doble plastisol. Cumpla normas ANSI. Resistencia y durabilidad. Uso profesional.</t>
    </r>
  </si>
  <si>
    <t>LINTERNA</t>
  </si>
  <si>
    <r>
      <t>LINTERNA</t>
    </r>
    <r>
      <rPr>
        <sz val="11"/>
        <rFont val="Arial Narrow"/>
        <family val="2"/>
      </rPr>
      <t xml:space="preserve"> Linterna Recargable 145 Lúmenes 5 Led alta intensidad, haz de luz de largo alcance: 200 m. Modos de iluminación: Alto y bajo. Grado: IP51 (Contra polvo "5" y goteo vertical "1"). NORMA O CERTIFICACIÓN NOM-001-SCFI. Resistencia y durabilidad. </t>
    </r>
  </si>
  <si>
    <t>EXTENSIÓN DE TALLER CON ROSETA</t>
  </si>
  <si>
    <r>
      <t>EXTENSIÓN DE TALLER CON ROSETA</t>
    </r>
    <r>
      <rPr>
        <sz val="11"/>
        <rFont val="Arial Narrow"/>
        <family val="2"/>
      </rPr>
      <t xml:space="preserve"> LAMPARA DE TRABAJO EMERGENCIA, Cable encauchetado de calibre 16 aislante resistente a la intemperie, largo del cable mínimo 10 m, interruptor de encendido – apagado, protector metálico para el bombillo, gancho para colgar fácilmente la lampara en cualquier lugar. Resistencia y durabilidad.</t>
    </r>
  </si>
  <si>
    <t>TRONZADORA DE HIERRO</t>
  </si>
  <si>
    <r>
      <t xml:space="preserve">TRONZADORA DE HIERRO </t>
    </r>
    <r>
      <rPr>
        <sz val="11"/>
        <rFont val="Arial Narrow"/>
        <family val="2"/>
      </rPr>
      <t>Tronzadora de Metales Industrial 14 Pg, 2300W, 15 Amp 3800 RPM, agarradera de transporte, traba de eje incorporada, para cambio de disco fácil y rápido. Guía de 45°, permite cortes angulares y prensa que traba rápido y firmemente los materiales al ser cortados. Caballos de fuerza: 3.0 HP, Diámetro de disco: 14, Longitud: 57.2 cm, Ancho: 43.9 cm, Altura: 36 cm. Resistencia y durabilidad. Uso profesional.</t>
    </r>
  </si>
  <si>
    <t>JUEGO LLAVES MIXTAS MILIMETRICAS</t>
  </si>
  <si>
    <r>
      <t>JUEGO LLAVES MIXTAS MILIMETRICAS  JUEGO DE 11 LLAVES COMBINADAS EN PULGADAS</t>
    </r>
    <r>
      <rPr>
        <sz val="11"/>
        <rFont val="Arial Narrow"/>
        <family val="2"/>
      </rPr>
      <t xml:space="preserve"> llaves combinadas mixtas en milímetros. (6-27mm) Medidas: 6, 8, 10, 12, 13, 14, 17, 19, 22, 24, 27 mm. Llave combinada con aleación en cromo vanadio y tratamiento térmico que soporta altos niveles de torsión. Con estuche. Normas técnicas ANSI B107.6. Resistencia y durabilidad. Uso profesional.</t>
    </r>
  </si>
  <si>
    <t>JUEGO DESTOR-NILLADORES</t>
  </si>
  <si>
    <r>
      <t>JUEGO DESTORNILLADORES</t>
    </r>
    <r>
      <rPr>
        <sz val="11"/>
        <rFont val="Arial Narrow"/>
        <family val="2"/>
      </rPr>
      <t xml:space="preserve"> 10 Piezas Profesional. Mangos cómodos resistentes a altos torques e impactos con medida claramente indicada. Plano 1/4 x 6" (6 x 152 mm), plano 1/4 x 4" (6 x 101 mm), plano 1/4 x 1-1/2" (6 x 38 mm), plano 3/16 x 6" (5 x 152 mm), plano 3/16 x 4" (5 x 101 mm), plano 3/16 x 3" (5 x 76 mm), cruz #3 x 6" (#3 x 152 mm), cruz #2 x 4" (#2 x 101 mm), cruz #2 x 1-1/2" (#2 x 38 mm), cruz #1 x 4" (#1 x 101 mm). Barras en acero cromo vanadio. Puntas magnéticas y fosfatadas. Con estuche. Resistencia y durabilidad. Uso profesional.</t>
    </r>
  </si>
  <si>
    <t>KIT MARTILLOS PARA LATONERIA</t>
  </si>
  <si>
    <t>Para terminados 7 piezas, acero forjado. Con Estuche. Resistencia y durabilidad. Uso profesional.</t>
  </si>
  <si>
    <t>EQUIPO DE SOLDADURA PORTAIL</t>
  </si>
  <si>
    <r>
      <t>EQUIPO DE SOLDADURA PORTAIL</t>
    </r>
    <r>
      <rPr>
        <sz val="11"/>
        <rFont val="Arial Narrow"/>
        <family val="2"/>
      </rPr>
      <t xml:space="preserve"> Soldador Inversor Ultra Power, para uso industrial. Rango de amperaje: 10-200A (220V) / 10-130A (110V). Ciclo de trabajo a 40°C: 50%. Voltaje de entrada: 110/220V (1 fase) 95-270V. Frecuencia: 50/60Hz. Voltaje al vacío: 50-95V (ULTRA ARC). Consumo máximo: 16A (110V) - 32A (220V). TIG: LIFT ARC. IP: IP235. Tipo de aislamiento: F. Diámetro electrodo: 1/16” - 3/16”/ 1.6 mm - 5.0 mm. Panel digital: HMI con pantalla IPS a todo color. Sistema de ventilación automática. Conectores rápidos: 35 – 50. Arranque: 10 amperios. Extensión del cable: 150m. Dimensiones: 29.5 alto x 16 cm ancho x 42.5 cm largo. Uso: industrial. Resistencia y durabilidad. Uso profesional.</t>
    </r>
  </si>
  <si>
    <t>CARETA SOLDAR FOTOSENSIBLE</t>
  </si>
  <si>
    <r>
      <t>CARETA FOTOSENSIBLE.</t>
    </r>
    <r>
      <rPr>
        <sz val="11"/>
        <rFont val="Arial Narrow"/>
        <family val="2"/>
      </rPr>
      <t xml:space="preserve"> Careta para soldar fotosensible. Certificados ANSI. Área de visión 90x33. 2 sensores. Sensibilidad micrométrica. Protección UV DIN 16. Velocidad 1/25000. Energía batería y solar. Careta soldar fotosensible. Certificados ANSI. Sensibilidad micrométrica. Protección UV DIN 16. Velocidad 1/25000. Para usos en todo tipo de soldadura. Uso: industrial. Resistencia y durabilidad. Uso profesional.</t>
    </r>
  </si>
  <si>
    <t>GUILLOTINA PARA CORTE INDUSTRIAL</t>
  </si>
  <si>
    <r>
      <t xml:space="preserve">GUILLOTINA PARA CORTE INDUSTRIAL </t>
    </r>
    <r>
      <rPr>
        <sz val="11"/>
        <rFont val="Arial Narrow"/>
        <family val="2"/>
      </rPr>
      <t>Cortadora de láminas o chapas de metal. Puede hacer cortes de grandes longitudes (Gran capacidad de corte). Longitud de trabajo de 39” (1m) y puede cortar láminas hasta calibre 16. Cortes precisos con excelente acabado. Para cortar láminas en diversos tipos de materiales además del metal como el plástico, papel, cartón, madera entre otros. Gran durabilidad. Uso: industrial. Resistencia y durabilidad. Uso profesional.</t>
    </r>
  </si>
  <si>
    <t>MACETA 3 LIBRAS</t>
  </si>
  <si>
    <r>
      <t xml:space="preserve">MACETA OCTAGONAL MANGO 12PG 3LB </t>
    </r>
    <r>
      <rPr>
        <sz val="11"/>
        <rFont val="Arial Narrow"/>
        <family val="2"/>
      </rPr>
      <t>Cabeza forjada en acero al alto carbono con doble tratamiento térmico, caras maquinadas y biseladas;                                                                         Mango fabricado en madera de encino encerado y laqueado, protector termoplástico que reduce la vibración y protege contra golpes fallidos. Cabeza 3 lb, Mango 12" (304.8mm). Resistencia y durabilidad. Uso profesional.</t>
    </r>
  </si>
  <si>
    <t>REMACHADORA</t>
  </si>
  <si>
    <r>
      <t xml:space="preserve">REMACHADORA PROFESIONAL </t>
    </r>
    <r>
      <rPr>
        <sz val="11"/>
        <rFont val="Arial Narrow"/>
        <family val="2"/>
      </rPr>
      <t>Cabeza Giratoria Remaches en ángulo recto o lineal, con un simple giro de la cabeza del remache. De metal fundido. Con puntas adicionales. Remachadora Trabajo Pesado de 4 Boquillas. Mango largo. 4 boquillas para remaches de 1/8- 3/32- 5/32- 3/16" (2.4mm- 3.2mm- 4mm- 4.8mm). Mango con resorte que expulse exceso de remache automáticamente. Resistencia y durabilidad. Uso profesional.</t>
    </r>
  </si>
  <si>
    <t>SERRUCHO</t>
  </si>
  <si>
    <r>
      <t>SERRUCHO PROFESIONAL</t>
    </r>
    <r>
      <rPr>
        <sz val="11"/>
        <rFont val="Arial Narrow"/>
        <family val="2"/>
      </rPr>
      <t xml:space="preserve"> de 18". Dientes con geometría especial para un corte rápido. Mango para usarse como escuadra de 45° y 90°. Lamina de acero templado. Dientes afilables, trabado y pulido. Resistencia y durabilidad. Uso profesional.</t>
    </r>
  </si>
  <si>
    <r>
      <t>BISTURI INDUSTRIAL</t>
    </r>
    <r>
      <rPr>
        <sz val="11"/>
        <rFont val="Arial Narrow"/>
        <family val="2"/>
      </rPr>
      <t xml:space="preserve"> Bisturí Pro retráctil metal 18mm. Cuchilla Profesional Retráctil con 3 posiciones de corte. Compartimiento para almacenamiento de hojas en el mango. Color gris. Que incluya mínimo 3 Navajas. Resistencia y durabilidad. Uso profesional.</t>
    </r>
  </si>
  <si>
    <t>SONDA ELÉCTRICA</t>
  </si>
  <si>
    <r>
      <rPr>
        <sz val="11"/>
        <rFont val="Arial Narrow"/>
        <family val="2"/>
      </rPr>
      <t>Cinta pasacable</t>
    </r>
    <r>
      <rPr>
        <b/>
        <sz val="11"/>
        <rFont val="Arial Narrow"/>
        <family val="2"/>
      </rPr>
      <t xml:space="preserve">, </t>
    </r>
    <r>
      <rPr>
        <sz val="11"/>
        <rFont val="Arial Narrow"/>
        <family val="2"/>
      </rPr>
      <t>Guía fabricada en acero al alto carbono de mayor extensión y fácil arrastre. Cuerpo de polipropileno más resistente al impacto, con textura antiderrapante. Mango ergonómico Para jalar cables eléctricos y de telecomunicaciones en ductos de instalación;                                                Largo 30 m. Espesor de cable 1.5 mm. Ancho cable 3 mm. Empaque individual. Resistencia y durabilidad. Uso profesional.</t>
    </r>
  </si>
  <si>
    <t>PINZA PONCHADORA DE TERMINALES</t>
  </si>
  <si>
    <t xml:space="preserve"> Pinza Ponchadora Terminales Electricos Alicates
Rango de aplicación: Cable terminal
Medida de Cable Aceptable: 0.25-10 milímetros
Medida AWG: 23-7
Usos: Tableros eléctricos, cableado automotriz, arreglos residenciales, montajes eléctricos, etc.
</t>
  </si>
  <si>
    <t>PINZA PELACABLES</t>
  </si>
  <si>
    <t>Pela cables de calibre 10-24 AWG. Corta cables de cobre y de aluminio, así como cables con múltiples alambres de hasta 10mm y cables con alambre individual de hasta 6mm. Incluye ponchador para terminales aislados de 10-22AWG, terminales no aislados de 10-22AWG, y terminales de encendido de 7-9mm.                                                                          Mango ergonómico anti-deslizante. Resistencia y durabilidad. Uso profesional.</t>
  </si>
  <si>
    <t>JUEGO DE RACHE</t>
  </si>
  <si>
    <t xml:space="preserve"> Juego de Copas 1/2 23 Piezas 12-30. Juego de copas con cuadrante. Incluye: 1 Ratchet 1/2". 17 Copas mm 12, 13, 14, 15, 16, 17, 18, 19, 20, 21, 22, 23, 24, 26, 27, 28, 30. 2 Extensiones 10 y 5". 1 Barra deslizante en "T". 1 Junta universal. 1 estuche plástico. Resistencia y durabilidad. Uso profesional. Uso industrial.</t>
  </si>
  <si>
    <t>CAUTIN</t>
  </si>
  <si>
    <r>
      <t xml:space="preserve"> </t>
    </r>
    <r>
      <rPr>
        <sz val="11"/>
        <rFont val="Arial Narrow"/>
        <family val="2"/>
      </rPr>
      <t>Cautin Soldador 40w 120v. Resistencia y durabilidad. Uso profesional. Uso industrial.</t>
    </r>
  </si>
  <si>
    <r>
      <t xml:space="preserve"> </t>
    </r>
    <r>
      <rPr>
        <sz val="11"/>
        <rFont val="Arial Narrow"/>
        <family val="2"/>
      </rPr>
      <t>Cautin Soldador 25w 120v. Resistencia y durabilidad. Uso profesional. Uso industrial.</t>
    </r>
  </si>
  <si>
    <t>CIZALLA</t>
  </si>
  <si>
    <t xml:space="preserve"> Cizalla Manual Tipo Pesado 24 Pulgadas. Cuchillas Forjadas en Acero. Resistencia y durabilidad. Uso profesional. Uso industrial.</t>
  </si>
  <si>
    <t xml:space="preserve">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</si>
</sst>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3" formatCode="_-* #,##0.00_-;\-* #,##0.00_-;_-* &quot;-&quot;??_-;_-@_-"/>
    <numFmt numFmtId="164" formatCode="&quot;$&quot;\ #,##0"/>
    <numFmt numFmtId="165" formatCode="&quot;$&quot;#,##0"/>
    <numFmt numFmtId="166" formatCode="_-* #,##0_-;\-* #,##0_-;_-* &quot;-&quot;??_-;_-@_-"/>
    <numFmt numFmtId="167" formatCode="&quot;$&quot;#,##0;[Red]\-&quot;$&quot;#,##0"/>
  </numFmts>
  <fonts count="15" x14ac:knownFonts="1">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b/>
      <sz val="11"/>
      <name val="Arial Narrow"/>
      <family val="2"/>
    </font>
    <font>
      <sz val="11"/>
      <name val="Arial Narrow"/>
      <family val="2"/>
    </font>
    <font>
      <sz val="11"/>
      <color rgb="FF000000"/>
      <name val="Arial Narrow"/>
      <family val="2"/>
    </font>
    <font>
      <sz val="11"/>
      <color theme="1" tint="4.9989318521683403E-2"/>
      <name val="Arial Narrow"/>
      <family val="2"/>
    </font>
    <font>
      <b/>
      <sz val="9"/>
      <color indexed="81"/>
      <name val="Tahoma"/>
      <family val="2"/>
    </font>
    <font>
      <sz val="9"/>
      <color indexed="81"/>
      <name val="Tahoma"/>
      <family val="2"/>
    </font>
    <font>
      <sz val="14"/>
      <color rgb="FF333333"/>
      <name val="Arial"/>
      <family val="2"/>
    </font>
    <font>
      <b/>
      <sz val="9"/>
      <color indexed="81"/>
      <name val="Tahoma"/>
      <charset val="1"/>
    </font>
    <font>
      <sz val="9"/>
      <color indexed="81"/>
      <name val="Tahoma"/>
      <charset val="1"/>
    </font>
    <font>
      <sz val="8"/>
      <name val="Arial Narrow"/>
      <family val="2"/>
    </font>
    <font>
      <sz val="8"/>
      <color theme="1"/>
      <name val="Arial Narrow"/>
      <family val="2"/>
    </font>
  </fonts>
  <fills count="5">
    <fill>
      <patternFill patternType="none"/>
    </fill>
    <fill>
      <patternFill patternType="gray125"/>
    </fill>
    <fill>
      <patternFill patternType="solid">
        <fgColor theme="0"/>
        <bgColor indexed="64"/>
      </patternFill>
    </fill>
    <fill>
      <patternFill patternType="solid">
        <fgColor rgb="FF00B0F0"/>
        <bgColor indexed="64"/>
      </patternFill>
    </fill>
    <fill>
      <patternFill patternType="solid">
        <fgColor theme="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194">
    <xf numFmtId="0" fontId="0" fillId="0" borderId="0" xfId="0"/>
    <xf numFmtId="0" fontId="2" fillId="0" borderId="1" xfId="0" applyFont="1" applyFill="1" applyBorder="1"/>
    <xf numFmtId="0" fontId="2" fillId="0" borderId="0" xfId="0" applyFont="1" applyFill="1" applyAlignment="1">
      <alignment vertical="center"/>
    </xf>
    <xf numFmtId="0" fontId="2" fillId="0" borderId="0" xfId="0" applyFont="1" applyFill="1" applyAlignment="1">
      <alignment horizontal="center" vertical="center"/>
    </xf>
    <xf numFmtId="3" fontId="2" fillId="0" borderId="0" xfId="0" applyNumberFormat="1" applyFont="1" applyFill="1" applyAlignment="1">
      <alignment horizontal="justify" vertical="center"/>
    </xf>
    <xf numFmtId="0" fontId="2" fillId="0" borderId="0" xfId="0" applyFont="1" applyFill="1" applyAlignment="1">
      <alignment horizontal="center" vertical="center" wrapText="1"/>
    </xf>
    <xf numFmtId="164" fontId="3" fillId="0" borderId="1" xfId="0" applyNumberFormat="1"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165" fontId="3" fillId="0" borderId="1" xfId="0" applyNumberFormat="1" applyFont="1" applyFill="1" applyBorder="1" applyAlignment="1">
      <alignment horizontal="center" vertical="center" wrapText="1"/>
    </xf>
    <xf numFmtId="0" fontId="2" fillId="0" borderId="0" xfId="0" applyFont="1" applyFill="1" applyAlignment="1">
      <alignment horizontal="center"/>
    </xf>
    <xf numFmtId="0" fontId="2" fillId="0" borderId="0" xfId="0" applyFont="1" applyFill="1"/>
    <xf numFmtId="165" fontId="3" fillId="0" borderId="1" xfId="0" applyNumberFormat="1" applyFont="1" applyFill="1" applyBorder="1" applyAlignment="1">
      <alignment horizontal="center" vertical="center" wrapText="1"/>
    </xf>
    <xf numFmtId="0" fontId="3" fillId="0" borderId="1" xfId="0" applyFont="1" applyFill="1" applyBorder="1" applyAlignment="1"/>
    <xf numFmtId="0" fontId="4" fillId="0" borderId="4" xfId="0" applyFont="1" applyFill="1" applyBorder="1" applyAlignment="1">
      <alignment horizontal="center" wrapText="1"/>
    </xf>
    <xf numFmtId="0" fontId="5" fillId="0" borderId="1" xfId="0" applyFont="1" applyFill="1" applyBorder="1" applyAlignment="1">
      <alignment wrapText="1"/>
    </xf>
    <xf numFmtId="3" fontId="3" fillId="0" borderId="1" xfId="0" applyNumberFormat="1" applyFont="1" applyFill="1" applyBorder="1" applyAlignment="1">
      <alignment wrapText="1"/>
    </xf>
    <xf numFmtId="0" fontId="3" fillId="0" borderId="1" xfId="0" applyFont="1" applyFill="1" applyBorder="1" applyAlignment="1">
      <alignment wrapText="1"/>
    </xf>
    <xf numFmtId="0" fontId="3" fillId="0" borderId="1" xfId="0" applyFont="1" applyFill="1" applyBorder="1" applyAlignment="1">
      <alignment horizontal="center"/>
    </xf>
    <xf numFmtId="3" fontId="3" fillId="0" borderId="1" xfId="0" applyNumberFormat="1" applyFont="1" applyFill="1" applyBorder="1" applyAlignment="1">
      <alignment horizontal="center"/>
    </xf>
    <xf numFmtId="164" fontId="3" fillId="0" borderId="1" xfId="0" applyNumberFormat="1" applyFont="1" applyFill="1" applyBorder="1" applyAlignment="1">
      <alignment horizontal="center"/>
    </xf>
    <xf numFmtId="165" fontId="3" fillId="0" borderId="1" xfId="0" applyNumberFormat="1" applyFont="1" applyFill="1" applyBorder="1" applyAlignment="1">
      <alignment horizontal="center" vertical="center"/>
    </xf>
    <xf numFmtId="0" fontId="2" fillId="0" borderId="0" xfId="0" applyFont="1" applyFill="1" applyAlignment="1"/>
    <xf numFmtId="0" fontId="2" fillId="0" borderId="1" xfId="0" applyFont="1" applyFill="1" applyBorder="1" applyAlignment="1">
      <alignment horizontal="center"/>
    </xf>
    <xf numFmtId="0" fontId="5" fillId="0" borderId="4" xfId="0" applyFont="1" applyFill="1" applyBorder="1" applyAlignment="1">
      <alignment horizontal="center" vertical="center"/>
    </xf>
    <xf numFmtId="0" fontId="5" fillId="0" borderId="1" xfId="0" applyFont="1" applyFill="1" applyBorder="1" applyAlignment="1">
      <alignment horizontal="center" vertical="center"/>
    </xf>
    <xf numFmtId="3" fontId="6" fillId="0" borderId="1" xfId="0" applyNumberFormat="1" applyFont="1" applyFill="1" applyBorder="1" applyAlignment="1">
      <alignment horizontal="justify" vertical="center" wrapText="1"/>
    </xf>
    <xf numFmtId="0" fontId="5" fillId="0" borderId="1" xfId="0" applyFont="1" applyFill="1" applyBorder="1" applyAlignment="1">
      <alignment horizontal="center" vertical="center" wrapText="1"/>
    </xf>
    <xf numFmtId="3" fontId="5" fillId="0" borderId="1" xfId="0" applyNumberFormat="1" applyFont="1" applyFill="1" applyBorder="1" applyAlignment="1">
      <alignment horizontal="justify" vertical="center" wrapText="1"/>
    </xf>
    <xf numFmtId="164" fontId="5" fillId="0" borderId="1" xfId="0" applyNumberFormat="1" applyFont="1" applyFill="1" applyBorder="1" applyAlignment="1">
      <alignment horizontal="center" vertical="center" wrapText="1"/>
    </xf>
    <xf numFmtId="165" fontId="2" fillId="0" borderId="1" xfId="0" applyNumberFormat="1" applyFont="1" applyFill="1" applyBorder="1" applyAlignment="1">
      <alignment horizontal="center"/>
    </xf>
    <xf numFmtId="164" fontId="2" fillId="0" borderId="1" xfId="0" applyNumberFormat="1" applyFont="1" applyFill="1" applyBorder="1" applyAlignment="1">
      <alignment horizontal="center"/>
    </xf>
    <xf numFmtId="0" fontId="7" fillId="0" borderId="4" xfId="0" applyFont="1" applyFill="1" applyBorder="1" applyAlignment="1">
      <alignment horizontal="center" vertical="center"/>
    </xf>
    <xf numFmtId="0" fontId="2" fillId="0" borderId="1" xfId="0" applyFont="1" applyFill="1" applyBorder="1" applyAlignment="1">
      <alignment horizontal="center" vertical="center"/>
    </xf>
    <xf numFmtId="3" fontId="2" fillId="0" borderId="1" xfId="0" applyNumberFormat="1" applyFont="1" applyFill="1" applyBorder="1" applyAlignment="1">
      <alignment horizontal="justify" vertical="center"/>
    </xf>
    <xf numFmtId="0" fontId="2" fillId="0" borderId="5" xfId="0" applyFont="1" applyFill="1" applyBorder="1" applyAlignment="1">
      <alignment horizontal="center"/>
    </xf>
    <xf numFmtId="0" fontId="5" fillId="0" borderId="6" xfId="0" applyFont="1" applyFill="1" applyBorder="1" applyAlignment="1">
      <alignment horizontal="center" vertical="center"/>
    </xf>
    <xf numFmtId="0" fontId="5" fillId="0" borderId="5" xfId="0" applyFont="1" applyFill="1" applyBorder="1" applyAlignment="1">
      <alignment horizontal="center" vertical="center"/>
    </xf>
    <xf numFmtId="3" fontId="6" fillId="0" borderId="5" xfId="0" applyNumberFormat="1" applyFont="1" applyFill="1" applyBorder="1" applyAlignment="1">
      <alignment horizontal="justify" vertical="center" wrapText="1"/>
    </xf>
    <xf numFmtId="0" fontId="5" fillId="0" borderId="5" xfId="0" applyFont="1" applyFill="1" applyBorder="1" applyAlignment="1">
      <alignment horizontal="center" vertical="center" wrapText="1"/>
    </xf>
    <xf numFmtId="3" fontId="5" fillId="0" borderId="5" xfId="0" applyNumberFormat="1" applyFont="1" applyFill="1" applyBorder="1" applyAlignment="1">
      <alignment horizontal="justify" vertical="center" wrapText="1"/>
    </xf>
    <xf numFmtId="164" fontId="5" fillId="0" borderId="5" xfId="0" applyNumberFormat="1" applyFont="1" applyFill="1" applyBorder="1" applyAlignment="1">
      <alignment horizontal="center" vertical="center" wrapText="1"/>
    </xf>
    <xf numFmtId="165" fontId="2" fillId="0" borderId="5" xfId="0" applyNumberFormat="1" applyFont="1" applyFill="1" applyBorder="1" applyAlignment="1">
      <alignment horizontal="center"/>
    </xf>
    <xf numFmtId="164" fontId="2" fillId="0" borderId="5" xfId="0" applyNumberFormat="1" applyFont="1" applyFill="1" applyBorder="1" applyAlignment="1">
      <alignment horizontal="center"/>
    </xf>
    <xf numFmtId="0" fontId="2" fillId="0" borderId="0" xfId="0" applyFont="1" applyFill="1" applyBorder="1"/>
    <xf numFmtId="0" fontId="2" fillId="0" borderId="4" xfId="0" applyFont="1" applyFill="1" applyBorder="1"/>
    <xf numFmtId="0" fontId="2" fillId="0" borderId="0" xfId="0" applyFont="1" applyFill="1" applyBorder="1" applyAlignment="1">
      <alignment vertical="center"/>
    </xf>
    <xf numFmtId="0" fontId="2" fillId="0" borderId="0" xfId="0" applyFont="1" applyFill="1" applyBorder="1" applyAlignment="1">
      <alignment horizontal="center" vertical="center"/>
    </xf>
    <xf numFmtId="3" fontId="2" fillId="0" borderId="0" xfId="0" applyNumberFormat="1" applyFont="1" applyFill="1" applyBorder="1" applyAlignment="1">
      <alignment horizontal="justify"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center"/>
    </xf>
    <xf numFmtId="3" fontId="2" fillId="0" borderId="0" xfId="0" applyNumberFormat="1" applyFont="1" applyFill="1" applyBorder="1" applyAlignment="1">
      <alignment horizontal="center"/>
    </xf>
    <xf numFmtId="164" fontId="2" fillId="0" borderId="0" xfId="0" applyNumberFormat="1" applyFont="1" applyFill="1" applyBorder="1" applyAlignment="1">
      <alignment horizontal="center"/>
    </xf>
    <xf numFmtId="165" fontId="2" fillId="0" borderId="0" xfId="0" applyNumberFormat="1" applyFont="1" applyFill="1" applyBorder="1" applyAlignment="1">
      <alignment horizontal="center"/>
    </xf>
    <xf numFmtId="0" fontId="2" fillId="0" borderId="7" xfId="0" applyFont="1" applyFill="1" applyBorder="1"/>
    <xf numFmtId="0" fontId="2" fillId="0" borderId="7" xfId="0" applyFont="1" applyFill="1" applyBorder="1" applyAlignment="1">
      <alignment horizontal="center"/>
    </xf>
    <xf numFmtId="3" fontId="2" fillId="0" borderId="7" xfId="0" applyNumberFormat="1" applyFont="1" applyFill="1" applyBorder="1" applyAlignment="1">
      <alignment horizontal="center"/>
    </xf>
    <xf numFmtId="164" fontId="2" fillId="0" borderId="7" xfId="0" applyNumberFormat="1" applyFont="1" applyFill="1" applyBorder="1" applyAlignment="1">
      <alignment horizontal="center"/>
    </xf>
    <xf numFmtId="165" fontId="2" fillId="0" borderId="7" xfId="0" applyNumberFormat="1" applyFont="1" applyFill="1" applyBorder="1" applyAlignment="1">
      <alignment horizontal="center"/>
    </xf>
    <xf numFmtId="3" fontId="2" fillId="0" borderId="1" xfId="0" applyNumberFormat="1" applyFont="1" applyFill="1" applyBorder="1" applyAlignment="1">
      <alignment horizontal="center"/>
    </xf>
    <xf numFmtId="0" fontId="2" fillId="0" borderId="1" xfId="0" applyFont="1" applyFill="1" applyBorder="1" applyAlignment="1">
      <alignment vertical="center"/>
    </xf>
    <xf numFmtId="0" fontId="2" fillId="0" borderId="1" xfId="0" applyFont="1" applyFill="1" applyBorder="1" applyAlignment="1">
      <alignment horizontal="center" vertical="center" wrapText="1"/>
    </xf>
    <xf numFmtId="0" fontId="2" fillId="0" borderId="8" xfId="0" applyFont="1" applyFill="1" applyBorder="1" applyAlignment="1">
      <alignment vertical="center"/>
    </xf>
    <xf numFmtId="0" fontId="2" fillId="0" borderId="9" xfId="0" applyFont="1" applyFill="1" applyBorder="1" applyAlignment="1">
      <alignment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3" fontId="3" fillId="0" borderId="1" xfId="0" applyNumberFormat="1" applyFont="1" applyFill="1" applyBorder="1" applyAlignment="1">
      <alignment horizontal="justify" vertical="center" wrapText="1"/>
    </xf>
    <xf numFmtId="0" fontId="3" fillId="0" borderId="1" xfId="0" applyFont="1" applyFill="1" applyBorder="1" applyAlignment="1">
      <alignment horizontal="center" vertical="center" wrapText="1"/>
    </xf>
    <xf numFmtId="3" fontId="3" fillId="0" borderId="1" xfId="0" applyNumberFormat="1" applyFont="1" applyFill="1" applyBorder="1" applyAlignment="1">
      <alignment horizontal="center" vertical="center"/>
    </xf>
    <xf numFmtId="164" fontId="3" fillId="0" borderId="1" xfId="0" applyNumberFormat="1" applyFont="1" applyFill="1" applyBorder="1" applyAlignment="1">
      <alignment horizontal="center" vertical="center"/>
    </xf>
    <xf numFmtId="0" fontId="5" fillId="0" borderId="1" xfId="0" applyFont="1" applyFill="1" applyBorder="1" applyAlignment="1">
      <alignment vertical="center" wrapText="1"/>
    </xf>
    <xf numFmtId="164" fontId="5" fillId="0" borderId="1" xfId="0" applyNumberFormat="1" applyFont="1" applyFill="1" applyBorder="1" applyAlignment="1">
      <alignment horizontal="center" vertical="center"/>
    </xf>
    <xf numFmtId="166" fontId="5" fillId="0" borderId="1" xfId="1" applyNumberFormat="1" applyFont="1" applyFill="1" applyBorder="1" applyAlignment="1">
      <alignment horizontal="center" vertical="center"/>
    </xf>
    <xf numFmtId="164" fontId="2" fillId="0" borderId="1" xfId="0" applyNumberFormat="1" applyFont="1" applyFill="1" applyBorder="1" applyAlignment="1">
      <alignment horizontal="center" vertical="center"/>
    </xf>
    <xf numFmtId="165" fontId="2"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2" fillId="0" borderId="0" xfId="0" applyFont="1"/>
    <xf numFmtId="0" fontId="2" fillId="2" borderId="0" xfId="0" applyFont="1" applyFill="1"/>
    <xf numFmtId="164" fontId="2" fillId="0" borderId="5" xfId="0" applyNumberFormat="1" applyFont="1" applyFill="1" applyBorder="1" applyAlignment="1">
      <alignment horizontal="center" vertical="center"/>
    </xf>
    <xf numFmtId="3" fontId="2" fillId="0" borderId="0" xfId="0" applyNumberFormat="1" applyFont="1" applyFill="1" applyBorder="1" applyAlignment="1">
      <alignment horizontal="center" vertical="center"/>
    </xf>
    <xf numFmtId="164" fontId="2" fillId="0" borderId="0" xfId="0" applyNumberFormat="1" applyFont="1" applyFill="1" applyBorder="1" applyAlignment="1">
      <alignment horizontal="center" vertical="center"/>
    </xf>
    <xf numFmtId="165" fontId="2" fillId="0" borderId="0" xfId="0" applyNumberFormat="1" applyFont="1" applyFill="1" applyBorder="1" applyAlignment="1">
      <alignment horizontal="center" vertical="center"/>
    </xf>
    <xf numFmtId="0" fontId="2" fillId="3" borderId="0" xfId="0" applyFont="1" applyFill="1" applyBorder="1"/>
    <xf numFmtId="0" fontId="2" fillId="0" borderId="0" xfId="0" applyFont="1" applyBorder="1"/>
    <xf numFmtId="3" fontId="2" fillId="0" borderId="1" xfId="0" applyNumberFormat="1" applyFont="1" applyFill="1" applyBorder="1" applyAlignment="1">
      <alignment horizontal="center" vertical="center"/>
    </xf>
    <xf numFmtId="165" fontId="3" fillId="4" borderId="1" xfId="0" applyNumberFormat="1" applyFont="1" applyFill="1" applyBorder="1" applyAlignment="1">
      <alignment horizontal="center" vertical="center" wrapText="1"/>
    </xf>
    <xf numFmtId="0" fontId="0" fillId="0" borderId="0" xfId="0" applyFill="1" applyBorder="1"/>
    <xf numFmtId="0" fontId="0" fillId="0" borderId="0" xfId="0" applyBorder="1"/>
    <xf numFmtId="0" fontId="4" fillId="0" borderId="4" xfId="0"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5" fillId="0" borderId="2" xfId="0" applyFont="1" applyFill="1" applyBorder="1" applyAlignment="1">
      <alignment wrapText="1"/>
    </xf>
    <xf numFmtId="164" fontId="5" fillId="0" borderId="2" xfId="0" applyNumberFormat="1" applyFont="1" applyFill="1" applyBorder="1" applyAlignment="1">
      <alignment horizontal="center" wrapText="1"/>
    </xf>
    <xf numFmtId="165" fontId="0" fillId="4" borderId="1" xfId="0" applyNumberFormat="1" applyFill="1" applyBorder="1" applyAlignment="1">
      <alignment horizontal="center"/>
    </xf>
    <xf numFmtId="165" fontId="2" fillId="0" borderId="2" xfId="0" applyNumberFormat="1" applyFont="1" applyFill="1" applyBorder="1" applyAlignment="1">
      <alignment horizontal="center"/>
    </xf>
    <xf numFmtId="0" fontId="0" fillId="2" borderId="0" xfId="0" applyFill="1"/>
    <xf numFmtId="0" fontId="0" fillId="2" borderId="0" xfId="0" applyFill="1" applyBorder="1"/>
    <xf numFmtId="0" fontId="2" fillId="0" borderId="2" xfId="0" applyFont="1" applyFill="1" applyBorder="1"/>
    <xf numFmtId="164" fontId="2" fillId="0" borderId="1" xfId="0" applyNumberFormat="1" applyFont="1" applyFill="1" applyBorder="1"/>
    <xf numFmtId="0" fontId="5" fillId="0" borderId="5" xfId="0" applyFont="1" applyFill="1" applyBorder="1" applyAlignment="1">
      <alignment vertical="center" wrapText="1"/>
    </xf>
    <xf numFmtId="164" fontId="5" fillId="0" borderId="5" xfId="0" applyNumberFormat="1" applyFont="1" applyFill="1" applyBorder="1" applyAlignment="1">
      <alignment horizontal="center" vertical="center"/>
    </xf>
    <xf numFmtId="166" fontId="5" fillId="0" borderId="5" xfId="1" applyNumberFormat="1" applyFont="1" applyFill="1" applyBorder="1" applyAlignment="1">
      <alignment horizontal="center" vertical="center"/>
    </xf>
    <xf numFmtId="0" fontId="5" fillId="0" borderId="10" xfId="0" applyFont="1" applyFill="1" applyBorder="1" applyAlignment="1">
      <alignment wrapText="1"/>
    </xf>
    <xf numFmtId="164" fontId="5" fillId="0" borderId="10" xfId="0" applyNumberFormat="1" applyFont="1" applyFill="1" applyBorder="1" applyAlignment="1">
      <alignment horizontal="center" wrapText="1"/>
    </xf>
    <xf numFmtId="165" fontId="0" fillId="4" borderId="5" xfId="0" applyNumberFormat="1" applyFill="1" applyBorder="1" applyAlignment="1">
      <alignment horizontal="center"/>
    </xf>
    <xf numFmtId="165" fontId="2" fillId="0" borderId="10" xfId="0" applyNumberFormat="1" applyFont="1" applyFill="1" applyBorder="1" applyAlignment="1">
      <alignment horizontal="center"/>
    </xf>
    <xf numFmtId="164" fontId="5" fillId="0" borderId="1" xfId="0" applyNumberFormat="1" applyFont="1" applyFill="1" applyBorder="1" applyAlignment="1">
      <alignment horizontal="center" wrapText="1"/>
    </xf>
    <xf numFmtId="0" fontId="0" fillId="0" borderId="1" xfId="0" applyBorder="1"/>
    <xf numFmtId="0" fontId="0" fillId="4" borderId="0" xfId="0" applyFill="1" applyBorder="1"/>
    <xf numFmtId="0" fontId="0" fillId="4" borderId="1" xfId="0" applyFill="1" applyBorder="1"/>
    <xf numFmtId="3" fontId="2" fillId="0" borderId="0" xfId="0" applyNumberFormat="1" applyFont="1" applyFill="1" applyAlignment="1">
      <alignment horizontal="left" vertical="center"/>
    </xf>
    <xf numFmtId="3" fontId="3" fillId="0" borderId="1" xfId="0" applyNumberFormat="1" applyFont="1" applyFill="1" applyBorder="1" applyAlignment="1">
      <alignment horizontal="center" vertical="center" wrapText="1"/>
    </xf>
    <xf numFmtId="3" fontId="3" fillId="0" borderId="2" xfId="0" applyNumberFormat="1" applyFont="1" applyFill="1" applyBorder="1" applyAlignment="1">
      <alignment horizontal="left" vertical="center" wrapText="1"/>
    </xf>
    <xf numFmtId="3" fontId="6" fillId="0" borderId="2" xfId="0" applyNumberFormat="1" applyFont="1" applyFill="1" applyBorder="1" applyAlignment="1">
      <alignment horizontal="left" vertical="center" wrapText="1"/>
    </xf>
    <xf numFmtId="3" fontId="5" fillId="0" borderId="1" xfId="0" applyNumberFormat="1" applyFont="1" applyFill="1" applyBorder="1" applyAlignment="1">
      <alignment horizontal="center" vertical="center" wrapText="1"/>
    </xf>
    <xf numFmtId="42" fontId="2" fillId="0" borderId="1" xfId="0" applyNumberFormat="1" applyFont="1" applyFill="1" applyBorder="1" applyAlignment="1">
      <alignment horizontal="center" vertical="center"/>
    </xf>
    <xf numFmtId="3" fontId="5" fillId="0" borderId="2" xfId="0" applyNumberFormat="1" applyFont="1" applyFill="1" applyBorder="1" applyAlignment="1">
      <alignment horizontal="left" vertical="center" wrapText="1"/>
    </xf>
    <xf numFmtId="3" fontId="6" fillId="0" borderId="1" xfId="0" applyNumberFormat="1" applyFont="1" applyFill="1" applyBorder="1" applyAlignment="1">
      <alignment horizontal="center" vertical="center" wrapText="1"/>
    </xf>
    <xf numFmtId="0" fontId="5" fillId="0" borderId="0" xfId="0" applyFont="1" applyFill="1" applyBorder="1" applyAlignment="1">
      <alignment horizontal="center" vertical="center"/>
    </xf>
    <xf numFmtId="3" fontId="6" fillId="0" borderId="10" xfId="0" applyNumberFormat="1" applyFont="1" applyFill="1" applyBorder="1" applyAlignment="1">
      <alignment horizontal="left" vertical="center" wrapText="1"/>
    </xf>
    <xf numFmtId="3" fontId="5" fillId="0" borderId="5" xfId="0" applyNumberFormat="1" applyFont="1" applyFill="1" applyBorder="1" applyAlignment="1">
      <alignment horizontal="center" vertical="center" wrapText="1"/>
    </xf>
    <xf numFmtId="0" fontId="2" fillId="0" borderId="5" xfId="0" applyFont="1" applyFill="1" applyBorder="1" applyAlignment="1">
      <alignment horizontal="center" vertical="center"/>
    </xf>
    <xf numFmtId="165" fontId="2" fillId="0" borderId="5" xfId="0" applyNumberFormat="1" applyFont="1" applyFill="1" applyBorder="1" applyAlignment="1">
      <alignment horizontal="center" vertical="center"/>
    </xf>
    <xf numFmtId="42" fontId="2" fillId="0" borderId="5" xfId="0" applyNumberFormat="1" applyFont="1" applyFill="1" applyBorder="1" applyAlignment="1">
      <alignment horizontal="center" vertical="center"/>
    </xf>
    <xf numFmtId="3" fontId="6" fillId="0" borderId="1" xfId="0" applyNumberFormat="1" applyFont="1" applyFill="1" applyBorder="1" applyAlignment="1">
      <alignment horizontal="left" vertical="center" wrapText="1"/>
    </xf>
    <xf numFmtId="0" fontId="2" fillId="0" borderId="7" xfId="0" applyFont="1" applyFill="1" applyBorder="1" applyAlignment="1">
      <alignment horizontal="center" vertical="center" wrapText="1"/>
    </xf>
    <xf numFmtId="3" fontId="2" fillId="0" borderId="7" xfId="0" applyNumberFormat="1" applyFont="1" applyFill="1" applyBorder="1" applyAlignment="1">
      <alignment horizontal="center" vertical="center"/>
    </xf>
    <xf numFmtId="0" fontId="2" fillId="0" borderId="7" xfId="0" applyFont="1" applyFill="1" applyBorder="1" applyAlignment="1">
      <alignment horizontal="center" vertical="center"/>
    </xf>
    <xf numFmtId="164" fontId="2" fillId="0" borderId="7" xfId="0" applyNumberFormat="1" applyFont="1" applyFill="1" applyBorder="1" applyAlignment="1">
      <alignment horizontal="center" vertical="center"/>
    </xf>
    <xf numFmtId="165" fontId="2" fillId="0" borderId="7" xfId="0" applyNumberFormat="1" applyFont="1" applyFill="1" applyBorder="1" applyAlignment="1">
      <alignment horizontal="center" vertical="center"/>
    </xf>
    <xf numFmtId="3" fontId="2" fillId="0" borderId="0" xfId="0" applyNumberFormat="1" applyFont="1" applyFill="1" applyAlignment="1">
      <alignment horizontal="center" vertical="center"/>
    </xf>
    <xf numFmtId="0" fontId="10" fillId="0" borderId="0" xfId="0" applyFont="1" applyFill="1" applyAlignment="1">
      <alignment vertical="center"/>
    </xf>
    <xf numFmtId="3" fontId="2" fillId="0" borderId="1" xfId="0" applyNumberFormat="1" applyFont="1" applyFill="1" applyBorder="1" applyAlignment="1">
      <alignment horizontal="center" vertical="center" wrapText="1"/>
    </xf>
    <xf numFmtId="3" fontId="3" fillId="0" borderId="5" xfId="0" applyNumberFormat="1" applyFont="1" applyFill="1" applyBorder="1" applyAlignment="1">
      <alignment horizontal="center" vertical="center" wrapText="1"/>
    </xf>
    <xf numFmtId="0" fontId="5" fillId="0" borderId="1" xfId="0" applyFont="1" applyFill="1" applyBorder="1" applyAlignment="1">
      <alignment horizontal="center" wrapText="1"/>
    </xf>
    <xf numFmtId="165" fontId="2" fillId="0" borderId="11" xfId="0" applyNumberFormat="1" applyFont="1" applyFill="1" applyBorder="1" applyAlignment="1">
      <alignment horizontal="center"/>
    </xf>
    <xf numFmtId="165" fontId="2" fillId="0" borderId="0" xfId="0" applyNumberFormat="1" applyFont="1" applyFill="1" applyAlignment="1">
      <alignment horizontal="center"/>
    </xf>
    <xf numFmtId="0" fontId="5" fillId="0" borderId="2" xfId="0" applyFont="1" applyFill="1" applyBorder="1" applyAlignment="1">
      <alignment horizontal="center" wrapText="1"/>
    </xf>
    <xf numFmtId="0" fontId="5" fillId="0" borderId="0" xfId="0" applyFont="1" applyFill="1" applyBorder="1" applyAlignment="1">
      <alignment horizontal="center" vertical="center" wrapText="1"/>
    </xf>
    <xf numFmtId="164" fontId="5" fillId="0" borderId="0" xfId="0" applyNumberFormat="1" applyFont="1" applyFill="1" applyBorder="1" applyAlignment="1">
      <alignment horizontal="center" vertical="center"/>
    </xf>
    <xf numFmtId="166" fontId="5" fillId="0" borderId="0" xfId="1" applyNumberFormat="1" applyFont="1" applyFill="1" applyBorder="1" applyAlignment="1">
      <alignment horizontal="center" vertical="center"/>
    </xf>
    <xf numFmtId="0" fontId="5" fillId="0" borderId="0" xfId="0" applyFont="1" applyFill="1" applyBorder="1" applyAlignment="1">
      <alignment horizontal="center" wrapText="1"/>
    </xf>
    <xf numFmtId="3" fontId="6" fillId="0" borderId="5" xfId="0" applyNumberFormat="1" applyFont="1" applyFill="1" applyBorder="1" applyAlignment="1">
      <alignment horizontal="center" vertical="center" wrapText="1"/>
    </xf>
    <xf numFmtId="0" fontId="5" fillId="0" borderId="5" xfId="0" applyFont="1" applyFill="1" applyBorder="1" applyAlignment="1">
      <alignment horizontal="center" wrapText="1"/>
    </xf>
    <xf numFmtId="0" fontId="2" fillId="0" borderId="8" xfId="0" applyFont="1" applyFill="1" applyBorder="1" applyAlignment="1">
      <alignment horizontal="center"/>
    </xf>
    <xf numFmtId="0" fontId="2" fillId="0" borderId="9" xfId="0" applyFont="1" applyFill="1" applyBorder="1" applyAlignment="1">
      <alignment horizontal="center"/>
    </xf>
    <xf numFmtId="0" fontId="2" fillId="0" borderId="2" xfId="0" applyFont="1" applyFill="1" applyBorder="1" applyAlignment="1">
      <alignment horizontal="center"/>
    </xf>
    <xf numFmtId="164" fontId="2" fillId="0" borderId="2" xfId="0" applyNumberFormat="1" applyFont="1" applyFill="1" applyBorder="1" applyAlignment="1">
      <alignment horizontal="center"/>
    </xf>
    <xf numFmtId="164" fontId="2" fillId="0" borderId="0" xfId="0" applyNumberFormat="1" applyFont="1" applyFill="1" applyAlignment="1">
      <alignment horizontal="center"/>
    </xf>
    <xf numFmtId="3" fontId="3" fillId="0" borderId="8" xfId="0" applyNumberFormat="1" applyFont="1" applyFill="1" applyBorder="1" applyAlignment="1">
      <alignment horizontal="center" vertical="center" wrapText="1"/>
    </xf>
    <xf numFmtId="164" fontId="3" fillId="0" borderId="9" xfId="0" applyNumberFormat="1" applyFont="1" applyFill="1" applyBorder="1" applyAlignment="1">
      <alignment horizontal="center" vertical="center" wrapText="1"/>
    </xf>
    <xf numFmtId="164" fontId="3" fillId="0" borderId="9" xfId="0" applyNumberFormat="1" applyFont="1" applyFill="1" applyBorder="1" applyAlignment="1">
      <alignment horizontal="center" vertical="center"/>
    </xf>
    <xf numFmtId="3" fontId="6" fillId="0" borderId="1" xfId="0" applyNumberFormat="1" applyFont="1" applyFill="1" applyBorder="1" applyAlignment="1">
      <alignment horizontal="center" vertical="center"/>
    </xf>
    <xf numFmtId="0" fontId="5" fillId="0" borderId="1" xfId="0" applyFont="1" applyFill="1" applyBorder="1" applyAlignment="1">
      <alignment horizontal="center"/>
    </xf>
    <xf numFmtId="0" fontId="7" fillId="0" borderId="0" xfId="0" applyNumberFormat="1" applyFont="1" applyAlignment="1">
      <alignment horizontal="center" vertical="center"/>
    </xf>
    <xf numFmtId="3" fontId="2" fillId="0" borderId="5" xfId="0" applyNumberFormat="1" applyFont="1" applyFill="1" applyBorder="1" applyAlignment="1">
      <alignment horizontal="center"/>
    </xf>
    <xf numFmtId="3" fontId="2" fillId="0" borderId="11" xfId="0" applyNumberFormat="1" applyFont="1" applyFill="1" applyBorder="1" applyAlignment="1">
      <alignment horizontal="center"/>
    </xf>
    <xf numFmtId="0" fontId="2" fillId="0" borderId="11" xfId="0" applyFont="1" applyFill="1" applyBorder="1" applyAlignment="1">
      <alignment horizontal="center"/>
    </xf>
    <xf numFmtId="0" fontId="2" fillId="0" borderId="12" xfId="0" applyFont="1" applyFill="1" applyBorder="1"/>
    <xf numFmtId="0" fontId="5" fillId="0" borderId="0" xfId="0" applyFont="1" applyFill="1" applyAlignment="1">
      <alignment wrapText="1"/>
    </xf>
    <xf numFmtId="0" fontId="4" fillId="0" borderId="2" xfId="0" applyFont="1" applyFill="1" applyBorder="1" applyAlignment="1">
      <alignment vertical="center" wrapText="1"/>
    </xf>
    <xf numFmtId="0" fontId="13" fillId="0" borderId="0" xfId="0" applyFont="1" applyFill="1" applyAlignment="1">
      <alignment wrapText="1"/>
    </xf>
    <xf numFmtId="0" fontId="4" fillId="0" borderId="5" xfId="0" applyFont="1" applyFill="1" applyBorder="1" applyAlignment="1">
      <alignment vertical="center" wrapText="1"/>
    </xf>
    <xf numFmtId="0" fontId="4" fillId="0" borderId="1" xfId="0" applyFont="1" applyFill="1" applyBorder="1" applyAlignment="1">
      <alignment horizontal="justify" vertical="center" wrapText="1"/>
    </xf>
    <xf numFmtId="165" fontId="5" fillId="0" borderId="1" xfId="0" applyNumberFormat="1" applyFont="1" applyFill="1" applyBorder="1" applyAlignment="1">
      <alignment horizontal="center" vertical="center" wrapText="1"/>
    </xf>
    <xf numFmtId="167" fontId="5" fillId="0" borderId="1" xfId="0" applyNumberFormat="1"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left" vertical="center" wrapText="1"/>
    </xf>
    <xf numFmtId="165" fontId="4" fillId="0" borderId="1" xfId="0" applyNumberFormat="1" applyFont="1" applyFill="1" applyBorder="1" applyAlignment="1">
      <alignment horizontal="center" vertical="center" wrapText="1"/>
    </xf>
    <xf numFmtId="0" fontId="5" fillId="0" borderId="0" xfId="0" applyFont="1" applyFill="1" applyAlignment="1">
      <alignment horizontal="left" wrapText="1"/>
    </xf>
    <xf numFmtId="0" fontId="14" fillId="0" borderId="0" xfId="0" applyFont="1" applyFill="1" applyAlignment="1">
      <alignment wrapText="1"/>
    </xf>
    <xf numFmtId="165" fontId="3" fillId="0" borderId="2" xfId="0" applyNumberFormat="1" applyFont="1" applyFill="1" applyBorder="1" applyAlignment="1">
      <alignment horizontal="center" vertical="center" wrapText="1"/>
    </xf>
    <xf numFmtId="165" fontId="3" fillId="0" borderId="3" xfId="0" applyNumberFormat="1" applyFont="1" applyFill="1" applyBorder="1" applyAlignment="1">
      <alignment horizontal="center" vertical="center" wrapText="1"/>
    </xf>
    <xf numFmtId="165" fontId="3" fillId="0" borderId="4" xfId="0" applyNumberFormat="1" applyFont="1" applyFill="1" applyBorder="1" applyAlignment="1">
      <alignment horizontal="center" vertical="center" wrapText="1"/>
    </xf>
    <xf numFmtId="165" fontId="3" fillId="0" borderId="1" xfId="0" applyNumberFormat="1"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3" fontId="3" fillId="0" borderId="8"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165" fontId="5" fillId="0" borderId="5" xfId="0" applyNumberFormat="1" applyFont="1" applyFill="1" applyBorder="1" applyAlignment="1">
      <alignment horizontal="center" vertical="center" wrapText="1"/>
    </xf>
    <xf numFmtId="165" fontId="5" fillId="0" borderId="11" xfId="0" applyNumberFormat="1" applyFont="1" applyFill="1" applyBorder="1" applyAlignment="1">
      <alignment horizontal="center" vertical="center" wrapText="1"/>
    </xf>
    <xf numFmtId="165" fontId="5" fillId="0" borderId="7" xfId="0" applyNumberFormat="1" applyFont="1" applyFill="1" applyBorder="1" applyAlignment="1">
      <alignment horizontal="center" vertical="center" wrapText="1"/>
    </xf>
    <xf numFmtId="0" fontId="4" fillId="0" borderId="13" xfId="0" applyFont="1" applyFill="1" applyBorder="1" applyAlignment="1">
      <alignment horizontal="left" vertical="center" wrapText="1"/>
    </xf>
    <xf numFmtId="0" fontId="4" fillId="0" borderId="12" xfId="0" applyFont="1" applyFill="1" applyBorder="1" applyAlignment="1">
      <alignment horizontal="left" vertical="center" wrapText="1"/>
    </xf>
    <xf numFmtId="0" fontId="4" fillId="0" borderId="5"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0" borderId="11" xfId="0" applyFont="1" applyFill="1" applyBorder="1" applyAlignment="1">
      <alignment horizontal="left" vertical="center" wrapText="1"/>
    </xf>
    <xf numFmtId="0" fontId="4" fillId="0" borderId="7" xfId="0" applyFont="1" applyFill="1" applyBorder="1" applyAlignment="1">
      <alignment horizontal="left" vertical="center" wrapText="1"/>
    </xf>
    <xf numFmtId="167" fontId="5" fillId="0" borderId="5" xfId="0" applyNumberFormat="1" applyFont="1" applyFill="1" applyBorder="1" applyAlignment="1">
      <alignment horizontal="center" vertical="center" wrapText="1"/>
    </xf>
    <xf numFmtId="167" fontId="5" fillId="0" borderId="11" xfId="0" applyNumberFormat="1" applyFont="1" applyFill="1" applyBorder="1" applyAlignment="1">
      <alignment horizontal="center" vertical="center" wrapText="1"/>
    </xf>
    <xf numFmtId="167" fontId="5" fillId="0" borderId="7" xfId="0" applyNumberFormat="1" applyFont="1" applyFill="1" applyBorder="1" applyAlignment="1">
      <alignment horizontal="center" vertical="center" wrapText="1"/>
    </xf>
  </cellXfs>
  <cellStyles count="2">
    <cellStyle name="Millares" xfId="1" builtinId="3"/>
    <cellStyle name="Normal" xfId="0" builtinId="0"/>
  </cellStyles>
  <dxfs count="47">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yohana.homez\Desktop\PROCESOS%202021\S.I\FERRETERIA%20ULTIMAS%20MODIFICACIONES%2029032021\ITEMS%20PROCESO%2018-02-2021\precios%2005042021\CO1.REQ.1031140_1%20PRECIOS%20PROCESO%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SPITAL MILITAR CEN"/>
      <sheetName val="Lista de artículos (1)"/>
    </sheetNames>
    <sheetDataSet>
      <sheetData sheetId="0"/>
      <sheetData sheetId="1">
        <row r="3">
          <cell r="A3" t="str">
            <v>ADAPTADOR "T" COBRE TIPO K PRESIÓN  DE 1/2"</v>
          </cell>
          <cell r="B3" t="str">
            <v>5,00</v>
          </cell>
          <cell r="C3" t="str">
            <v>UN</v>
          </cell>
          <cell r="D3" t="str">
            <v>4.760,00</v>
          </cell>
          <cell r="E3">
            <v>4940.88</v>
          </cell>
          <cell r="F3">
            <v>5020.4281680000004</v>
          </cell>
          <cell r="G3">
            <v>4218.8472000000002</v>
          </cell>
          <cell r="H3"/>
          <cell r="I3" t="str">
            <v>594.920,00</v>
          </cell>
        </row>
        <row r="4">
          <cell r="A4" t="str">
            <v>ADAPTADOR "T" COBRE TIPO K PRESIÓN DE 1”</v>
          </cell>
          <cell r="B4" t="str">
            <v>3,00</v>
          </cell>
          <cell r="C4" t="str">
            <v>UN</v>
          </cell>
          <cell r="D4" t="str">
            <v>11.560,00</v>
          </cell>
          <cell r="E4">
            <v>11999.28</v>
          </cell>
          <cell r="F4">
            <v>12192.468408000001</v>
          </cell>
          <cell r="G4">
            <v>10245.771771428572</v>
          </cell>
          <cell r="H4"/>
          <cell r="I4" t="str">
            <v>175.480,00</v>
          </cell>
        </row>
        <row r="5">
          <cell r="A5" t="str">
            <v>ADAPTADOR "T" COBRE TIPO K PRESIÓN DE 11/2”</v>
          </cell>
          <cell r="B5" t="str">
            <v>3,00</v>
          </cell>
          <cell r="C5" t="str">
            <v>UN</v>
          </cell>
          <cell r="D5" t="str">
            <v>37.400,00</v>
          </cell>
          <cell r="E5">
            <v>38821.199999999997</v>
          </cell>
          <cell r="F5">
            <v>39446.221319999997</v>
          </cell>
          <cell r="G5">
            <v>33148.08514285714</v>
          </cell>
          <cell r="H5"/>
          <cell r="I5" t="str">
            <v>920.200,00</v>
          </cell>
        </row>
        <row r="6">
          <cell r="A6" t="str">
            <v>ADAPTADOR "T" COBRE TIPO K PRESIÓN DE 2”</v>
          </cell>
          <cell r="B6" t="str">
            <v>3,00</v>
          </cell>
          <cell r="C6" t="str">
            <v>UN</v>
          </cell>
          <cell r="D6" t="str">
            <v>49.300,00</v>
          </cell>
          <cell r="E6">
            <v>51173.4</v>
          </cell>
          <cell r="F6">
            <v>51997.291740000001</v>
          </cell>
          <cell r="G6">
            <v>43695.203142857143</v>
          </cell>
          <cell r="H6"/>
          <cell r="I6" t="str">
            <v>1.110.412,00</v>
          </cell>
        </row>
        <row r="7">
          <cell r="A7" t="str">
            <v>ADAPTADOR "T" COBRE TIPO K PRESIÓN DE 3/4"</v>
          </cell>
          <cell r="B7" t="str">
            <v>5,00</v>
          </cell>
          <cell r="C7" t="str">
            <v>UN</v>
          </cell>
          <cell r="D7" t="str">
            <v>7.310,00</v>
          </cell>
          <cell r="E7">
            <v>7587.78</v>
          </cell>
          <cell r="F7">
            <v>7709.9432579999993</v>
          </cell>
          <cell r="G7">
            <v>6478.9439142857145</v>
          </cell>
          <cell r="H7"/>
          <cell r="I7" t="str">
            <v>700.672,00</v>
          </cell>
        </row>
        <row r="8">
          <cell r="A8" t="str">
            <v>ADAPTADOR 1/2" HEMBRA CONDUIT</v>
          </cell>
          <cell r="B8" t="str">
            <v>15,00</v>
          </cell>
          <cell r="C8" t="str">
            <v>UN</v>
          </cell>
          <cell r="D8" t="str">
            <v>337,00</v>
          </cell>
          <cell r="E8">
            <v>349.80599999999998</v>
          </cell>
          <cell r="F8">
            <v>355.43787659999998</v>
          </cell>
          <cell r="G8">
            <v>298.6872912605042</v>
          </cell>
          <cell r="H8"/>
          <cell r="I8" t="str">
            <v>632.230,00</v>
          </cell>
        </row>
        <row r="9">
          <cell r="A9" t="str">
            <v>ADAPTADOR 1/2" HEMBRA METÁLICA  CONDUIT</v>
          </cell>
          <cell r="B9" t="str">
            <v>15,00</v>
          </cell>
          <cell r="C9" t="str">
            <v>UN</v>
          </cell>
          <cell r="D9" t="str">
            <v>952,00</v>
          </cell>
          <cell r="E9">
            <v>988.17600000000004</v>
          </cell>
          <cell r="F9">
            <v>1004.0856336000001</v>
          </cell>
          <cell r="G9">
            <v>843.76944000000003</v>
          </cell>
          <cell r="H9"/>
          <cell r="I9" t="str">
            <v>202.215,00</v>
          </cell>
        </row>
        <row r="10">
          <cell r="A10" t="str">
            <v>ADAPTADOR 1/2" MACHO  CONDUIT</v>
          </cell>
          <cell r="B10" t="str">
            <v>15,00</v>
          </cell>
          <cell r="C10" t="str">
            <v>UN</v>
          </cell>
          <cell r="D10" t="str">
            <v>337,00</v>
          </cell>
          <cell r="E10">
            <v>349.80599999999998</v>
          </cell>
          <cell r="F10">
            <v>355.43787659999998</v>
          </cell>
          <cell r="G10">
            <v>298.6872912605042</v>
          </cell>
          <cell r="H10"/>
          <cell r="I10" t="str">
            <v>50.512,00</v>
          </cell>
        </row>
        <row r="11">
          <cell r="A11" t="str">
            <v>ADAPTADOR 1/2" METÁLICA MACHO CONDUIT</v>
          </cell>
          <cell r="B11" t="str">
            <v>15,00</v>
          </cell>
          <cell r="C11" t="str">
            <v>UN</v>
          </cell>
          <cell r="D11" t="str">
            <v>952,00</v>
          </cell>
          <cell r="E11">
            <v>988.17600000000004</v>
          </cell>
          <cell r="F11">
            <v>1004.0856336000001</v>
          </cell>
          <cell r="G11">
            <v>843.76944000000003</v>
          </cell>
          <cell r="H11"/>
          <cell r="I11" t="str">
            <v>3.990,00</v>
          </cell>
        </row>
        <row r="12">
          <cell r="A12" t="str">
            <v>ADAPTADOR 1/2" TERMINAL CONDUIT</v>
          </cell>
          <cell r="B12" t="str">
            <v>15,00</v>
          </cell>
          <cell r="C12" t="str">
            <v>UN</v>
          </cell>
          <cell r="D12" t="str">
            <v>266,00</v>
          </cell>
          <cell r="E12">
            <v>276.108</v>
          </cell>
          <cell r="F12">
            <v>280.55333880000001</v>
          </cell>
          <cell r="G12">
            <v>235.75910823529412</v>
          </cell>
          <cell r="H12"/>
          <cell r="I12" t="str">
            <v>5.392,00</v>
          </cell>
        </row>
        <row r="13">
          <cell r="A13" t="str">
            <v>ADAPTADOR 1/2" UNIÓN  CONDUIT</v>
          </cell>
          <cell r="B13" t="str">
            <v>15,00</v>
          </cell>
          <cell r="C13" t="str">
            <v>UN</v>
          </cell>
          <cell r="D13" t="str">
            <v>150,00</v>
          </cell>
          <cell r="E13">
            <v>155.69999999999999</v>
          </cell>
          <cell r="F13">
            <v>158.20676999999998</v>
          </cell>
          <cell r="G13">
            <v>132.94686554621848</v>
          </cell>
          <cell r="H13"/>
          <cell r="I13" t="str">
            <v>11.235,00</v>
          </cell>
        </row>
        <row r="14">
          <cell r="A14" t="str">
            <v>ADAPTADOR 1/2" UNIÓN METÁLICA CONDUIT</v>
          </cell>
          <cell r="B14" t="str">
            <v>15,00</v>
          </cell>
          <cell r="C14" t="str">
            <v>UN</v>
          </cell>
          <cell r="D14" t="str">
            <v>1.607,00</v>
          </cell>
          <cell r="E14">
            <v>1668.066</v>
          </cell>
          <cell r="F14">
            <v>1694.9218625999999</v>
          </cell>
          <cell r="G14">
            <v>1424.3040862184873</v>
          </cell>
          <cell r="H14"/>
          <cell r="I14" t="str">
            <v>20.070,00</v>
          </cell>
        </row>
        <row r="15">
          <cell r="A15" t="str">
            <v>ADAPTADOR 3/4 TERMINAL CONDUIT</v>
          </cell>
          <cell r="B15" t="str">
            <v>16,00</v>
          </cell>
          <cell r="C15" t="str">
            <v>UN</v>
          </cell>
          <cell r="D15" t="str">
            <v>337,00</v>
          </cell>
          <cell r="E15">
            <v>349.80599999999998</v>
          </cell>
          <cell r="F15">
            <v>355.43787659999998</v>
          </cell>
          <cell r="G15">
            <v>298.6872912605042</v>
          </cell>
          <cell r="H15"/>
          <cell r="I15" t="str">
            <v>5.055,00</v>
          </cell>
        </row>
        <row r="16">
          <cell r="A16" t="str">
            <v>ADAPTADOR 3/4" HEMBRA  CONDUIT</v>
          </cell>
          <cell r="B16" t="str">
            <v>15,00</v>
          </cell>
          <cell r="C16" t="str">
            <v>UN</v>
          </cell>
          <cell r="D16" t="str">
            <v>428,00</v>
          </cell>
          <cell r="E16">
            <v>444.26400000000001</v>
          </cell>
          <cell r="F16">
            <v>451.41665040000004</v>
          </cell>
          <cell r="G16">
            <v>379.34172302521017</v>
          </cell>
          <cell r="H16"/>
          <cell r="I16" t="str">
            <v>6.420,00</v>
          </cell>
        </row>
        <row r="17">
          <cell r="A17" t="str">
            <v>ADAPTADOR 3/4" HEMBRA METÁLICA  CONDUIT</v>
          </cell>
          <cell r="B17" t="str">
            <v>15,00</v>
          </cell>
          <cell r="C17" t="str">
            <v>UN</v>
          </cell>
          <cell r="D17" t="str">
            <v>1.063,00</v>
          </cell>
          <cell r="E17">
            <v>1103.394</v>
          </cell>
          <cell r="F17">
            <v>1121.1586434000001</v>
          </cell>
          <cell r="G17">
            <v>942.15012050420171</v>
          </cell>
          <cell r="H17"/>
          <cell r="I17" t="str">
            <v>5.055,00</v>
          </cell>
        </row>
        <row r="18">
          <cell r="A18" t="str">
            <v>ADAPTADOR 3/4" MACHO  CONDUIT</v>
          </cell>
          <cell r="B18" t="str">
            <v>15,00</v>
          </cell>
          <cell r="C18" t="str">
            <v>UN</v>
          </cell>
          <cell r="D18" t="str">
            <v>428,00</v>
          </cell>
          <cell r="E18">
            <v>444.26400000000001</v>
          </cell>
          <cell r="F18">
            <v>451.41665040000004</v>
          </cell>
          <cell r="G18">
            <v>379.34172302521017</v>
          </cell>
          <cell r="H18"/>
          <cell r="I18" t="str">
            <v>6.420,00</v>
          </cell>
        </row>
        <row r="19">
          <cell r="A19" t="str">
            <v>ADAPTADOR 3/4" METÁLICA MACHO CONDUIT</v>
          </cell>
          <cell r="B19" t="str">
            <v>15,00</v>
          </cell>
          <cell r="C19" t="str">
            <v>UN</v>
          </cell>
          <cell r="D19" t="str">
            <v>1.037,00</v>
          </cell>
          <cell r="E19">
            <v>1076.4059999999999</v>
          </cell>
          <cell r="F19">
            <v>1093.7361366</v>
          </cell>
          <cell r="G19">
            <v>919.10599714285718</v>
          </cell>
          <cell r="H19"/>
          <cell r="I19" t="str">
            <v>2.250,00</v>
          </cell>
        </row>
        <row r="20">
          <cell r="A20" t="str">
            <v>ADAPTADOR 3/4" UNIÓN  CONDUIT</v>
          </cell>
          <cell r="B20" t="str">
            <v>15,00</v>
          </cell>
          <cell r="C20" t="str">
            <v>UN</v>
          </cell>
          <cell r="D20" t="str">
            <v>482,00</v>
          </cell>
          <cell r="E20">
            <v>500.31599999999997</v>
          </cell>
          <cell r="F20">
            <v>508.37108759999995</v>
          </cell>
          <cell r="G20">
            <v>427.20259462184868</v>
          </cell>
          <cell r="H20"/>
          <cell r="I20" t="str">
            <v>7.230,00</v>
          </cell>
        </row>
        <row r="21">
          <cell r="A21" t="str">
            <v>ADAPTADOR 3/4" UNIÓN METÁLICA CONDUIT</v>
          </cell>
          <cell r="B21" t="str">
            <v>15,00</v>
          </cell>
          <cell r="C21" t="str">
            <v>UN</v>
          </cell>
          <cell r="D21" t="str">
            <v>2.151,00</v>
          </cell>
          <cell r="E21">
            <v>2232.7379999999998</v>
          </cell>
          <cell r="F21">
            <v>2268.6850817999998</v>
          </cell>
          <cell r="G21">
            <v>1906.4580519327728</v>
          </cell>
          <cell r="H21"/>
          <cell r="I21" t="str">
            <v>657.525,00</v>
          </cell>
        </row>
        <row r="22">
          <cell r="A22" t="str">
            <v>ADAPTADOR CODO COBRE TIPO K PRESIÓN DE 1/2"</v>
          </cell>
          <cell r="B22" t="str">
            <v>3,00</v>
          </cell>
          <cell r="C22" t="str">
            <v>UN</v>
          </cell>
          <cell r="D22" t="str">
            <v>1.445,00</v>
          </cell>
          <cell r="E22">
            <v>1499.91</v>
          </cell>
          <cell r="F22">
            <v>1524.0585510000001</v>
          </cell>
          <cell r="G22">
            <v>1280.7214714285715</v>
          </cell>
          <cell r="H22"/>
          <cell r="I22" t="str">
            <v>797.640,00</v>
          </cell>
        </row>
        <row r="23">
          <cell r="A23" t="str">
            <v>ADAPTADOR CODO COBRE TIPO K PRESIÓN DE 1½”</v>
          </cell>
          <cell r="B23" t="str">
            <v>3,00</v>
          </cell>
          <cell r="C23" t="str">
            <v>UN</v>
          </cell>
          <cell r="D23" t="str">
            <v>21.497,00</v>
          </cell>
          <cell r="E23">
            <v>22313.885999999999</v>
          </cell>
          <cell r="F23">
            <v>22673.139564599998</v>
          </cell>
          <cell r="G23">
            <v>19053.058457647057</v>
          </cell>
          <cell r="H23"/>
          <cell r="I23" t="str">
            <v>1.136.490,00</v>
          </cell>
        </row>
        <row r="24">
          <cell r="A24" t="str">
            <v>ADAPTADOR CODO COBRE TIPO K PRESIÓN DE 2”</v>
          </cell>
          <cell r="B24" t="str">
            <v>3,00</v>
          </cell>
          <cell r="C24" t="str">
            <v>UN</v>
          </cell>
          <cell r="D24" t="str">
            <v>40.367,00</v>
          </cell>
          <cell r="E24">
            <v>41900.946000000004</v>
          </cell>
          <cell r="F24">
            <v>42575.551230600002</v>
          </cell>
          <cell r="G24">
            <v>35777.774143361348</v>
          </cell>
          <cell r="H24"/>
          <cell r="I24" t="str">
            <v>1.827.585,00</v>
          </cell>
        </row>
        <row r="25">
          <cell r="A25" t="str">
            <v>ADAPTADOR CODO COBRE TIPO K PRESIÓN DE 3/4"</v>
          </cell>
          <cell r="B25" t="str">
            <v>3,00</v>
          </cell>
          <cell r="C25" t="str">
            <v>UN</v>
          </cell>
          <cell r="D25" t="str">
            <v>8.160,00</v>
          </cell>
          <cell r="E25">
            <v>8470.08</v>
          </cell>
          <cell r="F25">
            <v>8606.4482879999996</v>
          </cell>
          <cell r="G25">
            <v>7232.309485714286</v>
          </cell>
          <cell r="H25"/>
          <cell r="I25" t="str">
            <v>2.250.120,00</v>
          </cell>
        </row>
        <row r="26">
          <cell r="A26" t="str">
            <v>ADAPTADOR CODO PVC SANITARIO DE 1</v>
          </cell>
          <cell r="B26" t="str">
            <v>3,00</v>
          </cell>
          <cell r="C26" t="str">
            <v>UN</v>
          </cell>
          <cell r="D26" t="str">
            <v>2.015,00</v>
          </cell>
          <cell r="E26">
            <v>2091.5700000000002</v>
          </cell>
          <cell r="F26">
            <v>2125.2442770000002</v>
          </cell>
          <cell r="G26">
            <v>1785.9195605042019</v>
          </cell>
          <cell r="H26"/>
          <cell r="I26" t="str">
            <v>81.600,00</v>
          </cell>
        </row>
        <row r="27">
          <cell r="A27" t="str">
            <v>ADAPTADOR CODO PVC SANITARIO DE 1½”</v>
          </cell>
          <cell r="B27" t="str">
            <v>3,00</v>
          </cell>
          <cell r="C27" t="str">
            <v>UN</v>
          </cell>
          <cell r="D27" t="str">
            <v>2.015,00</v>
          </cell>
          <cell r="E27">
            <v>2091.5700000000002</v>
          </cell>
          <cell r="F27">
            <v>2125.2442770000002</v>
          </cell>
          <cell r="G27">
            <v>1785.9195605042019</v>
          </cell>
          <cell r="H27"/>
          <cell r="I27" t="str">
            <v>115.260,00</v>
          </cell>
        </row>
        <row r="28">
          <cell r="A28" t="str">
            <v>ADAPTADOR CODO PVC SANITARIO DE 2”</v>
          </cell>
          <cell r="B28" t="str">
            <v>3,00</v>
          </cell>
          <cell r="C28" t="str">
            <v>UN</v>
          </cell>
          <cell r="D28" t="str">
            <v>1.691,00</v>
          </cell>
          <cell r="E28">
            <v>1755.258</v>
          </cell>
          <cell r="F28">
            <v>1783.5176538000001</v>
          </cell>
          <cell r="G28">
            <v>1498.7543309243697</v>
          </cell>
          <cell r="H28"/>
          <cell r="I28" t="str">
            <v>14.280,00</v>
          </cell>
        </row>
        <row r="29">
          <cell r="A29" t="str">
            <v>ADAPTADOR CODO PVC SANITARIO DE 3”</v>
          </cell>
          <cell r="B29" t="str">
            <v>3,00</v>
          </cell>
          <cell r="C29" t="str">
            <v>UN</v>
          </cell>
          <cell r="D29" t="str">
            <v>4.441,00</v>
          </cell>
          <cell r="E29">
            <v>4609.7579999999998</v>
          </cell>
          <cell r="F29">
            <v>4683.9751037999995</v>
          </cell>
          <cell r="G29">
            <v>3936.1135326050417</v>
          </cell>
          <cell r="H29"/>
          <cell r="I29" t="str">
            <v>15.555,00</v>
          </cell>
        </row>
        <row r="30">
          <cell r="A30" t="str">
            <v>ADAPTADOR CODO PVC SANITARIO DE 4</v>
          </cell>
          <cell r="B30" t="str">
            <v>3,00</v>
          </cell>
          <cell r="C30" t="str">
            <v>UN</v>
          </cell>
          <cell r="D30" t="str">
            <v>6.741,00</v>
          </cell>
          <cell r="E30">
            <v>6997.1580000000004</v>
          </cell>
          <cell r="F30">
            <v>7109.8122438</v>
          </cell>
          <cell r="G30">
            <v>5974.6321376470587</v>
          </cell>
          <cell r="H30"/>
          <cell r="I30" t="str">
            <v>14.280,00</v>
          </cell>
        </row>
        <row r="31">
          <cell r="A31" t="str">
            <v>ADAPTADOR HEMBRA COBRE TIPO K PRESIÓN  DE 1/2"</v>
          </cell>
          <cell r="B31" t="str">
            <v>5,00</v>
          </cell>
          <cell r="C31" t="str">
            <v>UN</v>
          </cell>
          <cell r="D31" t="str">
            <v>5.440,00</v>
          </cell>
          <cell r="E31">
            <v>5646.72</v>
          </cell>
          <cell r="F31">
            <v>5737.632192</v>
          </cell>
          <cell r="G31">
            <v>4821.5396571428573</v>
          </cell>
          <cell r="H31"/>
          <cell r="I31" t="str">
            <v>15.945,00</v>
          </cell>
        </row>
        <row r="32">
          <cell r="A32" t="str">
            <v>ADAPTADOR HEMBRA COBRE TIPO K PRESIÓN DE 1”</v>
          </cell>
          <cell r="B32" t="str">
            <v>2,00</v>
          </cell>
          <cell r="C32" t="str">
            <v>UN</v>
          </cell>
          <cell r="D32" t="str">
            <v>12.240,00</v>
          </cell>
          <cell r="E32">
            <v>12705.12</v>
          </cell>
          <cell r="F32">
            <v>12909.672432000001</v>
          </cell>
          <cell r="G32">
            <v>10848.464228571429</v>
          </cell>
          <cell r="H32"/>
          <cell r="I32" t="str">
            <v>24.105,00</v>
          </cell>
        </row>
        <row r="33">
          <cell r="A33" t="str">
            <v>ADAPTADOR HEMBRA COBRE TIPO K PRESIÓN DE 11/2”</v>
          </cell>
          <cell r="B33" t="str">
            <v>2,00</v>
          </cell>
          <cell r="C33" t="str">
            <v>UN</v>
          </cell>
          <cell r="D33" t="str">
            <v>31.620,00</v>
          </cell>
          <cell r="E33">
            <v>32821.56</v>
          </cell>
          <cell r="F33">
            <v>33349.987115999997</v>
          </cell>
          <cell r="G33">
            <v>28025.199257142853</v>
          </cell>
          <cell r="H33"/>
          <cell r="I33" t="str">
            <v>32.265,00</v>
          </cell>
        </row>
        <row r="34">
          <cell r="A34" t="str">
            <v>ADAPTADOR HEMBRA COBRE TIPO K PRESIÓN DE 2”</v>
          </cell>
          <cell r="B34" t="str">
            <v>2,00</v>
          </cell>
          <cell r="C34" t="str">
            <v>UN</v>
          </cell>
          <cell r="D34" t="str">
            <v>41.055,00</v>
          </cell>
          <cell r="E34">
            <v>42615.09</v>
          </cell>
          <cell r="F34">
            <v>43301.192948999997</v>
          </cell>
          <cell r="G34">
            <v>36387.557099999998</v>
          </cell>
          <cell r="H34"/>
          <cell r="I34" t="str">
            <v>50.280,00</v>
          </cell>
        </row>
        <row r="35">
          <cell r="A35" t="str">
            <v>ADAPTADOR HEMBRA COBRE TIPO K PRESIÓN DE 3/4"</v>
          </cell>
          <cell r="B35" t="str">
            <v>2,00</v>
          </cell>
          <cell r="C35" t="str">
            <v>UN</v>
          </cell>
          <cell r="D35" t="str">
            <v>8.160,00</v>
          </cell>
          <cell r="E35">
            <v>8470.08</v>
          </cell>
          <cell r="F35">
            <v>8606.4482879999996</v>
          </cell>
          <cell r="G35">
            <v>7232.309485714286</v>
          </cell>
          <cell r="H35"/>
          <cell r="I35" t="str">
            <v>262.100,00</v>
          </cell>
        </row>
        <row r="36">
          <cell r="A36" t="str">
            <v>ADAPTADOR MACHO COBRE TIPO K DE 3/4"</v>
          </cell>
          <cell r="B36" t="str">
            <v>2,00</v>
          </cell>
          <cell r="C36" t="str">
            <v>UN</v>
          </cell>
          <cell r="D36" t="str">
            <v>7.310,00</v>
          </cell>
          <cell r="E36">
            <v>7587.78</v>
          </cell>
          <cell r="F36">
            <v>7709.9432579999993</v>
          </cell>
          <cell r="G36">
            <v>6478.9439142857145</v>
          </cell>
          <cell r="H36"/>
          <cell r="I36" t="str">
            <v>22.610,00</v>
          </cell>
        </row>
        <row r="37">
          <cell r="A37" t="str">
            <v>ADAPTADOR MACHO COBRE TIPO K PRESIÓN  DE 1/2"</v>
          </cell>
          <cell r="B37" t="str">
            <v>2,00</v>
          </cell>
          <cell r="C37" t="str">
            <v>UN</v>
          </cell>
          <cell r="D37" t="str">
            <v>4.760,00</v>
          </cell>
          <cell r="E37">
            <v>4940.88</v>
          </cell>
          <cell r="F37">
            <v>5020.4281680000004</v>
          </cell>
          <cell r="G37">
            <v>4218.8472000000002</v>
          </cell>
          <cell r="H37"/>
          <cell r="I37" t="str">
            <v>50.280,00</v>
          </cell>
        </row>
        <row r="38">
          <cell r="A38" t="str">
            <v>ADAPTADOR MACHO COBRE TIPO K PRESIÓN DE 1”</v>
          </cell>
          <cell r="B38" t="str">
            <v>2,00</v>
          </cell>
          <cell r="C38" t="str">
            <v>UN</v>
          </cell>
          <cell r="D38" t="str">
            <v>10.540,00</v>
          </cell>
          <cell r="E38">
            <v>10940.52</v>
          </cell>
          <cell r="F38">
            <v>11116.662372000001</v>
          </cell>
          <cell r="G38">
            <v>9341.7330857142861</v>
          </cell>
          <cell r="H38"/>
          <cell r="I38" t="str">
            <v>159.965,00</v>
          </cell>
        </row>
        <row r="39">
          <cell r="A39" t="str">
            <v>ADAPTADOR MACHO COBRE TIPO K PRESIÓN DE 11/2”</v>
          </cell>
          <cell r="B39" t="str">
            <v>2,00</v>
          </cell>
          <cell r="C39" t="str">
            <v>UN</v>
          </cell>
          <cell r="D39" t="str">
            <v>27.846,00</v>
          </cell>
          <cell r="E39">
            <v>28904.148000000001</v>
          </cell>
          <cell r="F39">
            <v>29369.504782800002</v>
          </cell>
          <cell r="G39">
            <v>24680.256120000002</v>
          </cell>
          <cell r="H39"/>
          <cell r="I39" t="str">
            <v>7.480,00</v>
          </cell>
        </row>
        <row r="40">
          <cell r="A40" t="str">
            <v>ADAPTADOR MACHO COBRE TIPO K PRESIÓN DE 2”</v>
          </cell>
          <cell r="B40" t="str">
            <v>5,00</v>
          </cell>
          <cell r="C40" t="str">
            <v>UN</v>
          </cell>
          <cell r="D40" t="str">
            <v>53.950,00</v>
          </cell>
          <cell r="E40">
            <v>56000.1</v>
          </cell>
          <cell r="F40">
            <v>56901.701609999996</v>
          </cell>
          <cell r="G40">
            <v>47816.55597478991</v>
          </cell>
          <cell r="H40"/>
          <cell r="I40" t="str">
            <v>52.965,00</v>
          </cell>
        </row>
        <row r="41">
          <cell r="A41" t="str">
            <v>ADAPTADOR MACHO COBRE TIPO K PRESIONA DE 11/4”</v>
          </cell>
          <cell r="B41" t="str">
            <v>2,00</v>
          </cell>
          <cell r="C41" t="str">
            <v>UN</v>
          </cell>
          <cell r="D41" t="str">
            <v>21.216,00</v>
          </cell>
          <cell r="E41">
            <v>22022.207999999999</v>
          </cell>
          <cell r="F41">
            <v>22376.765548799998</v>
          </cell>
          <cell r="G41">
            <v>18804.00466285714</v>
          </cell>
          <cell r="H41"/>
          <cell r="I41" t="str">
            <v>4.420,00</v>
          </cell>
        </row>
        <row r="42">
          <cell r="A42" t="str">
            <v>ADAPTADOR SEMICODO  COBRE TIPO K DE 1½”</v>
          </cell>
          <cell r="B42" t="str">
            <v>2,00</v>
          </cell>
          <cell r="C42" t="str">
            <v>UN</v>
          </cell>
          <cell r="D42" t="str">
            <v>23.885,00</v>
          </cell>
          <cell r="E42">
            <v>24792.63</v>
          </cell>
          <cell r="F42">
            <v>25191.791343000001</v>
          </cell>
          <cell r="G42">
            <v>21169.572557142856</v>
          </cell>
          <cell r="H42"/>
          <cell r="I42" t="str">
            <v>7.480,00</v>
          </cell>
        </row>
        <row r="43">
          <cell r="A43" t="str">
            <v>ADAPTADOR SEMICODO  COBRE TIPO K DE 2”</v>
          </cell>
          <cell r="B43" t="str">
            <v>2,00</v>
          </cell>
          <cell r="C43" t="str">
            <v>UN</v>
          </cell>
          <cell r="D43" t="str">
            <v>30.940,00</v>
          </cell>
          <cell r="E43">
            <v>32115.72</v>
          </cell>
          <cell r="F43">
            <v>32632.783092000001</v>
          </cell>
          <cell r="G43">
            <v>27422.506799999999</v>
          </cell>
          <cell r="H43"/>
          <cell r="I43" t="str">
            <v>37.060,00</v>
          </cell>
        </row>
        <row r="44">
          <cell r="A44" t="str">
            <v>ADAPTADOR SEMICODO COBRE TIPO K DE 1</v>
          </cell>
          <cell r="B44" t="str">
            <v>2,00</v>
          </cell>
          <cell r="C44" t="str">
            <v>UN</v>
          </cell>
          <cell r="D44" t="str">
            <v>8.160,00</v>
          </cell>
          <cell r="E44">
            <v>8470.08</v>
          </cell>
          <cell r="F44">
            <v>8606.4482879999996</v>
          </cell>
          <cell r="G44">
            <v>7232.309485714286</v>
          </cell>
          <cell r="H44"/>
          <cell r="I44" t="str">
            <v>4.420,00</v>
          </cell>
        </row>
        <row r="45">
          <cell r="A45" t="str">
            <v>ADAPTADOR SEMICODO COBRE TIPO K DE 1/2"</v>
          </cell>
          <cell r="B45" t="str">
            <v>2,00</v>
          </cell>
          <cell r="C45" t="str">
            <v>UN</v>
          </cell>
          <cell r="D45" t="str">
            <v>2.380,00</v>
          </cell>
          <cell r="E45">
            <v>2470.44</v>
          </cell>
          <cell r="F45">
            <v>2510.2140840000002</v>
          </cell>
          <cell r="G45">
            <v>2109.4236000000001</v>
          </cell>
          <cell r="H45"/>
          <cell r="I45" t="str">
            <v>7.480,00</v>
          </cell>
        </row>
        <row r="46">
          <cell r="A46" t="str">
            <v>ADAPTADOR SEMICODO COBRE TIPO K DE 11/4”</v>
          </cell>
          <cell r="B46" t="str">
            <v>2,00</v>
          </cell>
          <cell r="C46" t="str">
            <v>UN</v>
          </cell>
          <cell r="D46" t="str">
            <v>21.454,00</v>
          </cell>
          <cell r="E46">
            <v>22269.252</v>
          </cell>
          <cell r="F46">
            <v>22627.786957200002</v>
          </cell>
          <cell r="G46">
            <v>19014.947022857144</v>
          </cell>
          <cell r="H46"/>
          <cell r="I46" t="str">
            <v>36.210,00</v>
          </cell>
        </row>
        <row r="47">
          <cell r="A47" t="str">
            <v>ADAPTADOR SEMICODO COBRE TIPO K DE 3/4"</v>
          </cell>
          <cell r="B47" t="str">
            <v>2,00</v>
          </cell>
          <cell r="C47" t="str">
            <v>UN</v>
          </cell>
          <cell r="D47" t="str">
            <v>4.080,00</v>
          </cell>
          <cell r="E47">
            <v>4235.04</v>
          </cell>
          <cell r="F47">
            <v>4303.2241439999998</v>
          </cell>
          <cell r="G47">
            <v>3616.154742857143</v>
          </cell>
          <cell r="H47"/>
          <cell r="I47" t="str">
            <v>7.140,00</v>
          </cell>
        </row>
        <row r="48">
          <cell r="A48" t="str">
            <v>ADAPTADOR SEMICODO COBRE TIPO K PRESIÓN DE 1</v>
          </cell>
          <cell r="B48" t="str">
            <v>2,00</v>
          </cell>
          <cell r="C48" t="str">
            <v>UN</v>
          </cell>
          <cell r="D48" t="str">
            <v>14.620,00</v>
          </cell>
          <cell r="E48">
            <v>15175.56</v>
          </cell>
          <cell r="F48">
            <v>15419.886515999999</v>
          </cell>
          <cell r="G48">
            <v>12957.887828571429</v>
          </cell>
          <cell r="H48"/>
          <cell r="I48" t="str">
            <v>7.140,00</v>
          </cell>
        </row>
        <row r="49">
          <cell r="A49" t="str">
            <v>ADAPTADOR SEMICODO COBRE TIPO K PRESIÓN DE 1½”</v>
          </cell>
          <cell r="B49" t="str">
            <v>2,00</v>
          </cell>
          <cell r="C49" t="str">
            <v>UN</v>
          </cell>
          <cell r="D49" t="str">
            <v>37.400,00</v>
          </cell>
          <cell r="E49">
            <v>38821.199999999997</v>
          </cell>
          <cell r="F49">
            <v>39446.221319999997</v>
          </cell>
          <cell r="G49">
            <v>33148.08514285714</v>
          </cell>
          <cell r="H49"/>
          <cell r="I49" t="str">
            <v>18.360,00</v>
          </cell>
        </row>
        <row r="50">
          <cell r="A50" t="str">
            <v>ADAPTADOR SEMICODO PVC SANITARIO DE 1</v>
          </cell>
          <cell r="B50" t="str">
            <v>3,00</v>
          </cell>
          <cell r="C50" t="str">
            <v>UN</v>
          </cell>
          <cell r="D50" t="str">
            <v>1.819,00</v>
          </cell>
          <cell r="E50">
            <v>1888.1220000000001</v>
          </cell>
          <cell r="F50">
            <v>1918.5207642</v>
          </cell>
          <cell r="G50">
            <v>1612.2023228571429</v>
          </cell>
          <cell r="H50"/>
          <cell r="I50" t="str">
            <v>7.140,00</v>
          </cell>
        </row>
        <row r="51">
          <cell r="A51" t="str">
            <v>ADAPTADOR SEMICODO PVC SANITARIO DE 1½”</v>
          </cell>
          <cell r="B51" t="str">
            <v>3,00</v>
          </cell>
          <cell r="C51" t="str">
            <v>UN</v>
          </cell>
          <cell r="D51" t="str">
            <v>1.819,00</v>
          </cell>
          <cell r="E51">
            <v>1888.1220000000001</v>
          </cell>
          <cell r="F51">
            <v>1918.5207642</v>
          </cell>
          <cell r="G51">
            <v>1612.2023228571429</v>
          </cell>
          <cell r="H51"/>
          <cell r="I51" t="str">
            <v>7.140,00</v>
          </cell>
        </row>
        <row r="52">
          <cell r="A52" t="str">
            <v>ADAPTADOR SEMICODO PVC SANITARIO DE 2”</v>
          </cell>
          <cell r="B52" t="str">
            <v>3,00</v>
          </cell>
          <cell r="C52" t="str">
            <v>UN</v>
          </cell>
          <cell r="D52" t="str">
            <v>2.568,00</v>
          </cell>
          <cell r="E52">
            <v>2665.5839999999998</v>
          </cell>
          <cell r="F52">
            <v>2708.4999023999999</v>
          </cell>
          <cell r="G52">
            <v>2276.0503381512608</v>
          </cell>
          <cell r="H52"/>
          <cell r="I52" t="str">
            <v>18.360,00</v>
          </cell>
        </row>
        <row r="53">
          <cell r="A53" t="str">
            <v>ADAPTADOR SEMICODO PVC SANITARIO DE 3”</v>
          </cell>
          <cell r="B53" t="str">
            <v>3,00</v>
          </cell>
          <cell r="C53" t="str">
            <v>UN</v>
          </cell>
          <cell r="D53" t="str">
            <v>5.671,00</v>
          </cell>
          <cell r="E53">
            <v>5886.4979999999996</v>
          </cell>
          <cell r="F53">
            <v>5981.2706177999999</v>
          </cell>
          <cell r="G53">
            <v>5026.2778300840337</v>
          </cell>
          <cell r="H53"/>
          <cell r="I53" t="str">
            <v>22.440,00</v>
          </cell>
        </row>
        <row r="54">
          <cell r="A54" t="str">
            <v>ADAPTADOR SEMICODO PVC SANITARIO DE 4</v>
          </cell>
          <cell r="B54" t="str">
            <v>3,00</v>
          </cell>
          <cell r="C54" t="str">
            <v>UN</v>
          </cell>
          <cell r="D54" t="str">
            <v>9.309,00</v>
          </cell>
          <cell r="E54">
            <v>9662.7420000000002</v>
          </cell>
          <cell r="F54">
            <v>9818.3121461999999</v>
          </cell>
          <cell r="G54">
            <v>8250.6824757983195</v>
          </cell>
          <cell r="H54"/>
          <cell r="I54" t="str">
            <v>5.100,00</v>
          </cell>
        </row>
        <row r="55">
          <cell r="A55" t="str">
            <v>ADAPTADOR UNIÓN "T" PVC SANITARIO  DE 4" A 1 1/2"</v>
          </cell>
          <cell r="B55" t="str">
            <v>3,00</v>
          </cell>
          <cell r="C55" t="str">
            <v>UN</v>
          </cell>
          <cell r="D55" t="str">
            <v>21.903,00</v>
          </cell>
          <cell r="E55">
            <v>22735.313999999998</v>
          </cell>
          <cell r="F55">
            <v>23101.352555399997</v>
          </cell>
          <cell r="G55">
            <v>19412.901307058823</v>
          </cell>
          <cell r="H55"/>
          <cell r="I55" t="str">
            <v>11.770,00</v>
          </cell>
        </row>
        <row r="56">
          <cell r="A56" t="str">
            <v>ADAPTADOR UNIÓN "T" PVC SANITARIO  DE 4" A 2"</v>
          </cell>
          <cell r="B56" t="str">
            <v>3,00</v>
          </cell>
          <cell r="C56" t="str">
            <v>UN</v>
          </cell>
          <cell r="D56" t="str">
            <v>17.120,00</v>
          </cell>
          <cell r="E56">
            <v>17770.560000000001</v>
          </cell>
          <cell r="F56">
            <v>18056.666016000003</v>
          </cell>
          <cell r="G56">
            <v>15173.668921008404</v>
          </cell>
          <cell r="H56"/>
          <cell r="I56" t="str">
            <v>3.740,00</v>
          </cell>
        </row>
        <row r="57">
          <cell r="A57" t="str">
            <v>ADAPTADOR UNIÓN "T" PVC SANITARIO  DE 4" A 3"</v>
          </cell>
          <cell r="B57" t="str">
            <v>3,00</v>
          </cell>
          <cell r="C57" t="str">
            <v>UN</v>
          </cell>
          <cell r="D57" t="str">
            <v>17.120,00</v>
          </cell>
          <cell r="E57">
            <v>17770.560000000001</v>
          </cell>
          <cell r="F57">
            <v>18056.666016000003</v>
          </cell>
          <cell r="G57">
            <v>15173.668921008404</v>
          </cell>
          <cell r="H57"/>
          <cell r="I57" t="str">
            <v>5.100,00</v>
          </cell>
        </row>
        <row r="58">
          <cell r="A58" t="str">
            <v>ADAPTADOR UNIÓN "T" PVC SANITARIO DE 1</v>
          </cell>
          <cell r="B58" t="str">
            <v>3,00</v>
          </cell>
          <cell r="C58" t="str">
            <v>UN</v>
          </cell>
          <cell r="D58" t="str">
            <v>3.157,00</v>
          </cell>
          <cell r="E58">
            <v>3276.9659999999999</v>
          </cell>
          <cell r="F58">
            <v>3329.7251526</v>
          </cell>
          <cell r="G58">
            <v>2798.0883635294117</v>
          </cell>
          <cell r="H58"/>
          <cell r="I58" t="str">
            <v>10.540,00</v>
          </cell>
        </row>
        <row r="59">
          <cell r="A59" t="str">
            <v>ADAPTADOR UNIÓN "T" PVC SANITARIO DE 1½”</v>
          </cell>
          <cell r="B59" t="str">
            <v>3,00</v>
          </cell>
          <cell r="C59" t="str">
            <v>UN</v>
          </cell>
          <cell r="D59" t="str">
            <v>3.157,00</v>
          </cell>
          <cell r="E59">
            <v>3276.9659999999999</v>
          </cell>
          <cell r="F59">
            <v>3329.7251526</v>
          </cell>
          <cell r="G59">
            <v>2798.0883635294117</v>
          </cell>
          <cell r="H59"/>
          <cell r="I59" t="str">
            <v>4.760,00</v>
          </cell>
        </row>
        <row r="60">
          <cell r="A60" t="str">
            <v>ADAPTADOR UNIÓN "T" PVC SANITARIO DE 2”</v>
          </cell>
          <cell r="B60" t="str">
            <v>3,00</v>
          </cell>
          <cell r="C60" t="str">
            <v>UN</v>
          </cell>
          <cell r="D60" t="str">
            <v>4.816,00</v>
          </cell>
          <cell r="E60">
            <v>4999.0079999999998</v>
          </cell>
          <cell r="F60">
            <v>5079.4920287999994</v>
          </cell>
          <cell r="G60">
            <v>4268.4806964705876</v>
          </cell>
          <cell r="H60"/>
          <cell r="I60" t="str">
            <v>4.760,00</v>
          </cell>
        </row>
        <row r="61">
          <cell r="A61" t="str">
            <v>ADAPTADOR UNIÓN "T" PVC SANITARIO DE 3”</v>
          </cell>
          <cell r="B61" t="str">
            <v>3,00</v>
          </cell>
          <cell r="C61" t="str">
            <v>UN</v>
          </cell>
          <cell r="D61" t="str">
            <v>5.671,00</v>
          </cell>
          <cell r="E61">
            <v>5886.4979999999996</v>
          </cell>
          <cell r="F61">
            <v>5981.2706177999999</v>
          </cell>
          <cell r="G61">
            <v>5026.2778300840337</v>
          </cell>
          <cell r="H61"/>
          <cell r="I61" t="str">
            <v>6.460,00</v>
          </cell>
        </row>
        <row r="62">
          <cell r="A62" t="str">
            <v>ADAPTADOR UNIÓN "T" PVC SANITARIO DE 4"</v>
          </cell>
          <cell r="B62" t="str">
            <v>3,00</v>
          </cell>
          <cell r="C62" t="str">
            <v>UN</v>
          </cell>
          <cell r="D62" t="str">
            <v>12.505,00</v>
          </cell>
          <cell r="E62">
            <v>12980.19</v>
          </cell>
          <cell r="F62">
            <v>13189.171059</v>
          </cell>
          <cell r="G62">
            <v>11083.337024369748</v>
          </cell>
          <cell r="H62"/>
          <cell r="I62" t="str">
            <v>4.760,00</v>
          </cell>
        </row>
        <row r="63">
          <cell r="A63" t="str">
            <v>ADAPTADOR UNIÓN "Y" PVC SANITARIO DE 1</v>
          </cell>
          <cell r="B63" t="str">
            <v>3,00</v>
          </cell>
          <cell r="C63" t="str">
            <v>UN</v>
          </cell>
          <cell r="D63" t="str">
            <v>3.531,00</v>
          </cell>
          <cell r="E63">
            <v>3665.1779999999999</v>
          </cell>
          <cell r="F63">
            <v>3724.1873658</v>
          </cell>
          <cell r="G63">
            <v>3129.5692149579831</v>
          </cell>
          <cell r="H63"/>
          <cell r="I63" t="str">
            <v>4.760,00</v>
          </cell>
        </row>
        <row r="64">
          <cell r="A64" t="str">
            <v>ADAPTADOR UNIÓN "Y" PVC SANITARIO DE 1½”</v>
          </cell>
          <cell r="B64" t="str">
            <v>3,00</v>
          </cell>
          <cell r="C64" t="str">
            <v>UN</v>
          </cell>
          <cell r="D64" t="str">
            <v>3.531,00</v>
          </cell>
          <cell r="E64">
            <v>3665.1779999999999</v>
          </cell>
          <cell r="F64">
            <v>3724.1873658</v>
          </cell>
          <cell r="G64">
            <v>3129.5692149579831</v>
          </cell>
          <cell r="H64"/>
          <cell r="I64" t="str">
            <v>6.460,00</v>
          </cell>
        </row>
        <row r="65">
          <cell r="A65" t="str">
            <v>ADAPTADOR UNIÓN "Y" PVC SANITARIO DE 2”</v>
          </cell>
          <cell r="B65" t="str">
            <v>3,00</v>
          </cell>
          <cell r="C65" t="str">
            <v>UN</v>
          </cell>
          <cell r="D65" t="str">
            <v>3.531,00</v>
          </cell>
          <cell r="E65">
            <v>3665.1779999999999</v>
          </cell>
          <cell r="F65">
            <v>3724.1873658</v>
          </cell>
          <cell r="G65">
            <v>3129.5692149579831</v>
          </cell>
          <cell r="H65"/>
          <cell r="I65" t="str">
            <v>10.540,00</v>
          </cell>
        </row>
        <row r="66">
          <cell r="A66" t="str">
            <v>ADAPTADOR UNIÓN "Y" PVC SANITARIO DE 3" A 2"</v>
          </cell>
          <cell r="B66" t="str">
            <v>3,00</v>
          </cell>
          <cell r="C66" t="str">
            <v>UN</v>
          </cell>
          <cell r="D66" t="str">
            <v>10.508,00</v>
          </cell>
          <cell r="E66">
            <v>10907.304</v>
          </cell>
          <cell r="F66">
            <v>11082.9115944</v>
          </cell>
          <cell r="G66">
            <v>9313.3710877310932</v>
          </cell>
          <cell r="H66"/>
          <cell r="I66" t="str">
            <v>5.100,00</v>
          </cell>
        </row>
        <row r="67">
          <cell r="A67" t="str">
            <v>ADAPTADOR UNIÓN "Y" PVC SANITARIO DE 3”</v>
          </cell>
          <cell r="B67" t="str">
            <v>3,00</v>
          </cell>
          <cell r="C67" t="str">
            <v>UN</v>
          </cell>
          <cell r="D67" t="str">
            <v>7.490,00</v>
          </cell>
          <cell r="E67">
            <v>7774.62</v>
          </cell>
          <cell r="F67">
            <v>7899.7913820000003</v>
          </cell>
          <cell r="G67">
            <v>6638.480152941177</v>
          </cell>
          <cell r="H67"/>
          <cell r="I67" t="str">
            <v>3.740,00</v>
          </cell>
        </row>
        <row r="68">
          <cell r="A68" t="str">
            <v>ADAPTADOR UNIÓN "Y" PVC SANITARIO DE 4</v>
          </cell>
          <cell r="B68" t="str">
            <v>3,00</v>
          </cell>
          <cell r="C68" t="str">
            <v>UN</v>
          </cell>
          <cell r="D68" t="str">
            <v>13.803,00</v>
          </cell>
          <cell r="E68">
            <v>14327.513999999999</v>
          </cell>
          <cell r="F68">
            <v>14558.1869754</v>
          </cell>
          <cell r="G68">
            <v>12233.770567563026</v>
          </cell>
          <cell r="H68"/>
          <cell r="I68" t="str">
            <v>5.100,00</v>
          </cell>
        </row>
        <row r="69">
          <cell r="A69" t="str">
            <v>ADAPTADOR UNIÓN "Y" PVC SANITARIO DE 4" A 2"</v>
          </cell>
          <cell r="B69" t="str">
            <v>3,00</v>
          </cell>
          <cell r="C69" t="str">
            <v>UN</v>
          </cell>
          <cell r="D69" t="str">
            <v>16.466,00</v>
          </cell>
          <cell r="E69">
            <v>17091.707999999999</v>
          </cell>
          <cell r="F69">
            <v>17366.884498799998</v>
          </cell>
          <cell r="G69">
            <v>14594.020587226889</v>
          </cell>
          <cell r="H69"/>
          <cell r="I69" t="str">
            <v>10.540,00</v>
          </cell>
        </row>
        <row r="70">
          <cell r="A70" t="str">
            <v>ADAPTADOR UNIÓN "Y" PVC SANITARIO DE 4" A 3"</v>
          </cell>
          <cell r="B70" t="str">
            <v>3,00</v>
          </cell>
          <cell r="C70" t="str">
            <v>UN</v>
          </cell>
          <cell r="D70" t="str">
            <v>16.157,00</v>
          </cell>
          <cell r="E70">
            <v>16770.966</v>
          </cell>
          <cell r="F70">
            <v>17040.978552600001</v>
          </cell>
          <cell r="G70">
            <v>14320.150044201682</v>
          </cell>
          <cell r="H70"/>
          <cell r="I70" t="str">
            <v>107.000,00</v>
          </cell>
        </row>
        <row r="71">
          <cell r="A71" t="str">
            <v>ADAPTADOR UNION COBRE TIPO K PRESION  DE 1/2"</v>
          </cell>
          <cell r="B71" t="str">
            <v>10,00</v>
          </cell>
          <cell r="C71" t="str">
            <v>UN</v>
          </cell>
          <cell r="D71" t="str">
            <v>1.105,00</v>
          </cell>
          <cell r="E71">
            <v>1146.99</v>
          </cell>
          <cell r="F71">
            <v>1165.456539</v>
          </cell>
          <cell r="G71">
            <v>979.37524285714289</v>
          </cell>
          <cell r="H71"/>
          <cell r="I71" t="str">
            <v>166.706,00</v>
          </cell>
        </row>
        <row r="72">
          <cell r="A72" t="str">
            <v>ADAPTADOR UNIÓN COBRE TIPO K PRESION 11/2”</v>
          </cell>
          <cell r="B72" t="str">
            <v>3,00</v>
          </cell>
          <cell r="C72" t="str">
            <v>UN</v>
          </cell>
          <cell r="D72" t="str">
            <v>16.660,00</v>
          </cell>
          <cell r="E72">
            <v>17293.080000000002</v>
          </cell>
          <cell r="F72">
            <v>17571.498588000002</v>
          </cell>
          <cell r="G72">
            <v>14765.965200000002</v>
          </cell>
          <cell r="H72"/>
          <cell r="I72" t="str">
            <v>166.706,00</v>
          </cell>
        </row>
        <row r="73">
          <cell r="A73" t="str">
            <v>ADAPTADOR UNIÓN COBRE TIPO K PRESION 2”</v>
          </cell>
          <cell r="B73" t="str">
            <v>3,00</v>
          </cell>
          <cell r="C73" t="str">
            <v>UN</v>
          </cell>
          <cell r="D73" t="str">
            <v>37.060,00</v>
          </cell>
          <cell r="E73">
            <v>38468.28</v>
          </cell>
          <cell r="F73">
            <v>39087.619308000001</v>
          </cell>
          <cell r="G73">
            <v>32846.738914285714</v>
          </cell>
          <cell r="H73"/>
          <cell r="I73" t="str">
            <v>222.346,00</v>
          </cell>
        </row>
        <row r="74">
          <cell r="A74" t="str">
            <v>ADAPTADOR UNIÓN COBRE TIPO K PRESION DE 1”</v>
          </cell>
          <cell r="B74" t="str">
            <v>15,00</v>
          </cell>
          <cell r="C74" t="str">
            <v>UN</v>
          </cell>
          <cell r="D74" t="str">
            <v>8.160,00</v>
          </cell>
          <cell r="E74">
            <v>8470.08</v>
          </cell>
          <cell r="F74">
            <v>8606.4482879999996</v>
          </cell>
          <cell r="G74">
            <v>7232.309485714286</v>
          </cell>
          <cell r="H74"/>
          <cell r="I74" t="str">
            <v>222.346,00</v>
          </cell>
        </row>
        <row r="75">
          <cell r="A75" t="str">
            <v>ADAPTADOR UNIÓN COBRE TIPO K PRESIÓN DE 3/4"</v>
          </cell>
          <cell r="B75" t="str">
            <v>15,00</v>
          </cell>
          <cell r="C75" t="str">
            <v>UN</v>
          </cell>
          <cell r="D75" t="str">
            <v>3.060,00</v>
          </cell>
          <cell r="E75">
            <v>3176.28</v>
          </cell>
          <cell r="F75">
            <v>3227.4181080000003</v>
          </cell>
          <cell r="G75">
            <v>2712.1160571428572</v>
          </cell>
          <cell r="H75"/>
          <cell r="I75" t="str">
            <v>49.220,00</v>
          </cell>
        </row>
        <row r="76">
          <cell r="A76" t="str">
            <v>ADAPTADOR UNIÓN PVC SANITARIO DE 1½”</v>
          </cell>
          <cell r="B76" t="str">
            <v>3,00</v>
          </cell>
          <cell r="C76" t="str">
            <v>UN</v>
          </cell>
          <cell r="D76" t="str">
            <v>1.664,00</v>
          </cell>
          <cell r="E76">
            <v>1727.232</v>
          </cell>
          <cell r="F76">
            <v>1755.0404352</v>
          </cell>
          <cell r="G76">
            <v>1474.8238951260505</v>
          </cell>
          <cell r="H76"/>
          <cell r="I76" t="str">
            <v>49.220,00</v>
          </cell>
        </row>
        <row r="77">
          <cell r="A77" t="str">
            <v>ADAPTADOR UNIÓN PVC SANITARIO DE 2”</v>
          </cell>
          <cell r="B77" t="str">
            <v>3,00</v>
          </cell>
          <cell r="C77" t="str">
            <v>UN</v>
          </cell>
          <cell r="D77" t="str">
            <v>1.070,00</v>
          </cell>
          <cell r="E77">
            <v>1110.6600000000001</v>
          </cell>
          <cell r="F77">
            <v>1128.5416260000002</v>
          </cell>
          <cell r="G77">
            <v>948.35430756302526</v>
          </cell>
          <cell r="H77"/>
          <cell r="I77" t="str">
            <v>49.220,00</v>
          </cell>
        </row>
        <row r="78">
          <cell r="A78" t="str">
            <v>ADAPTADOR UNIÓN PVC SANITARIO DE 3”</v>
          </cell>
          <cell r="B78" t="str">
            <v>3,00</v>
          </cell>
          <cell r="C78" t="str">
            <v>UN</v>
          </cell>
          <cell r="D78" t="str">
            <v>1.830,00</v>
          </cell>
          <cell r="E78">
            <v>1899.54</v>
          </cell>
          <cell r="F78">
            <v>1930.1225939999999</v>
          </cell>
          <cell r="G78">
            <v>1621.9517596638655</v>
          </cell>
          <cell r="H78"/>
          <cell r="I78" t="str">
            <v>71.095,00</v>
          </cell>
        </row>
        <row r="79">
          <cell r="A79" t="str">
            <v>ADAPTADOR UNIÓN PVC SANITARIO DE 4"</v>
          </cell>
          <cell r="B79" t="str">
            <v>3,00</v>
          </cell>
          <cell r="C79" t="str">
            <v>UN</v>
          </cell>
          <cell r="D79" t="str">
            <v>3.959,00</v>
          </cell>
          <cell r="E79">
            <v>4109.442</v>
          </cell>
          <cell r="F79">
            <v>4175.6040161999999</v>
          </cell>
          <cell r="G79">
            <v>3508.9109379831934</v>
          </cell>
          <cell r="H79"/>
          <cell r="I79" t="str">
            <v>138.550,00</v>
          </cell>
        </row>
        <row r="80">
          <cell r="A80" t="str">
            <v>ADOQUÍN</v>
          </cell>
          <cell r="B80" t="str">
            <v>400,00</v>
          </cell>
          <cell r="C80" t="str">
            <v>UN</v>
          </cell>
          <cell r="D80" t="str">
            <v>884,00</v>
          </cell>
          <cell r="E80">
            <v>917.59199999999998</v>
          </cell>
          <cell r="F80">
            <v>932.36523120000004</v>
          </cell>
          <cell r="G80">
            <v>783.50019428571431</v>
          </cell>
          <cell r="H80"/>
          <cell r="I80" t="str">
            <v>1.632.000,00</v>
          </cell>
        </row>
        <row r="81">
          <cell r="A81" t="str">
            <v>AJUSTE CABLE DE ACERO 3/4"</v>
          </cell>
          <cell r="B81" t="str">
            <v>2,00</v>
          </cell>
          <cell r="C81" t="str">
            <v>UN</v>
          </cell>
          <cell r="D81" t="str">
            <v>13.940,00</v>
          </cell>
          <cell r="E81">
            <v>14469.72</v>
          </cell>
          <cell r="F81">
            <v>14702.682492</v>
          </cell>
          <cell r="G81">
            <v>12355.195371428572</v>
          </cell>
          <cell r="H81"/>
          <cell r="I81" t="str">
            <v>1.189.020,00</v>
          </cell>
        </row>
        <row r="82">
          <cell r="A82" t="str">
            <v>ALAMBRE CALIBRE N°08    (ROLLO 100 MTS )</v>
          </cell>
          <cell r="B82" t="str">
            <v>2,00</v>
          </cell>
          <cell r="C82" t="str">
            <v>ROL</v>
          </cell>
          <cell r="D82" t="str">
            <v>297.460,00</v>
          </cell>
          <cell r="E82">
            <v>308763.48</v>
          </cell>
          <cell r="F82">
            <v>313734.57202799997</v>
          </cell>
          <cell r="G82">
            <v>263642.49750252097</v>
          </cell>
          <cell r="H82"/>
          <cell r="I82" t="str">
            <v>509.580,00</v>
          </cell>
        </row>
        <row r="83">
          <cell r="A83" t="str">
            <v>ALAMBRE CALIBRE N°10    (ROLLO 100 MTS )</v>
          </cell>
          <cell r="B83" t="str">
            <v>1,00</v>
          </cell>
          <cell r="C83" t="str">
            <v>ROL</v>
          </cell>
          <cell r="D83" t="str">
            <v>175.480,00</v>
          </cell>
          <cell r="E83">
            <v>182148.24</v>
          </cell>
          <cell r="F83">
            <v>185080.82666399999</v>
          </cell>
          <cell r="G83">
            <v>155530.10644033615</v>
          </cell>
          <cell r="H83"/>
          <cell r="I83" t="str">
            <v>253.590,00</v>
          </cell>
        </row>
        <row r="84">
          <cell r="A84" t="str">
            <v>ALAMBRE DULCE</v>
          </cell>
          <cell r="B84" t="str">
            <v>10,00</v>
          </cell>
          <cell r="C84" t="str">
            <v>KG</v>
          </cell>
          <cell r="D84" t="str">
            <v>4.032,00</v>
          </cell>
          <cell r="E84">
            <v>4185.2160000000003</v>
          </cell>
          <cell r="F84">
            <v>4252.5979776000004</v>
          </cell>
          <cell r="G84">
            <v>3573.6117458823533</v>
          </cell>
          <cell r="H84"/>
          <cell r="I84" t="str">
            <v>461.310,00</v>
          </cell>
        </row>
        <row r="85">
          <cell r="A85" t="str">
            <v>ALAMBRE PUAS</v>
          </cell>
          <cell r="B85" t="str">
            <v>5,00</v>
          </cell>
          <cell r="C85" t="str">
            <v>ROL</v>
          </cell>
          <cell r="D85" t="str">
            <v>199.983,00</v>
          </cell>
          <cell r="E85">
            <v>207582.35399999999</v>
          </cell>
          <cell r="F85">
            <v>210924.42989939998</v>
          </cell>
          <cell r="G85">
            <v>177247.4200835294</v>
          </cell>
          <cell r="H85"/>
          <cell r="I85" t="str">
            <v>40.660,00</v>
          </cell>
        </row>
        <row r="86">
          <cell r="A86" t="str">
            <v>AMARRE PARA TEJA</v>
          </cell>
          <cell r="B86" t="str">
            <v>50,00</v>
          </cell>
          <cell r="C86" t="str">
            <v>UN</v>
          </cell>
          <cell r="D86" t="str">
            <v>143,00</v>
          </cell>
          <cell r="E86">
            <v>148.434</v>
          </cell>
          <cell r="F86">
            <v>150.82378739999999</v>
          </cell>
          <cell r="G86">
            <v>126.74267848739494</v>
          </cell>
          <cell r="H86"/>
          <cell r="I86" t="str">
            <v>39.590,00</v>
          </cell>
        </row>
        <row r="87">
          <cell r="A87" t="str">
            <v>ANGULO DE HIERRO 1"X 1/8"</v>
          </cell>
          <cell r="B87" t="str">
            <v>4,00</v>
          </cell>
          <cell r="C87" t="str">
            <v>UN</v>
          </cell>
          <cell r="D87" t="str">
            <v>73.100,00</v>
          </cell>
          <cell r="E87">
            <v>75877.8</v>
          </cell>
          <cell r="F87">
            <v>77099.432580000008</v>
          </cell>
          <cell r="G87">
            <v>64789.439142857147</v>
          </cell>
          <cell r="H87"/>
          <cell r="I87" t="str">
            <v>542.490,00</v>
          </cell>
        </row>
        <row r="88">
          <cell r="A88" t="str">
            <v>ANGULO EN ALUMINIO DE 1 1/2  X 6 METROS</v>
          </cell>
          <cell r="B88" t="str">
            <v>3,00</v>
          </cell>
          <cell r="C88" t="str">
            <v>UN</v>
          </cell>
          <cell r="D88" t="str">
            <v>141.143,00</v>
          </cell>
          <cell r="E88">
            <v>146506.43400000001</v>
          </cell>
          <cell r="F88">
            <v>148865.1875874</v>
          </cell>
          <cell r="G88">
            <v>125096.79629193278</v>
          </cell>
          <cell r="H88"/>
          <cell r="I88" t="str">
            <v>25.330,00</v>
          </cell>
        </row>
        <row r="89">
          <cell r="A89" t="str">
            <v>ANGULO EXTERNO, BLANCA, 10X10</v>
          </cell>
          <cell r="B89" t="str">
            <v>5,00</v>
          </cell>
          <cell r="C89" t="str">
            <v>UN</v>
          </cell>
          <cell r="D89" t="str">
            <v>884,00</v>
          </cell>
          <cell r="E89">
            <v>917.59199999999998</v>
          </cell>
          <cell r="F89">
            <v>932.36523120000004</v>
          </cell>
          <cell r="G89">
            <v>783.50019428571431</v>
          </cell>
          <cell r="H89"/>
          <cell r="I89" t="str">
            <v>178.575,00</v>
          </cell>
        </row>
        <row r="90">
          <cell r="A90" t="str">
            <v>ANGULO EXTERNO, BLANCA, 10X5</v>
          </cell>
          <cell r="B90" t="str">
            <v>5,00</v>
          </cell>
          <cell r="C90" t="str">
            <v>UN</v>
          </cell>
          <cell r="D90" t="str">
            <v>10.593,00</v>
          </cell>
          <cell r="E90">
            <v>10995.534</v>
          </cell>
          <cell r="F90">
            <v>11172.562097399999</v>
          </cell>
          <cell r="G90">
            <v>9388.7076448739481</v>
          </cell>
          <cell r="H90"/>
          <cell r="I90" t="str">
            <v>214.275,00</v>
          </cell>
        </row>
        <row r="91">
          <cell r="A91" t="str">
            <v>ANGULO EXTERNO, BLANCA, 20X20</v>
          </cell>
          <cell r="B91" t="str">
            <v>5,00</v>
          </cell>
          <cell r="C91" t="str">
            <v>UN</v>
          </cell>
          <cell r="D91" t="str">
            <v>1.496,00</v>
          </cell>
          <cell r="E91">
            <v>1552.848</v>
          </cell>
          <cell r="F91">
            <v>1577.8488528</v>
          </cell>
          <cell r="G91">
            <v>1325.9234057142858</v>
          </cell>
          <cell r="H91"/>
          <cell r="I91" t="str">
            <v>339.275,00</v>
          </cell>
        </row>
        <row r="92">
          <cell r="A92" t="str">
            <v>ANGULO EXTERNO, BLANCA, 2X2</v>
          </cell>
          <cell r="B92" t="str">
            <v>5,00</v>
          </cell>
          <cell r="C92" t="str">
            <v>UN</v>
          </cell>
          <cell r="D92" t="str">
            <v>1.496,00</v>
          </cell>
          <cell r="E92">
            <v>1552.848</v>
          </cell>
          <cell r="F92">
            <v>1577.8488528</v>
          </cell>
          <cell r="G92">
            <v>1325.9234057142858</v>
          </cell>
          <cell r="H92"/>
          <cell r="I92" t="str">
            <v>482.175,00</v>
          </cell>
        </row>
        <row r="93">
          <cell r="A93" t="str">
            <v>ANGULO EXTERNO, BLANCA, 60X40</v>
          </cell>
          <cell r="B93" t="str">
            <v>5,00</v>
          </cell>
          <cell r="C93" t="str">
            <v>UN</v>
          </cell>
          <cell r="D93" t="str">
            <v>7.412,00</v>
          </cell>
          <cell r="E93">
            <v>7693.6559999999999</v>
          </cell>
          <cell r="F93">
            <v>7817.5238615999997</v>
          </cell>
          <cell r="G93">
            <v>6569.3477828571431</v>
          </cell>
          <cell r="H93"/>
          <cell r="I93" t="str">
            <v>535.710,00</v>
          </cell>
        </row>
        <row r="94">
          <cell r="A94" t="str">
            <v>ANGULO INTERNO, BLANCA, 10X10</v>
          </cell>
          <cell r="B94" t="str">
            <v>5,00</v>
          </cell>
          <cell r="C94" t="str">
            <v>UN</v>
          </cell>
          <cell r="D94" t="str">
            <v>884,00</v>
          </cell>
          <cell r="E94">
            <v>917.59199999999998</v>
          </cell>
          <cell r="F94">
            <v>932.36523120000004</v>
          </cell>
          <cell r="G94">
            <v>783.50019428571431</v>
          </cell>
          <cell r="H94"/>
          <cell r="I94" t="str">
            <v>707.160,00</v>
          </cell>
        </row>
        <row r="95">
          <cell r="A95" t="str">
            <v>ANGULO INTERNO, BLANCA, 10X12</v>
          </cell>
          <cell r="B95" t="str">
            <v>5,00</v>
          </cell>
          <cell r="C95" t="str">
            <v>UN</v>
          </cell>
          <cell r="D95" t="str">
            <v>1.428,00</v>
          </cell>
          <cell r="E95">
            <v>1482.2639999999999</v>
          </cell>
          <cell r="F95">
            <v>1506.1284503999998</v>
          </cell>
          <cell r="G95">
            <v>1265.6541599999998</v>
          </cell>
          <cell r="H95"/>
          <cell r="I95" t="str">
            <v>1.028.580,00</v>
          </cell>
        </row>
        <row r="96">
          <cell r="A96" t="str">
            <v>ANGULO INTERNO, BLANCA, 10X14</v>
          </cell>
          <cell r="B96" t="str">
            <v>5,00</v>
          </cell>
          <cell r="C96" t="str">
            <v>UN</v>
          </cell>
          <cell r="D96" t="str">
            <v>1.428,00</v>
          </cell>
          <cell r="E96">
            <v>1482.2639999999999</v>
          </cell>
          <cell r="F96">
            <v>1506.1284503999998</v>
          </cell>
          <cell r="G96">
            <v>1265.6541599999998</v>
          </cell>
          <cell r="H96"/>
          <cell r="I96" t="str">
            <v>1.114.290,00</v>
          </cell>
        </row>
        <row r="97">
          <cell r="A97" t="str">
            <v>ANGULO INTERNO, BLANCA, 20X12</v>
          </cell>
          <cell r="B97" t="str">
            <v>5,00</v>
          </cell>
          <cell r="C97" t="str">
            <v>UN</v>
          </cell>
          <cell r="D97" t="str">
            <v>1.428,00</v>
          </cell>
          <cell r="E97">
            <v>1482.2639999999999</v>
          </cell>
          <cell r="F97">
            <v>1506.1284503999998</v>
          </cell>
          <cell r="G97">
            <v>1265.6541599999998</v>
          </cell>
          <cell r="H97"/>
          <cell r="I97" t="str">
            <v>1.114.290,00</v>
          </cell>
        </row>
        <row r="98">
          <cell r="A98" t="str">
            <v>ANGULO INTERNO, BLANCA, 20X14</v>
          </cell>
          <cell r="B98" t="str">
            <v>5,00</v>
          </cell>
          <cell r="C98" t="str">
            <v>UN</v>
          </cell>
          <cell r="D98" t="str">
            <v>1.428,00</v>
          </cell>
          <cell r="E98">
            <v>1482.2639999999999</v>
          </cell>
          <cell r="F98">
            <v>1506.1284503999998</v>
          </cell>
          <cell r="G98">
            <v>1265.6541599999998</v>
          </cell>
          <cell r="H98"/>
          <cell r="I98" t="str">
            <v>1.028.580,00</v>
          </cell>
        </row>
        <row r="99">
          <cell r="A99" t="str">
            <v>ANGULO INTERNO, BLANCA, 20X20</v>
          </cell>
          <cell r="B99" t="str">
            <v>5,00</v>
          </cell>
          <cell r="C99" t="str">
            <v>UN</v>
          </cell>
          <cell r="D99" t="str">
            <v>1.496,00</v>
          </cell>
          <cell r="E99">
            <v>1552.848</v>
          </cell>
          <cell r="F99">
            <v>1577.8488528</v>
          </cell>
          <cell r="G99">
            <v>1325.9234057142858</v>
          </cell>
          <cell r="H99"/>
          <cell r="I99" t="str">
            <v>235.720,00</v>
          </cell>
        </row>
        <row r="100">
          <cell r="A100" t="str">
            <v>ANGULO INTERNO, BLANCA, 40X12</v>
          </cell>
          <cell r="B100" t="str">
            <v>5,00</v>
          </cell>
          <cell r="C100" t="str">
            <v>UN</v>
          </cell>
          <cell r="D100" t="str">
            <v>3.672,00</v>
          </cell>
          <cell r="E100">
            <v>3811.5360000000001</v>
          </cell>
          <cell r="F100">
            <v>3872.9017296000002</v>
          </cell>
          <cell r="G100">
            <v>3254.5392685714287</v>
          </cell>
          <cell r="H100"/>
          <cell r="I100" t="str">
            <v>178.570,00</v>
          </cell>
        </row>
        <row r="101">
          <cell r="A101" t="str">
            <v>ANGULO INTERNO, BLANCA, 40X14</v>
          </cell>
          <cell r="B101" t="str">
            <v>5,00</v>
          </cell>
          <cell r="C101" t="str">
            <v>UN</v>
          </cell>
          <cell r="D101" t="str">
            <v>3.672,00</v>
          </cell>
          <cell r="E101">
            <v>3811.5360000000001</v>
          </cell>
          <cell r="F101">
            <v>3872.9017296000002</v>
          </cell>
          <cell r="G101">
            <v>3254.5392685714287</v>
          </cell>
          <cell r="H101"/>
          <cell r="I101" t="str">
            <v>785.710,00</v>
          </cell>
        </row>
        <row r="102">
          <cell r="A102" t="str">
            <v>ANGULO INTERNO, BLANCA, 60X14</v>
          </cell>
          <cell r="B102" t="str">
            <v>5,00</v>
          </cell>
          <cell r="C102" t="str">
            <v>UN</v>
          </cell>
          <cell r="D102" t="str">
            <v>4.488,00</v>
          </cell>
          <cell r="E102">
            <v>4658.5439999999999</v>
          </cell>
          <cell r="F102">
            <v>4733.5465583999994</v>
          </cell>
          <cell r="G102">
            <v>3977.7702171428568</v>
          </cell>
          <cell r="H102"/>
          <cell r="I102" t="str">
            <v>785.710,00</v>
          </cell>
        </row>
        <row r="103">
          <cell r="A103" t="str">
            <v>ANGULO INTERNO, BLANCA, 60X40</v>
          </cell>
          <cell r="B103" t="str">
            <v>5,00</v>
          </cell>
          <cell r="C103" t="str">
            <v>UN</v>
          </cell>
          <cell r="D103" t="str">
            <v>7.242,00</v>
          </cell>
          <cell r="E103">
            <v>7517.1959999999999</v>
          </cell>
          <cell r="F103">
            <v>7638.2228556</v>
          </cell>
          <cell r="G103">
            <v>6418.6746685714288</v>
          </cell>
          <cell r="H103"/>
          <cell r="I103" t="str">
            <v>5.571.400,00</v>
          </cell>
        </row>
        <row r="104">
          <cell r="A104" t="str">
            <v>ANGULO PARA ESTRUCTURA COLGANTE</v>
          </cell>
          <cell r="B104" t="str">
            <v>20,00</v>
          </cell>
          <cell r="C104" t="str">
            <v>UN</v>
          </cell>
          <cell r="D104" t="str">
            <v>3.210,00</v>
          </cell>
          <cell r="E104">
            <v>3331.98</v>
          </cell>
          <cell r="F104">
            <v>3385.6248780000001</v>
          </cell>
          <cell r="G104">
            <v>2845.0629226890755</v>
          </cell>
          <cell r="H104"/>
          <cell r="I104" t="str">
            <v>5.571.400,00</v>
          </cell>
        </row>
        <row r="105">
          <cell r="A105" t="str">
            <v>ANGULO PARA ESTRUCTURA PERIMETRAL</v>
          </cell>
          <cell r="B105" t="str">
            <v>20,00</v>
          </cell>
          <cell r="C105" t="str">
            <v>UN</v>
          </cell>
          <cell r="D105" t="str">
            <v>3.210,00</v>
          </cell>
          <cell r="E105">
            <v>3331.98</v>
          </cell>
          <cell r="F105">
            <v>3385.6248780000001</v>
          </cell>
          <cell r="G105">
            <v>2845.0629226890755</v>
          </cell>
          <cell r="H105"/>
          <cell r="I105" t="str">
            <v>1.020.000,00</v>
          </cell>
        </row>
        <row r="106">
          <cell r="A106" t="str">
            <v>ANGULO PARA ESTRUCTURA PERIMETRAL  PARA DILATACIÓN</v>
          </cell>
          <cell r="B106" t="str">
            <v>20,00</v>
          </cell>
          <cell r="C106" t="str">
            <v>UN</v>
          </cell>
          <cell r="D106" t="str">
            <v>3.210,00</v>
          </cell>
          <cell r="E106">
            <v>3331.98</v>
          </cell>
          <cell r="F106">
            <v>3385.6248780000001</v>
          </cell>
          <cell r="G106">
            <v>2845.0629226890755</v>
          </cell>
          <cell r="H106"/>
          <cell r="I106" t="str">
            <v>1.020.000,00</v>
          </cell>
        </row>
        <row r="107">
          <cell r="A107" t="str">
            <v>ÁRBOL DE ENTRADA CISTERNA FLOO MASTER</v>
          </cell>
          <cell r="B107" t="str">
            <v>5,00</v>
          </cell>
          <cell r="C107" t="str">
            <v>UN</v>
          </cell>
          <cell r="D107" t="str">
            <v>27.200,00</v>
          </cell>
          <cell r="E107">
            <v>28233.599999999999</v>
          </cell>
          <cell r="F107">
            <v>28688.160959999997</v>
          </cell>
          <cell r="G107">
            <v>24107.698285714287</v>
          </cell>
          <cell r="H107"/>
          <cell r="I107" t="str">
            <v>816.000,00</v>
          </cell>
        </row>
        <row r="108">
          <cell r="A108" t="str">
            <v>ÁRBOL DE SALIDA CISTERNA FLOO MASTER</v>
          </cell>
          <cell r="B108" t="str">
            <v>5,00</v>
          </cell>
          <cell r="C108" t="str">
            <v>UN</v>
          </cell>
          <cell r="D108" t="str">
            <v>27.713,00</v>
          </cell>
          <cell r="E108">
            <v>28766.094000000001</v>
          </cell>
          <cell r="F108">
            <v>29229.2281134</v>
          </cell>
          <cell r="G108">
            <v>24562.376565882354</v>
          </cell>
          <cell r="H108"/>
          <cell r="I108" t="str">
            <v>816.000,00</v>
          </cell>
        </row>
        <row r="109">
          <cell r="A109" t="str">
            <v>ÁRBOL SANITARIO ENTRADA FLUIDMASTER</v>
          </cell>
          <cell r="B109" t="str">
            <v>2,00</v>
          </cell>
          <cell r="C109" t="str">
            <v>UN</v>
          </cell>
          <cell r="D109" t="str">
            <v>26.964,00</v>
          </cell>
          <cell r="E109">
            <v>27988.632000000001</v>
          </cell>
          <cell r="F109">
            <v>28439.2489752</v>
          </cell>
          <cell r="G109">
            <v>23898.528550588235</v>
          </cell>
          <cell r="H109"/>
          <cell r="I109" t="str">
            <v>964.350,00</v>
          </cell>
        </row>
        <row r="110">
          <cell r="A110" t="str">
            <v>ÁRBOL SANITARIO SALIDA FLUIDMASTER</v>
          </cell>
          <cell r="B110" t="str">
            <v>2,00</v>
          </cell>
          <cell r="C110" t="str">
            <v>UN</v>
          </cell>
          <cell r="D110" t="str">
            <v>32.100,00</v>
          </cell>
          <cell r="E110">
            <v>33319.800000000003</v>
          </cell>
          <cell r="F110">
            <v>33856.248780000002</v>
          </cell>
          <cell r="G110">
            <v>28450.629226890756</v>
          </cell>
          <cell r="H110"/>
          <cell r="I110" t="str">
            <v>34.240,00</v>
          </cell>
        </row>
        <row r="111">
          <cell r="A111" t="str">
            <v>ARENA AMARILLA DE PEÑA</v>
          </cell>
          <cell r="B111" t="str">
            <v>3,00</v>
          </cell>
          <cell r="C111" t="str">
            <v>M3</v>
          </cell>
          <cell r="D111" t="str">
            <v>153.000,00</v>
          </cell>
          <cell r="E111">
            <v>158814</v>
          </cell>
          <cell r="F111">
            <v>161370.90539999999</v>
          </cell>
          <cell r="G111">
            <v>135605.80285714284</v>
          </cell>
          <cell r="H111"/>
          <cell r="I111" t="str">
            <v>66.340,00</v>
          </cell>
        </row>
        <row r="112">
          <cell r="A112" t="str">
            <v>ARENA DE RIO</v>
          </cell>
          <cell r="B112" t="str">
            <v>3,00</v>
          </cell>
          <cell r="C112" t="str">
            <v>M3</v>
          </cell>
          <cell r="D112" t="str">
            <v>204.000,00</v>
          </cell>
          <cell r="E112">
            <v>211752</v>
          </cell>
          <cell r="F112">
            <v>215161.2072</v>
          </cell>
          <cell r="G112">
            <v>180807.73714285714</v>
          </cell>
          <cell r="H112"/>
          <cell r="I112" t="str">
            <v>65.280,00</v>
          </cell>
        </row>
        <row r="113">
          <cell r="A113" t="str">
            <v>BARRA SOLDADURA DE PLATA HARRIS CERO</v>
          </cell>
          <cell r="B113" t="str">
            <v>10,00</v>
          </cell>
          <cell r="C113" t="str">
            <v>UN</v>
          </cell>
          <cell r="D113" t="str">
            <v>21.000,00</v>
          </cell>
          <cell r="E113">
            <v>21798</v>
          </cell>
          <cell r="F113">
            <v>22148.947800000002</v>
          </cell>
          <cell r="G113">
            <v>18612.56117647059</v>
          </cell>
          <cell r="H113"/>
          <cell r="I113" t="str">
            <v>45.740,00</v>
          </cell>
        </row>
        <row r="114">
          <cell r="A114" t="str">
            <v>BINDA BOQUILLA SIKA X KILO LATEX (*2 KILOS)</v>
          </cell>
          <cell r="B114" t="str">
            <v>25,00</v>
          </cell>
          <cell r="C114" t="str">
            <v>UN</v>
          </cell>
          <cell r="D114" t="str">
            <v>12.947,00</v>
          </cell>
          <cell r="E114">
            <v>13438.986000000001</v>
          </cell>
          <cell r="F114">
            <v>13655.353674600001</v>
          </cell>
          <cell r="G114">
            <v>11475.087121512606</v>
          </cell>
          <cell r="H114"/>
          <cell r="I114" t="str">
            <v>14.120,00</v>
          </cell>
        </row>
        <row r="115">
          <cell r="A115" t="str">
            <v>BISAGRA 1 1/2" COBRIZADA OMEGA (CAJA X 12)</v>
          </cell>
          <cell r="B115" t="str">
            <v>2,00</v>
          </cell>
          <cell r="C115" t="str">
            <v>CX</v>
          </cell>
          <cell r="D115" t="str">
            <v>13.719,00</v>
          </cell>
          <cell r="E115">
            <v>14240.322</v>
          </cell>
          <cell r="F115">
            <v>14469.5911842</v>
          </cell>
          <cell r="G115">
            <v>12159.320322857142</v>
          </cell>
          <cell r="H115"/>
          <cell r="I115" t="str">
            <v>24.480,00</v>
          </cell>
        </row>
        <row r="116">
          <cell r="A116" t="str">
            <v>BISAGRA 2" COBRIZADA OMEGA (CAJA X 12 UND)</v>
          </cell>
          <cell r="B116" t="str">
            <v>4,00</v>
          </cell>
          <cell r="C116" t="str">
            <v>CX</v>
          </cell>
          <cell r="D116" t="str">
            <v>16.405,00</v>
          </cell>
          <cell r="E116">
            <v>17028.39</v>
          </cell>
          <cell r="F116">
            <v>17302.547079</v>
          </cell>
          <cell r="G116">
            <v>14539.955528571429</v>
          </cell>
          <cell r="H116"/>
          <cell r="I116" t="str">
            <v>24.480,00</v>
          </cell>
        </row>
        <row r="117">
          <cell r="A117" t="str">
            <v>BISAGRA 3" COBRIZADA OMEGA (CAJA X 12 UND)</v>
          </cell>
          <cell r="B117" t="str">
            <v>4,00</v>
          </cell>
          <cell r="C117" t="str">
            <v>CX</v>
          </cell>
          <cell r="D117" t="str">
            <v>28.475,00</v>
          </cell>
          <cell r="E117">
            <v>29557.05</v>
          </cell>
          <cell r="F117">
            <v>30032.918504999998</v>
          </cell>
          <cell r="G117">
            <v>25237.746642857139</v>
          </cell>
          <cell r="H117"/>
          <cell r="I117" t="str">
            <v>91.800,00</v>
          </cell>
        </row>
        <row r="118">
          <cell r="A118" t="str">
            <v>BISAGRA GRANDE TIPO PARCHE</v>
          </cell>
          <cell r="B118" t="str">
            <v>70,00</v>
          </cell>
          <cell r="C118" t="str">
            <v>UN</v>
          </cell>
          <cell r="D118" t="str">
            <v>6.313,00</v>
          </cell>
          <cell r="E118">
            <v>6552.8940000000002</v>
          </cell>
          <cell r="F118">
            <v>6658.3955934000005</v>
          </cell>
          <cell r="G118">
            <v>5595.2904146218489</v>
          </cell>
          <cell r="H118"/>
          <cell r="I118" t="str">
            <v>1.392.860,00</v>
          </cell>
        </row>
        <row r="119">
          <cell r="A119" t="str">
            <v>BISTURI INDUSTRIAL</v>
          </cell>
          <cell r="B119" t="str">
            <v>5,00</v>
          </cell>
          <cell r="C119" t="str">
            <v>UN</v>
          </cell>
          <cell r="D119" t="str">
            <v>6.800,00</v>
          </cell>
          <cell r="E119">
            <v>7058.4</v>
          </cell>
          <cell r="F119">
            <v>7172.0402399999994</v>
          </cell>
          <cell r="G119">
            <v>6026.9245714285717</v>
          </cell>
          <cell r="H119"/>
          <cell r="I119" t="str">
            <v>240.750,00</v>
          </cell>
        </row>
        <row r="120">
          <cell r="A120" t="str">
            <v>BLOQUE N°4</v>
          </cell>
          <cell r="B120" t="str">
            <v>300,00</v>
          </cell>
          <cell r="C120" t="str">
            <v>UN</v>
          </cell>
          <cell r="D120" t="str">
            <v>800,00</v>
          </cell>
          <cell r="E120">
            <v>830.4</v>
          </cell>
          <cell r="F120">
            <v>843.76944000000003</v>
          </cell>
          <cell r="G120">
            <v>709.04994957983195</v>
          </cell>
          <cell r="H120"/>
          <cell r="I120" t="str">
            <v>417.300,00</v>
          </cell>
        </row>
        <row r="121">
          <cell r="A121" t="str">
            <v>BLOQUE N°5</v>
          </cell>
          <cell r="B121" t="str">
            <v>100,00</v>
          </cell>
          <cell r="C121" t="str">
            <v>UN</v>
          </cell>
          <cell r="D121" t="str">
            <v>963,00</v>
          </cell>
          <cell r="E121">
            <v>999.59400000000005</v>
          </cell>
          <cell r="F121">
            <v>1015.6874634000001</v>
          </cell>
          <cell r="G121">
            <v>853.5188768067228</v>
          </cell>
          <cell r="H121"/>
          <cell r="I121" t="str">
            <v>642.000,00</v>
          </cell>
        </row>
        <row r="122">
          <cell r="A122" t="str">
            <v>BOLSAS PEGANTE PORCELANATO</v>
          </cell>
          <cell r="B122" t="str">
            <v>150,00</v>
          </cell>
          <cell r="C122" t="str">
            <v>UN</v>
          </cell>
          <cell r="D122" t="str">
            <v>1.980,00</v>
          </cell>
          <cell r="E122">
            <v>2055.2399999999998</v>
          </cell>
          <cell r="F122">
            <v>2088.3293639999997</v>
          </cell>
          <cell r="G122">
            <v>1754.8986252100838</v>
          </cell>
          <cell r="H122"/>
          <cell r="I122" t="str">
            <v>802.500,00</v>
          </cell>
        </row>
        <row r="123">
          <cell r="A123" t="str">
            <v>BOMBILLO LED 9W E27</v>
          </cell>
          <cell r="B123" t="str">
            <v>150,00</v>
          </cell>
          <cell r="C123" t="str">
            <v>UN</v>
          </cell>
          <cell r="D123" t="str">
            <v>6.429,00</v>
          </cell>
          <cell r="E123">
            <v>6673.3019999999997</v>
          </cell>
          <cell r="F123">
            <v>6780.7421621999993</v>
          </cell>
          <cell r="G123">
            <v>5698.1026573109239</v>
          </cell>
          <cell r="H123"/>
          <cell r="I123" t="str">
            <v>70.620,00</v>
          </cell>
        </row>
        <row r="124">
          <cell r="A124" t="str">
            <v>BOQUILLA PARA PISOS BLANCA            (CAJA X 2 KILOS )</v>
          </cell>
          <cell r="B124" t="str">
            <v>3,00</v>
          </cell>
          <cell r="C124" t="str">
            <v>UN</v>
          </cell>
          <cell r="D124" t="str">
            <v>11.021,00</v>
          </cell>
          <cell r="E124">
            <v>11439.798000000001</v>
          </cell>
          <cell r="F124">
            <v>11623.9787478</v>
          </cell>
          <cell r="G124">
            <v>9768.0493678991588</v>
          </cell>
          <cell r="H124"/>
          <cell r="I124" t="str">
            <v>70.620,00</v>
          </cell>
        </row>
        <row r="125">
          <cell r="A125" t="str">
            <v>BOQUILLA PARA PISOS COLOR BEIGE     (CAJA X 2 KILOS )</v>
          </cell>
          <cell r="B125" t="str">
            <v>3,00</v>
          </cell>
          <cell r="C125" t="str">
            <v>UN</v>
          </cell>
          <cell r="D125" t="str">
            <v>11.021,00</v>
          </cell>
          <cell r="E125">
            <v>11439.798000000001</v>
          </cell>
          <cell r="F125">
            <v>11623.9787478</v>
          </cell>
          <cell r="G125">
            <v>9768.0493678991588</v>
          </cell>
          <cell r="H125"/>
          <cell r="I125" t="str">
            <v>141.240,00</v>
          </cell>
        </row>
        <row r="126">
          <cell r="A126" t="str">
            <v>BOTONES MACISOS COBRIZADOS PARA CAJÓN</v>
          </cell>
          <cell r="B126" t="str">
            <v>30,00</v>
          </cell>
          <cell r="C126" t="str">
            <v>UN</v>
          </cell>
          <cell r="D126" t="str">
            <v>5.000,00</v>
          </cell>
          <cell r="E126">
            <v>5190</v>
          </cell>
          <cell r="F126">
            <v>5273.5590000000002</v>
          </cell>
          <cell r="G126">
            <v>4431.5621848739502</v>
          </cell>
          <cell r="H126"/>
          <cell r="I126" t="str">
            <v>141.240,00</v>
          </cell>
        </row>
        <row r="127">
          <cell r="A127" t="str">
            <v>BREAKER 1 POLOS X 15 AMP (RETIE)</v>
          </cell>
          <cell r="B127" t="str">
            <v>5,00</v>
          </cell>
          <cell r="C127" t="str">
            <v>UN</v>
          </cell>
          <cell r="D127" t="str">
            <v>9.844,00</v>
          </cell>
          <cell r="E127">
            <v>10218.072</v>
          </cell>
          <cell r="F127">
            <v>10382.582959200001</v>
          </cell>
          <cell r="G127">
            <v>8724.8596295798325</v>
          </cell>
          <cell r="H127"/>
          <cell r="I127" t="str">
            <v>442.850,00</v>
          </cell>
        </row>
        <row r="128">
          <cell r="A128" t="str">
            <v>BREAKER 1 POLOS X 20 AMP (RETIE)</v>
          </cell>
          <cell r="B128" t="str">
            <v>5,00</v>
          </cell>
          <cell r="C128" t="str">
            <v>UN</v>
          </cell>
          <cell r="D128" t="str">
            <v>9.844,00</v>
          </cell>
          <cell r="E128">
            <v>10218.072</v>
          </cell>
          <cell r="F128">
            <v>10382.582959200001</v>
          </cell>
          <cell r="G128">
            <v>8724.8596295798325</v>
          </cell>
          <cell r="H128"/>
          <cell r="I128" t="str">
            <v>857.140,00</v>
          </cell>
        </row>
        <row r="129">
          <cell r="A129" t="str">
            <v>BREAKER 1 POLOS X 30 AMP (RETIE)</v>
          </cell>
          <cell r="B129" t="str">
            <v>5,00</v>
          </cell>
          <cell r="C129" t="str">
            <v>UN</v>
          </cell>
          <cell r="D129" t="str">
            <v>9.844,00</v>
          </cell>
          <cell r="E129">
            <v>10218.072</v>
          </cell>
          <cell r="F129">
            <v>10382.582959200001</v>
          </cell>
          <cell r="G129">
            <v>8724.8596295798325</v>
          </cell>
          <cell r="H129"/>
          <cell r="I129" t="str">
            <v>150.000,00</v>
          </cell>
        </row>
        <row r="130">
          <cell r="A130" t="str">
            <v>BREAKER 1 POLOS X 50 AMP (RETIE)</v>
          </cell>
          <cell r="B130" t="str">
            <v>5,00</v>
          </cell>
          <cell r="C130" t="str">
            <v>UN</v>
          </cell>
          <cell r="D130" t="str">
            <v>14.219,00</v>
          </cell>
          <cell r="E130">
            <v>14759.322</v>
          </cell>
          <cell r="F130">
            <v>14996.947084200001</v>
          </cell>
          <cell r="G130">
            <v>12602.476541344538</v>
          </cell>
          <cell r="H130"/>
          <cell r="I130" t="str">
            <v>1.020.000,00</v>
          </cell>
        </row>
        <row r="131">
          <cell r="A131" t="str">
            <v>BREAKER 2 POLOS  X 50 AMP (RETIE)</v>
          </cell>
          <cell r="B131" t="str">
            <v>2,00</v>
          </cell>
          <cell r="C131" t="str">
            <v>UN</v>
          </cell>
          <cell r="D131" t="str">
            <v>53.500,00</v>
          </cell>
          <cell r="E131">
            <v>55533</v>
          </cell>
          <cell r="F131">
            <v>56427.081299999998</v>
          </cell>
          <cell r="G131">
            <v>47417.715378151261</v>
          </cell>
          <cell r="H131"/>
          <cell r="I131" t="str">
            <v>70.716,00</v>
          </cell>
        </row>
        <row r="132">
          <cell r="A132" t="str">
            <v>BREAKER 2 POLOS X 100 AMP (RETIE)</v>
          </cell>
          <cell r="B132" t="str">
            <v>2,00</v>
          </cell>
          <cell r="C132" t="str">
            <v>UN</v>
          </cell>
          <cell r="D132" t="str">
            <v>83.353,00</v>
          </cell>
          <cell r="E132">
            <v>86520.414000000004</v>
          </cell>
          <cell r="F132">
            <v>87913.39266540001</v>
          </cell>
          <cell r="G132">
            <v>73876.800559159659</v>
          </cell>
          <cell r="H132"/>
          <cell r="I132" t="str">
            <v>27.438,00</v>
          </cell>
        </row>
        <row r="133">
          <cell r="A133" t="str">
            <v>BREAKER 2 POLOS X 70 AMP (RETIE)</v>
          </cell>
          <cell r="B133" t="str">
            <v>2,00</v>
          </cell>
          <cell r="C133" t="str">
            <v>UN</v>
          </cell>
          <cell r="D133" t="str">
            <v>83.353,00</v>
          </cell>
          <cell r="E133">
            <v>86520.414000000004</v>
          </cell>
          <cell r="F133">
            <v>87913.39266540001</v>
          </cell>
          <cell r="G133">
            <v>73876.800559159659</v>
          </cell>
          <cell r="H133"/>
          <cell r="I133" t="str">
            <v>65.620,00</v>
          </cell>
        </row>
        <row r="134">
          <cell r="A134" t="str">
            <v>BREAKER 3 POLOS X 100 AMP (RETIE)</v>
          </cell>
          <cell r="B134" t="str">
            <v>2,00</v>
          </cell>
          <cell r="C134" t="str">
            <v>UN</v>
          </cell>
          <cell r="D134" t="str">
            <v>111.173,00</v>
          </cell>
          <cell r="E134">
            <v>115397.57399999999</v>
          </cell>
          <cell r="F134">
            <v>117255.4749414</v>
          </cell>
          <cell r="G134">
            <v>98534.012555798312</v>
          </cell>
          <cell r="H134"/>
          <cell r="I134" t="str">
            <v>113.900,00</v>
          </cell>
        </row>
        <row r="135">
          <cell r="A135" t="str">
            <v>BREAKER 3 POLOS X 70 AMP (RETIE)</v>
          </cell>
          <cell r="B135" t="str">
            <v>2,00</v>
          </cell>
          <cell r="C135" t="str">
            <v>UN</v>
          </cell>
          <cell r="D135" t="str">
            <v>111.173,00</v>
          </cell>
          <cell r="E135">
            <v>115397.57399999999</v>
          </cell>
          <cell r="F135">
            <v>117255.4749414</v>
          </cell>
          <cell r="G135">
            <v>98534.012555798312</v>
          </cell>
          <cell r="H135"/>
          <cell r="I135" t="str">
            <v>441.910,00</v>
          </cell>
        </row>
        <row r="136">
          <cell r="A136" t="str">
            <v>BROCA DE 5/32 PARA  METAL</v>
          </cell>
          <cell r="B136" t="str">
            <v>5,00</v>
          </cell>
          <cell r="C136" t="str">
            <v>UN</v>
          </cell>
          <cell r="D136" t="str">
            <v>3.745,00</v>
          </cell>
          <cell r="E136">
            <v>3887.31</v>
          </cell>
          <cell r="F136">
            <v>3949.8956910000002</v>
          </cell>
          <cell r="G136">
            <v>3319.2400764705885</v>
          </cell>
          <cell r="H136"/>
          <cell r="I136" t="str">
            <v>349.890,00</v>
          </cell>
        </row>
        <row r="137">
          <cell r="A137" t="str">
            <v>BROCA PARA LAMINA     1/2"</v>
          </cell>
          <cell r="B137" t="str">
            <v>10,00</v>
          </cell>
          <cell r="C137" t="str">
            <v>UN</v>
          </cell>
          <cell r="D137" t="str">
            <v>18.714,00</v>
          </cell>
          <cell r="E137">
            <v>19425.132000000001</v>
          </cell>
          <cell r="F137">
            <v>19737.876625200002</v>
          </cell>
          <cell r="G137">
            <v>16586.450945546221</v>
          </cell>
          <cell r="H137"/>
          <cell r="I137" t="str">
            <v>507.810,00</v>
          </cell>
        </row>
        <row r="138">
          <cell r="A138" t="str">
            <v>BROCA PARA LAMINA     3/8"</v>
          </cell>
          <cell r="B138" t="str">
            <v>10,00</v>
          </cell>
          <cell r="C138" t="str">
            <v>UN</v>
          </cell>
          <cell r="D138" t="str">
            <v>12.733,00</v>
          </cell>
          <cell r="E138">
            <v>13216.853999999999</v>
          </cell>
          <cell r="F138">
            <v>13429.6453494</v>
          </cell>
          <cell r="G138">
            <v>11285.41626</v>
          </cell>
          <cell r="H138"/>
          <cell r="I138" t="str">
            <v>43.870,00</v>
          </cell>
        </row>
        <row r="139">
          <cell r="A139" t="str">
            <v>BROCA PARA LAMINA     5/16"</v>
          </cell>
          <cell r="B139" t="str">
            <v>10,00</v>
          </cell>
          <cell r="C139" t="str">
            <v>UN</v>
          </cell>
          <cell r="D139" t="str">
            <v>8.084,00</v>
          </cell>
          <cell r="E139">
            <v>8391.1919999999991</v>
          </cell>
          <cell r="F139">
            <v>8526.2901911999998</v>
          </cell>
          <cell r="G139">
            <v>7164.9497405042011</v>
          </cell>
          <cell r="H139"/>
          <cell r="I139" t="str">
            <v>171.200,00</v>
          </cell>
        </row>
        <row r="140">
          <cell r="A140" t="str">
            <v>BROCA PARA LAMINA    1/4"</v>
          </cell>
          <cell r="B140" t="str">
            <v>10,00</v>
          </cell>
          <cell r="C140" t="str">
            <v>UN</v>
          </cell>
          <cell r="D140" t="str">
            <v>4.804,00</v>
          </cell>
          <cell r="E140">
            <v>4986.5519999999997</v>
          </cell>
          <cell r="F140">
            <v>5066.8354872</v>
          </cell>
          <cell r="G140">
            <v>4257.8449472268912</v>
          </cell>
          <cell r="H140"/>
          <cell r="I140" t="str">
            <v>48.571,00</v>
          </cell>
        </row>
        <row r="141">
          <cell r="A141" t="str">
            <v>BROCA PARA METAL 1/16  HASTA 1/2" PULGADA</v>
          </cell>
          <cell r="B141" t="str">
            <v>2,00</v>
          </cell>
          <cell r="C141" t="str">
            <v>UN</v>
          </cell>
          <cell r="D141" t="str">
            <v>142.800,00</v>
          </cell>
          <cell r="E141">
            <v>148226.4</v>
          </cell>
          <cell r="F141">
            <v>150612.84503999999</v>
          </cell>
          <cell r="G141">
            <v>126565.41599999998</v>
          </cell>
          <cell r="H141"/>
          <cell r="I141" t="str">
            <v>102.856,00</v>
          </cell>
        </row>
        <row r="142">
          <cell r="A142" t="str">
            <v>BROCA TUNGSTENO       1/2"</v>
          </cell>
          <cell r="B142" t="str">
            <v>10,00</v>
          </cell>
          <cell r="C142" t="str">
            <v>UN</v>
          </cell>
          <cell r="D142" t="str">
            <v>11.663,00</v>
          </cell>
          <cell r="E142">
            <v>12106.194</v>
          </cell>
          <cell r="F142">
            <v>12301.1037234</v>
          </cell>
          <cell r="G142">
            <v>10337.061952436974</v>
          </cell>
          <cell r="H142"/>
          <cell r="I142" t="str">
            <v>50.290,00</v>
          </cell>
        </row>
        <row r="143">
          <cell r="A143" t="str">
            <v>BROCA TUNGSTENO       1/4"</v>
          </cell>
          <cell r="B143" t="str">
            <v>10,00</v>
          </cell>
          <cell r="C143" t="str">
            <v>UN</v>
          </cell>
          <cell r="D143" t="str">
            <v>2.568,00</v>
          </cell>
          <cell r="E143">
            <v>2665.5839999999998</v>
          </cell>
          <cell r="F143">
            <v>2708.4999023999999</v>
          </cell>
          <cell r="G143">
            <v>2276.0503381512608</v>
          </cell>
          <cell r="H143"/>
          <cell r="I143" t="str">
            <v>23.540,00</v>
          </cell>
        </row>
        <row r="144">
          <cell r="A144" t="str">
            <v>BROCA TUNGSTENO       3/4"</v>
          </cell>
          <cell r="B144" t="str">
            <v>5,00</v>
          </cell>
          <cell r="C144" t="str">
            <v>UN</v>
          </cell>
          <cell r="D144" t="str">
            <v>46.580,00</v>
          </cell>
          <cell r="E144">
            <v>48350.04</v>
          </cell>
          <cell r="F144">
            <v>49128.475643999998</v>
          </cell>
          <cell r="G144">
            <v>41284.433314285714</v>
          </cell>
          <cell r="H144"/>
          <cell r="I144" t="str">
            <v>222.880,00</v>
          </cell>
        </row>
        <row r="145">
          <cell r="A145" t="str">
            <v>BROCA TUNGSTENO       3/8"</v>
          </cell>
          <cell r="B145" t="str">
            <v>10,00</v>
          </cell>
          <cell r="C145" t="str">
            <v>UN</v>
          </cell>
          <cell r="D145" t="str">
            <v>7.565,00</v>
          </cell>
          <cell r="E145">
            <v>7852.47</v>
          </cell>
          <cell r="F145">
            <v>7978.8947670000007</v>
          </cell>
          <cell r="G145">
            <v>6704.9535857142864</v>
          </cell>
          <cell r="H145"/>
          <cell r="I145" t="str">
            <v>66.768.000,00</v>
          </cell>
        </row>
        <row r="146">
          <cell r="A146" t="str">
            <v>BROCA TUNGSTENO       5/16"</v>
          </cell>
          <cell r="B146" t="str">
            <v>10,00</v>
          </cell>
          <cell r="C146" t="str">
            <v>UN</v>
          </cell>
          <cell r="D146" t="str">
            <v>6.494,00</v>
          </cell>
          <cell r="E146">
            <v>6740.7719999999999</v>
          </cell>
          <cell r="F146">
            <v>6849.2984292000001</v>
          </cell>
          <cell r="G146">
            <v>5755.712965714285</v>
          </cell>
          <cell r="H146"/>
          <cell r="I146" t="str">
            <v>808.965,00</v>
          </cell>
        </row>
        <row r="147">
          <cell r="A147" t="str">
            <v>BROCHA PROFESIONAL  4"</v>
          </cell>
          <cell r="B147" t="str">
            <v>20,00</v>
          </cell>
          <cell r="C147" t="str">
            <v>UN</v>
          </cell>
          <cell r="D147" t="str">
            <v>11.144,00</v>
          </cell>
          <cell r="E147">
            <v>11567.472</v>
          </cell>
          <cell r="F147">
            <v>11753.7082992</v>
          </cell>
          <cell r="G147">
            <v>9877.0657976470575</v>
          </cell>
          <cell r="H147"/>
          <cell r="I147" t="str">
            <v>1.617.930,00</v>
          </cell>
        </row>
        <row r="148">
          <cell r="A148" t="str">
            <v>BUJE REDUCCIÓN PVC SANITARIO 4"X 1 1/2"</v>
          </cell>
          <cell r="B148" t="str">
            <v>3,00</v>
          </cell>
          <cell r="C148" t="str">
            <v>UN</v>
          </cell>
          <cell r="D148" t="str">
            <v>8.346,00</v>
          </cell>
          <cell r="E148">
            <v>8663.1479999999992</v>
          </cell>
          <cell r="F148">
            <v>8802.6246827999985</v>
          </cell>
          <cell r="G148">
            <v>7397.1635989915949</v>
          </cell>
          <cell r="H148"/>
          <cell r="I148" t="str">
            <v>2.500.590,00</v>
          </cell>
        </row>
        <row r="149">
          <cell r="A149" t="str">
            <v>BUJE REDUCCIÓN PVC SANITARIO 4"X 2"</v>
          </cell>
          <cell r="B149" t="str">
            <v>3,00</v>
          </cell>
          <cell r="C149" t="str">
            <v>UN</v>
          </cell>
          <cell r="D149" t="str">
            <v>6.999,00</v>
          </cell>
          <cell r="E149">
            <v>7264.9619999999995</v>
          </cell>
          <cell r="F149">
            <v>7381.9278881999999</v>
          </cell>
          <cell r="G149">
            <v>6203.3007463865551</v>
          </cell>
          <cell r="H149"/>
          <cell r="I149" t="str">
            <v>742.850,00</v>
          </cell>
        </row>
        <row r="150">
          <cell r="A150" t="str">
            <v>BUJE REDUCCIÓN PVC SANITARIO 4"X 3"</v>
          </cell>
          <cell r="B150" t="str">
            <v>3,00</v>
          </cell>
          <cell r="C150" t="str">
            <v>UN</v>
          </cell>
          <cell r="D150" t="str">
            <v>6.999,00</v>
          </cell>
          <cell r="E150">
            <v>7264.9619999999995</v>
          </cell>
          <cell r="F150">
            <v>7381.9278881999999</v>
          </cell>
          <cell r="G150">
            <v>6203.3007463865551</v>
          </cell>
          <cell r="H150"/>
          <cell r="I150" t="str">
            <v>742.850,00</v>
          </cell>
        </row>
        <row r="151">
          <cell r="A151" t="str">
            <v>BUJE REDUCCIÓN PVC SANITARIO 4"X 4"</v>
          </cell>
          <cell r="B151" t="str">
            <v>3,00</v>
          </cell>
          <cell r="C151" t="str">
            <v>UN</v>
          </cell>
          <cell r="D151" t="str">
            <v>6.999,00</v>
          </cell>
          <cell r="E151">
            <v>7264.9619999999995</v>
          </cell>
          <cell r="F151">
            <v>7381.9278881999999</v>
          </cell>
          <cell r="G151">
            <v>6203.3007463865551</v>
          </cell>
          <cell r="H151"/>
          <cell r="I151" t="str">
            <v>2.228.550,00</v>
          </cell>
        </row>
        <row r="152">
          <cell r="A152" t="str">
            <v>BULTO SIKA MORTERO X 25 KG'</v>
          </cell>
          <cell r="B152" t="str">
            <v>5,00</v>
          </cell>
          <cell r="C152" t="str">
            <v>UN</v>
          </cell>
          <cell r="D152" t="str">
            <v>130.433,00</v>
          </cell>
          <cell r="E152">
            <v>135389.454</v>
          </cell>
          <cell r="F152">
            <v>137569.22420940001</v>
          </cell>
          <cell r="G152">
            <v>115604.39009193277</v>
          </cell>
          <cell r="H152"/>
          <cell r="I152" t="str">
            <v>371.425,00</v>
          </cell>
        </row>
        <row r="153">
          <cell r="A153" t="str">
            <v>CABLE 7 HILOS 3 X 10       (ROLLO 100 MTS )</v>
          </cell>
          <cell r="B153" t="str">
            <v>1,00</v>
          </cell>
          <cell r="C153" t="str">
            <v>ROL</v>
          </cell>
          <cell r="D153" t="str">
            <v>632.230,00</v>
          </cell>
          <cell r="E153">
            <v>656254.74</v>
          </cell>
          <cell r="F153">
            <v>666820.44131399994</v>
          </cell>
          <cell r="G153">
            <v>560353.31202857138</v>
          </cell>
          <cell r="H153"/>
          <cell r="I153" t="str">
            <v>371.425,00</v>
          </cell>
        </row>
        <row r="154">
          <cell r="A154" t="str">
            <v>CABLE COAXIAL R 8 (ROLLO X 100 MTS)</v>
          </cell>
          <cell r="B154" t="str">
            <v>5,00</v>
          </cell>
          <cell r="C154" t="str">
            <v>UN</v>
          </cell>
          <cell r="D154" t="str">
            <v>41.900,00</v>
          </cell>
          <cell r="E154">
            <v>43492.2</v>
          </cell>
          <cell r="F154">
            <v>44192.424419999996</v>
          </cell>
          <cell r="G154">
            <v>37136.491109243696</v>
          </cell>
          <cell r="H154"/>
          <cell r="I154" t="str">
            <v>585.215,00</v>
          </cell>
        </row>
        <row r="155">
          <cell r="A155" t="str">
            <v>CABLE DUPLEX 2X10        (ROLLO 100 MTS )</v>
          </cell>
          <cell r="B155" t="str">
            <v>2,00</v>
          </cell>
          <cell r="C155" t="str">
            <v>ROL</v>
          </cell>
          <cell r="D155" t="str">
            <v>555.206,00</v>
          </cell>
          <cell r="E155">
            <v>576303.82799999998</v>
          </cell>
          <cell r="F155">
            <v>585582.31963079993</v>
          </cell>
          <cell r="G155">
            <v>492085.98288302519</v>
          </cell>
          <cell r="H155"/>
          <cell r="I155" t="str">
            <v>689.700,00</v>
          </cell>
        </row>
        <row r="156">
          <cell r="A156" t="str">
            <v>CABLE DUPLEX 2X12        (ROLLO 100 MTS )</v>
          </cell>
          <cell r="B156" t="str">
            <v>2,00</v>
          </cell>
          <cell r="C156" t="str">
            <v>ROL</v>
          </cell>
          <cell r="D156" t="str">
            <v>350.336,00</v>
          </cell>
          <cell r="E156">
            <v>363648.76799999998</v>
          </cell>
          <cell r="F156">
            <v>369503.51316480001</v>
          </cell>
          <cell r="G156">
            <v>310507.15392000001</v>
          </cell>
          <cell r="H156"/>
          <cell r="I156" t="str">
            <v>742.850,00</v>
          </cell>
        </row>
        <row r="157">
          <cell r="A157" t="str">
            <v>CABLE ENCAUCHETADO 3 X 10    (ROLLO 100 MTS )</v>
          </cell>
          <cell r="B157" t="str">
            <v>1,00</v>
          </cell>
          <cell r="C157" t="str">
            <v>ROL</v>
          </cell>
          <cell r="D157" t="str">
            <v>920.200,00</v>
          </cell>
          <cell r="E157">
            <v>955167.6</v>
          </cell>
          <cell r="F157">
            <v>970545.79836000002</v>
          </cell>
          <cell r="G157">
            <v>815584.70450420165</v>
          </cell>
          <cell r="H157"/>
          <cell r="I157" t="str">
            <v>29.236.038,00</v>
          </cell>
        </row>
        <row r="158">
          <cell r="A158" t="str">
            <v>CAJA 10 X 10 CAL20 GALVANIZADA</v>
          </cell>
          <cell r="B158" t="str">
            <v>20,00</v>
          </cell>
          <cell r="C158" t="str">
            <v>UN</v>
          </cell>
          <cell r="D158" t="str">
            <v>3.264,00</v>
          </cell>
          <cell r="E158">
            <v>3388.0320000000002</v>
          </cell>
          <cell r="F158">
            <v>3442.5793152000001</v>
          </cell>
          <cell r="G158">
            <v>2892.9237942857139</v>
          </cell>
          <cell r="H158"/>
          <cell r="I158" t="str">
            <v>3.163.230,00</v>
          </cell>
        </row>
        <row r="159">
          <cell r="A159" t="str">
            <v>CAJA 2400 GALVANIZADA CON SUPLEMENTO</v>
          </cell>
          <cell r="B159" t="str">
            <v>20,00</v>
          </cell>
          <cell r="C159" t="str">
            <v>UN</v>
          </cell>
          <cell r="D159" t="str">
            <v>3.317,00</v>
          </cell>
          <cell r="E159">
            <v>3443.0459999999998</v>
          </cell>
          <cell r="F159">
            <v>3498.4790405999997</v>
          </cell>
          <cell r="G159">
            <v>2939.8983534453778</v>
          </cell>
          <cell r="H159"/>
          <cell r="I159" t="str">
            <v>964.290,00</v>
          </cell>
        </row>
        <row r="160">
          <cell r="A160" t="str">
            <v>CAJA 5800 2X4 CAL20 GALVANIZADA</v>
          </cell>
          <cell r="B160" t="str">
            <v>20,00</v>
          </cell>
          <cell r="C160" t="str">
            <v>UN</v>
          </cell>
          <cell r="D160" t="str">
            <v>1.712,00</v>
          </cell>
          <cell r="E160">
            <v>1777.056</v>
          </cell>
          <cell r="F160">
            <v>1805.6666016000001</v>
          </cell>
          <cell r="G160">
            <v>1517.3668921008407</v>
          </cell>
          <cell r="H160"/>
          <cell r="I160" t="str">
            <v>5.767.300,00</v>
          </cell>
        </row>
        <row r="161">
          <cell r="A161" t="str">
            <v>CAJA HEXAGONAL CAL20 GALVANIZADA</v>
          </cell>
          <cell r="B161" t="str">
            <v>20,00</v>
          </cell>
          <cell r="C161" t="str">
            <v>UN</v>
          </cell>
          <cell r="D161" t="str">
            <v>2.287,00</v>
          </cell>
          <cell r="E161">
            <v>2373.9059999999999</v>
          </cell>
          <cell r="F161">
            <v>2412.1258865999998</v>
          </cell>
          <cell r="G161">
            <v>2026.9965433613443</v>
          </cell>
          <cell r="H161"/>
          <cell r="I161" t="str">
            <v>1.079.144,00</v>
          </cell>
        </row>
        <row r="162">
          <cell r="A162" t="str">
            <v>CANAL PARA ESTRUCTURA BASE  9 MM</v>
          </cell>
          <cell r="B162" t="str">
            <v>20,00</v>
          </cell>
          <cell r="C162" t="str">
            <v>UN</v>
          </cell>
          <cell r="D162" t="str">
            <v>5.885,00</v>
          </cell>
          <cell r="E162">
            <v>6108.63</v>
          </cell>
          <cell r="F162">
            <v>6206.9789430000001</v>
          </cell>
          <cell r="G162">
            <v>5215.948691596639</v>
          </cell>
          <cell r="H162"/>
          <cell r="I162" t="str">
            <v>216.675,00</v>
          </cell>
        </row>
        <row r="163">
          <cell r="A163" t="str">
            <v>CANAL PARA ESTRUCTURA BASE 6 MM</v>
          </cell>
          <cell r="B163" t="str">
            <v>20,00</v>
          </cell>
          <cell r="C163" t="str">
            <v>UN</v>
          </cell>
          <cell r="D163" t="str">
            <v>4.815,00</v>
          </cell>
          <cell r="E163">
            <v>4997.97</v>
          </cell>
          <cell r="F163">
            <v>5078.4373169999999</v>
          </cell>
          <cell r="G163">
            <v>4267.5943840336131</v>
          </cell>
          <cell r="H163"/>
          <cell r="I163" t="str">
            <v>216.675,00</v>
          </cell>
        </row>
        <row r="164">
          <cell r="A164" t="str">
            <v>CANALETA DE SUPERFICIE DEXSON, BLANCA, 10X10</v>
          </cell>
          <cell r="B164" t="str">
            <v>5,00</v>
          </cell>
          <cell r="C164" t="str">
            <v>UN</v>
          </cell>
          <cell r="D164" t="str">
            <v>4.522,00</v>
          </cell>
          <cell r="E164">
            <v>4693.8360000000002</v>
          </cell>
          <cell r="F164">
            <v>4769.4067596000004</v>
          </cell>
          <cell r="G164">
            <v>4007.9048400000001</v>
          </cell>
          <cell r="H164"/>
          <cell r="I164" t="str">
            <v>192.600,00</v>
          </cell>
        </row>
        <row r="165">
          <cell r="A165" t="str">
            <v>CANALETA DE SUPERFICIE DEXSON, BLANCA, 10X5</v>
          </cell>
          <cell r="B165" t="str">
            <v>5,00</v>
          </cell>
          <cell r="C165" t="str">
            <v>UN</v>
          </cell>
          <cell r="D165" t="str">
            <v>52.420,00</v>
          </cell>
          <cell r="E165">
            <v>54411.96</v>
          </cell>
          <cell r="F165">
            <v>55287.992555999997</v>
          </cell>
          <cell r="G165">
            <v>46460.497946218486</v>
          </cell>
          <cell r="H165"/>
          <cell r="I165" t="str">
            <v>192.600,00</v>
          </cell>
        </row>
        <row r="166">
          <cell r="A166" t="str">
            <v>CANALETA DE SUPERFICIE DEXSON, BLANCA, 20X20</v>
          </cell>
          <cell r="B166" t="str">
            <v>5,00</v>
          </cell>
          <cell r="C166" t="str">
            <v>UN</v>
          </cell>
          <cell r="D166" t="str">
            <v>10.056,00</v>
          </cell>
          <cell r="E166">
            <v>10438.128000000001</v>
          </cell>
          <cell r="F166">
            <v>10606.181860800001</v>
          </cell>
          <cell r="G166">
            <v>8912.7578662184878</v>
          </cell>
          <cell r="H166"/>
          <cell r="I166" t="str">
            <v>240.750,00</v>
          </cell>
        </row>
        <row r="167">
          <cell r="A167" t="str">
            <v>CANALETA DE SUPERFICIE DEXSON, BLANCA, 2X2</v>
          </cell>
          <cell r="B167" t="str">
            <v>5,00</v>
          </cell>
          <cell r="C167" t="str">
            <v>UN</v>
          </cell>
          <cell r="D167" t="str">
            <v>10.056,00</v>
          </cell>
          <cell r="E167">
            <v>10438.128000000001</v>
          </cell>
          <cell r="F167">
            <v>10606.181860800001</v>
          </cell>
          <cell r="G167">
            <v>8912.7578662184878</v>
          </cell>
          <cell r="H167"/>
          <cell r="I167" t="str">
            <v>2.568,00</v>
          </cell>
        </row>
        <row r="168">
          <cell r="A168" t="str">
            <v>CANALETA DE SUPERFICIE DEXSON, BLANCA, 60X40</v>
          </cell>
          <cell r="B168" t="str">
            <v>5,00</v>
          </cell>
          <cell r="C168" t="str">
            <v>UN</v>
          </cell>
          <cell r="D168" t="str">
            <v>31.993,00</v>
          </cell>
          <cell r="E168">
            <v>33208.733999999997</v>
          </cell>
          <cell r="F168">
            <v>33743.394617399994</v>
          </cell>
          <cell r="G168">
            <v>28355.793796134447</v>
          </cell>
          <cell r="H168"/>
          <cell r="I168" t="str">
            <v>2.568,00</v>
          </cell>
        </row>
        <row r="169">
          <cell r="A169" t="str">
            <v>CANASTILLA  PLATERO DE 4" INOXIDABLE PLASTI REF 01-1951-11</v>
          </cell>
          <cell r="B169" t="str">
            <v>6,00</v>
          </cell>
          <cell r="C169" t="str">
            <v>UN</v>
          </cell>
          <cell r="D169" t="str">
            <v>39.434,00</v>
          </cell>
          <cell r="E169">
            <v>40932.491999999998</v>
          </cell>
          <cell r="F169">
            <v>41591.505121199996</v>
          </cell>
          <cell r="G169">
            <v>34950.844639663861</v>
          </cell>
          <cell r="H169"/>
          <cell r="I169" t="str">
            <v>2.568,00</v>
          </cell>
        </row>
        <row r="170">
          <cell r="A170" t="str">
            <v>CANDADO  40MM</v>
          </cell>
          <cell r="B170" t="str">
            <v>2,00</v>
          </cell>
          <cell r="C170" t="str">
            <v>UN</v>
          </cell>
          <cell r="D170" t="str">
            <v>14.450,00</v>
          </cell>
          <cell r="E170">
            <v>14999.1</v>
          </cell>
          <cell r="F170">
            <v>15240.585510000001</v>
          </cell>
          <cell r="G170">
            <v>12807.214714285714</v>
          </cell>
          <cell r="H170"/>
          <cell r="I170" t="str">
            <v>61.200,00</v>
          </cell>
        </row>
        <row r="171">
          <cell r="A171" t="str">
            <v>CANDADO  50MM</v>
          </cell>
          <cell r="B171" t="str">
            <v>2,00</v>
          </cell>
          <cell r="C171" t="str">
            <v>UN</v>
          </cell>
          <cell r="D171" t="str">
            <v>25.573,00</v>
          </cell>
          <cell r="E171">
            <v>26544.774000000001</v>
          </cell>
          <cell r="F171">
            <v>26972.1448614</v>
          </cell>
          <cell r="G171">
            <v>22665.667950756302</v>
          </cell>
          <cell r="H171"/>
          <cell r="I171" t="str">
            <v>85.710,00</v>
          </cell>
        </row>
        <row r="172">
          <cell r="A172" t="str">
            <v>CANDADO  60MM</v>
          </cell>
          <cell r="B172" t="str">
            <v>2,00</v>
          </cell>
          <cell r="C172" t="str">
            <v>UN</v>
          </cell>
          <cell r="D172" t="str">
            <v>32.300,00</v>
          </cell>
          <cell r="E172">
            <v>33527.4</v>
          </cell>
          <cell r="F172">
            <v>34067.191140000003</v>
          </cell>
          <cell r="G172">
            <v>28627.891714285714</v>
          </cell>
          <cell r="H172"/>
          <cell r="I172" t="str">
            <v>238.580,00</v>
          </cell>
        </row>
        <row r="173">
          <cell r="A173" t="str">
            <v>CANDADO  70MM</v>
          </cell>
          <cell r="B173" t="str">
            <v>2,00</v>
          </cell>
          <cell r="C173" t="str">
            <v>UN</v>
          </cell>
          <cell r="D173" t="str">
            <v>64.200,00</v>
          </cell>
          <cell r="E173">
            <v>66639.600000000006</v>
          </cell>
          <cell r="F173">
            <v>67712.497560000003</v>
          </cell>
          <cell r="G173">
            <v>56901.258453781513</v>
          </cell>
          <cell r="H173"/>
          <cell r="I173" t="str">
            <v>158.980,00</v>
          </cell>
        </row>
        <row r="174">
          <cell r="A174" t="str">
            <v>CANDADO DE CADENA 3/4"</v>
          </cell>
          <cell r="B174" t="str">
            <v>10,00</v>
          </cell>
          <cell r="C174" t="str">
            <v>ML</v>
          </cell>
          <cell r="D174" t="str">
            <v>79.577,00</v>
          </cell>
          <cell r="E174">
            <v>82600.926000000007</v>
          </cell>
          <cell r="F174">
            <v>83930.800908600009</v>
          </cell>
          <cell r="G174">
            <v>70530.084797142874</v>
          </cell>
          <cell r="H174"/>
          <cell r="I174" t="str">
            <v>18.190,00</v>
          </cell>
        </row>
        <row r="175">
          <cell r="A175" t="str">
            <v>CANECA THINNER POR 55 GALONES</v>
          </cell>
          <cell r="B175" t="str">
            <v>2,00</v>
          </cell>
          <cell r="C175" t="str">
            <v>UN</v>
          </cell>
          <cell r="D175" t="str">
            <v>539.572,00</v>
          </cell>
          <cell r="E175">
            <v>560075.73600000003</v>
          </cell>
          <cell r="F175">
            <v>569092.95534960006</v>
          </cell>
          <cell r="G175">
            <v>478229.37424336141</v>
          </cell>
          <cell r="H175"/>
          <cell r="I175" t="str">
            <v>29.850,00</v>
          </cell>
        </row>
        <row r="176">
          <cell r="A176" t="str">
            <v>CARROS DE RIEL PARA CORTINA</v>
          </cell>
          <cell r="B176" t="str">
            <v>50,00</v>
          </cell>
          <cell r="C176" t="str">
            <v>UN</v>
          </cell>
          <cell r="D176" t="str">
            <v>8.500,00</v>
          </cell>
          <cell r="E176">
            <v>8823</v>
          </cell>
          <cell r="F176">
            <v>8965.0503000000008</v>
          </cell>
          <cell r="G176">
            <v>7533.6557142857146</v>
          </cell>
          <cell r="H176"/>
          <cell r="I176" t="str">
            <v>27.140,00</v>
          </cell>
        </row>
        <row r="177">
          <cell r="A177" t="str">
            <v>CAUCHO PARA FLUXÓMETRO ROYAL</v>
          </cell>
          <cell r="B177" t="str">
            <v>7,00</v>
          </cell>
          <cell r="C177" t="str">
            <v>UN</v>
          </cell>
          <cell r="D177" t="str">
            <v>47.600,00</v>
          </cell>
          <cell r="E177">
            <v>49408.800000000003</v>
          </cell>
          <cell r="F177">
            <v>50204.28168</v>
          </cell>
          <cell r="G177">
            <v>42188.471999999994</v>
          </cell>
          <cell r="H177"/>
          <cell r="I177" t="str">
            <v>101.115,00</v>
          </cell>
        </row>
        <row r="178">
          <cell r="A178" t="str">
            <v>CEMENTO  GRIS           (BULTO * 50 KILOS)</v>
          </cell>
          <cell r="B178" t="str">
            <v>50,00</v>
          </cell>
          <cell r="C178" t="str">
            <v>UN</v>
          </cell>
          <cell r="D178" t="str">
            <v>24.610,00</v>
          </cell>
          <cell r="E178">
            <v>25545.18</v>
          </cell>
          <cell r="F178">
            <v>25956.457397999999</v>
          </cell>
          <cell r="G178">
            <v>21812.149073949578</v>
          </cell>
          <cell r="H178"/>
          <cell r="I178" t="str">
            <v>1.230.393,00</v>
          </cell>
        </row>
        <row r="179">
          <cell r="A179" t="str">
            <v>CEMENTO BLANCO        (BULTO * 40 KILOS)</v>
          </cell>
          <cell r="B179" t="str">
            <v>5,00</v>
          </cell>
          <cell r="C179" t="str">
            <v>UN</v>
          </cell>
          <cell r="D179" t="str">
            <v>39.483,00</v>
          </cell>
          <cell r="E179">
            <v>40983.353999999999</v>
          </cell>
          <cell r="F179">
            <v>41643.185999399997</v>
          </cell>
          <cell r="G179">
            <v>34994.273949075628</v>
          </cell>
          <cell r="H179"/>
          <cell r="I179" t="str">
            <v>1.671.285,00</v>
          </cell>
        </row>
        <row r="180">
          <cell r="A180" t="str">
            <v>CERRADURA ALCOBA</v>
          </cell>
          <cell r="B180" t="str">
            <v>30,00</v>
          </cell>
          <cell r="C180" t="str">
            <v>UN</v>
          </cell>
          <cell r="D180" t="str">
            <v>34.729,00</v>
          </cell>
          <cell r="E180">
            <v>36048.701999999997</v>
          </cell>
          <cell r="F180">
            <v>36629.086102199995</v>
          </cell>
          <cell r="G180">
            <v>30780.744623697476</v>
          </cell>
          <cell r="H180"/>
          <cell r="I180" t="str">
            <v>292.500,00</v>
          </cell>
        </row>
        <row r="181">
          <cell r="A181" t="str">
            <v>CERRADURA DE EMPOLTRAR  ¼ SEGURIDAD</v>
          </cell>
          <cell r="B181" t="str">
            <v>3,00</v>
          </cell>
          <cell r="C181" t="str">
            <v>UN</v>
          </cell>
          <cell r="D181" t="str">
            <v>97.500,00</v>
          </cell>
          <cell r="E181">
            <v>101205</v>
          </cell>
          <cell r="F181">
            <v>102834.4005</v>
          </cell>
          <cell r="G181">
            <v>86415.462605042019</v>
          </cell>
          <cell r="H181"/>
          <cell r="I181" t="str">
            <v>487.500,00</v>
          </cell>
        </row>
        <row r="182">
          <cell r="A182" t="str">
            <v>CERRADURA DE EMPOLTRAR SEGURIDAD</v>
          </cell>
          <cell r="B182" t="str">
            <v>5,00</v>
          </cell>
          <cell r="C182" t="str">
            <v>UN</v>
          </cell>
          <cell r="D182" t="str">
            <v>97.500,00</v>
          </cell>
          <cell r="E182">
            <v>101205</v>
          </cell>
          <cell r="F182">
            <v>102834.4005</v>
          </cell>
          <cell r="G182">
            <v>86415.462605042019</v>
          </cell>
          <cell r="H182"/>
          <cell r="I182" t="str">
            <v>1.041.870,00</v>
          </cell>
        </row>
        <row r="183">
          <cell r="A183" t="str">
            <v>CHAPA GAVETA 1550</v>
          </cell>
          <cell r="B183" t="str">
            <v>30,00</v>
          </cell>
          <cell r="C183" t="str">
            <v>UN</v>
          </cell>
          <cell r="D183" t="str">
            <v>4.286,00</v>
          </cell>
          <cell r="E183">
            <v>4448.8680000000004</v>
          </cell>
          <cell r="F183">
            <v>4520.4947748000004</v>
          </cell>
          <cell r="G183">
            <v>3798.7351048739501</v>
          </cell>
          <cell r="H183"/>
          <cell r="I183" t="str">
            <v>76.500,00</v>
          </cell>
        </row>
        <row r="184">
          <cell r="A184" t="str">
            <v>CHAPA GAVETA 1560</v>
          </cell>
          <cell r="B184" t="str">
            <v>30,00</v>
          </cell>
          <cell r="C184" t="str">
            <v>UN</v>
          </cell>
          <cell r="D184" t="str">
            <v>4.286,00</v>
          </cell>
          <cell r="E184">
            <v>4448.8680000000004</v>
          </cell>
          <cell r="F184">
            <v>4520.4947748000004</v>
          </cell>
          <cell r="G184">
            <v>3798.7351048739501</v>
          </cell>
          <cell r="H184"/>
          <cell r="I184" t="str">
            <v>76.500,00</v>
          </cell>
        </row>
        <row r="185">
          <cell r="A185" t="str">
            <v>CHAZO CON TORNILLO DE 3/8" X 2 1/2"    ( PAQUETE X 100 )</v>
          </cell>
          <cell r="B185" t="str">
            <v>5,00</v>
          </cell>
          <cell r="C185" t="str">
            <v>UN</v>
          </cell>
          <cell r="D185" t="str">
            <v>20.400,00</v>
          </cell>
          <cell r="E185">
            <v>21175.200000000001</v>
          </cell>
          <cell r="F185">
            <v>21516.120719999999</v>
          </cell>
          <cell r="G185">
            <v>18080.773714285711</v>
          </cell>
          <cell r="H185"/>
          <cell r="I185" t="str">
            <v>122.400,00</v>
          </cell>
        </row>
        <row r="186">
          <cell r="A186" t="str">
            <v>CHAZO CON TORNILLO DE 5/16" X 2 1/2"  ( PAQUETE X 100 )</v>
          </cell>
          <cell r="B186" t="str">
            <v>5,00</v>
          </cell>
          <cell r="C186" t="str">
            <v>UN</v>
          </cell>
          <cell r="D186" t="str">
            <v>17.000,00</v>
          </cell>
          <cell r="E186">
            <v>17646</v>
          </cell>
          <cell r="F186">
            <v>17930.100600000002</v>
          </cell>
          <cell r="G186">
            <v>15067.311428571429</v>
          </cell>
          <cell r="H186"/>
          <cell r="I186" t="str">
            <v>122.400,00</v>
          </cell>
        </row>
        <row r="187">
          <cell r="A187" t="str">
            <v>CHAZO PLÁSTICO  DRYWALL     1"         ( PAQUETE X 100 )</v>
          </cell>
          <cell r="B187" t="str">
            <v>2,00</v>
          </cell>
          <cell r="C187" t="str">
            <v>UN</v>
          </cell>
          <cell r="D187" t="str">
            <v>42.500,00</v>
          </cell>
          <cell r="E187">
            <v>44115</v>
          </cell>
          <cell r="F187">
            <v>44825.251499999998</v>
          </cell>
          <cell r="G187">
            <v>37668.278571428564</v>
          </cell>
          <cell r="H187"/>
          <cell r="I187" t="str">
            <v>122.400,00</v>
          </cell>
        </row>
        <row r="188">
          <cell r="A188" t="str">
            <v>CHAZO PLÁSTICO  DRYWALL   1/2"       ( PAQUETE X 100 )</v>
          </cell>
          <cell r="B188" t="str">
            <v>2,00</v>
          </cell>
          <cell r="C188" t="str">
            <v>UN</v>
          </cell>
          <cell r="D188" t="str">
            <v>25.500,00</v>
          </cell>
          <cell r="E188">
            <v>26469</v>
          </cell>
          <cell r="F188">
            <v>26895.150900000001</v>
          </cell>
          <cell r="G188">
            <v>22600.967142857142</v>
          </cell>
          <cell r="H188"/>
          <cell r="I188" t="str">
            <v>122.400,00</v>
          </cell>
        </row>
        <row r="189">
          <cell r="A189" t="str">
            <v>CHAZO PLÁSTICO  DRYWALL   1/4"       ( PAQUETE X 100 )</v>
          </cell>
          <cell r="B189" t="str">
            <v>2,00</v>
          </cell>
          <cell r="C189" t="str">
            <v>UN</v>
          </cell>
          <cell r="D189" t="str">
            <v>20.400,00</v>
          </cell>
          <cell r="E189">
            <v>21175.200000000001</v>
          </cell>
          <cell r="F189">
            <v>21516.120719999999</v>
          </cell>
          <cell r="G189">
            <v>18080.773714285711</v>
          </cell>
          <cell r="H189"/>
          <cell r="I189" t="str">
            <v>128.580,00</v>
          </cell>
        </row>
        <row r="190">
          <cell r="A190" t="str">
            <v>CHAZO PLÁSTICO  DRYWALL   3/4"       ( PAQUETE X 100 )</v>
          </cell>
          <cell r="B190" t="str">
            <v>2,00</v>
          </cell>
          <cell r="C190" t="str">
            <v>UN</v>
          </cell>
          <cell r="D190" t="str">
            <v>42.500,00</v>
          </cell>
          <cell r="E190">
            <v>44115</v>
          </cell>
          <cell r="F190">
            <v>44825.251499999998</v>
          </cell>
          <cell r="G190">
            <v>37668.278571428564</v>
          </cell>
          <cell r="H190"/>
          <cell r="I190" t="str">
            <v>128.580,00</v>
          </cell>
        </row>
        <row r="191">
          <cell r="A191" t="str">
            <v>CHAZO PLÁSTICO CON TORNILLO  1/4"       ( PAQUETE X 100 )</v>
          </cell>
          <cell r="B191" t="str">
            <v>1,00</v>
          </cell>
          <cell r="C191" t="str">
            <v>UN</v>
          </cell>
          <cell r="D191" t="str">
            <v>5.885,00</v>
          </cell>
          <cell r="E191">
            <v>6108.63</v>
          </cell>
          <cell r="F191">
            <v>6206.9789430000001</v>
          </cell>
          <cell r="G191">
            <v>5215.948691596639</v>
          </cell>
          <cell r="H191"/>
          <cell r="I191" t="str">
            <v>19.260,00</v>
          </cell>
        </row>
        <row r="192">
          <cell r="A192" t="str">
            <v>CHAZO PLÁSTICO CON TORNILLO  3/8"     ( PAQUETE X 100 )</v>
          </cell>
          <cell r="B192" t="str">
            <v>2,00</v>
          </cell>
          <cell r="C192" t="str">
            <v>UN</v>
          </cell>
          <cell r="D192" t="str">
            <v>13.600,00</v>
          </cell>
          <cell r="E192">
            <v>14116.8</v>
          </cell>
          <cell r="F192">
            <v>14344.080479999999</v>
          </cell>
          <cell r="G192">
            <v>12053.849142857143</v>
          </cell>
          <cell r="H192"/>
          <cell r="I192" t="str">
            <v>20.330,00</v>
          </cell>
        </row>
        <row r="193">
          <cell r="A193" t="str">
            <v>CHAZO PLÁSTICO CON TORNILLO  5/16"    ( PAQUETE X 100 )</v>
          </cell>
          <cell r="B193" t="str">
            <v>1,00</v>
          </cell>
          <cell r="C193" t="str">
            <v>UN</v>
          </cell>
          <cell r="D193" t="str">
            <v>10.200,00</v>
          </cell>
          <cell r="E193">
            <v>10587.6</v>
          </cell>
          <cell r="F193">
            <v>10758.060359999999</v>
          </cell>
          <cell r="G193">
            <v>9040.3868571428557</v>
          </cell>
          <cell r="H193"/>
          <cell r="I193" t="str">
            <v>52.430,00</v>
          </cell>
        </row>
        <row r="194">
          <cell r="A194" t="str">
            <v>CHAZOS MARIPOSA 3/8" PAQUETE X 100 UND</v>
          </cell>
          <cell r="B194" t="str">
            <v>10,00</v>
          </cell>
          <cell r="C194" t="str">
            <v>UN</v>
          </cell>
          <cell r="D194" t="str">
            <v>20.330,00</v>
          </cell>
          <cell r="E194">
            <v>21102.54</v>
          </cell>
          <cell r="F194">
            <v>21442.290894000002</v>
          </cell>
          <cell r="G194">
            <v>18018.731843697478</v>
          </cell>
          <cell r="H194"/>
          <cell r="I194" t="str">
            <v>41.730,00</v>
          </cell>
        </row>
        <row r="195">
          <cell r="A195" t="str">
            <v>CIERRE AUTOMÁTICO SENCILLO MAGNÉTICO</v>
          </cell>
          <cell r="B195" t="str">
            <v>10,00</v>
          </cell>
          <cell r="C195" t="str">
            <v>UN</v>
          </cell>
          <cell r="D195" t="str">
            <v>5.243,00</v>
          </cell>
          <cell r="E195">
            <v>5442.2340000000004</v>
          </cell>
          <cell r="F195">
            <v>5529.8539674000003</v>
          </cell>
          <cell r="G195">
            <v>4646.9361070588238</v>
          </cell>
          <cell r="H195"/>
          <cell r="I195" t="str">
            <v>190.460,00</v>
          </cell>
        </row>
        <row r="196">
          <cell r="A196" t="str">
            <v>CIERRE BOLA BRONCE 43MM</v>
          </cell>
          <cell r="B196" t="str">
            <v>10,00</v>
          </cell>
          <cell r="C196" t="str">
            <v>UN</v>
          </cell>
          <cell r="D196" t="str">
            <v>4.173,00</v>
          </cell>
          <cell r="E196">
            <v>4331.5739999999996</v>
          </cell>
          <cell r="F196">
            <v>4401.3123413999992</v>
          </cell>
          <cell r="G196">
            <v>3698.5817994957974</v>
          </cell>
          <cell r="H196"/>
          <cell r="I196" t="str">
            <v>107.000,00</v>
          </cell>
        </row>
        <row r="197">
          <cell r="A197" t="str">
            <v>CIERRE DE RODILLO</v>
          </cell>
          <cell r="B197" t="str">
            <v>10,00</v>
          </cell>
          <cell r="C197" t="str">
            <v>UN</v>
          </cell>
          <cell r="D197" t="str">
            <v>2.033,00</v>
          </cell>
          <cell r="E197">
            <v>2110.2539999999999</v>
          </cell>
          <cell r="F197">
            <v>2144.2290893999998</v>
          </cell>
          <cell r="G197">
            <v>1801.8731843697478</v>
          </cell>
          <cell r="H197"/>
          <cell r="I197" t="str">
            <v>27.880,00</v>
          </cell>
        </row>
        <row r="198">
          <cell r="A198" t="str">
            <v>CIERRE MAGNÉTICO BLANCO</v>
          </cell>
          <cell r="B198" t="str">
            <v>10,00</v>
          </cell>
          <cell r="C198" t="str">
            <v>UN</v>
          </cell>
          <cell r="D198" t="str">
            <v>1.926,00</v>
          </cell>
          <cell r="E198">
            <v>1999.1880000000001</v>
          </cell>
          <cell r="F198">
            <v>2031.3749268000001</v>
          </cell>
          <cell r="G198">
            <v>1707.0377536134456</v>
          </cell>
          <cell r="H198"/>
          <cell r="I198" t="str">
            <v>13.268,00</v>
          </cell>
        </row>
        <row r="199">
          <cell r="A199" t="str">
            <v>CINTA AISLANTE 33 X 20M</v>
          </cell>
          <cell r="B199" t="str">
            <v>30,00</v>
          </cell>
          <cell r="C199" t="str">
            <v>UN</v>
          </cell>
          <cell r="D199" t="str">
            <v>18.083,00</v>
          </cell>
          <cell r="E199">
            <v>18770.153999999999</v>
          </cell>
          <cell r="F199">
            <v>19072.353479399997</v>
          </cell>
          <cell r="G199">
            <v>16027.187797815124</v>
          </cell>
          <cell r="H199"/>
          <cell r="I199" t="str">
            <v>142.800,00</v>
          </cell>
        </row>
        <row r="200">
          <cell r="A200" t="str">
            <v>CINTA DOBLE FAX (PEGANTE A DOBLE CARA)</v>
          </cell>
          <cell r="B200" t="str">
            <v>4,00</v>
          </cell>
          <cell r="C200" t="str">
            <v>UN</v>
          </cell>
          <cell r="D200" t="str">
            <v>9.195,00</v>
          </cell>
          <cell r="E200">
            <v>9544.41</v>
          </cell>
          <cell r="F200">
            <v>9698.0750009999992</v>
          </cell>
          <cell r="G200">
            <v>8149.6428579831927</v>
          </cell>
          <cell r="H200"/>
          <cell r="I200" t="str">
            <v>28.900,00</v>
          </cell>
        </row>
        <row r="201">
          <cell r="A201" t="str">
            <v>CINTA MALLA X 150 MT</v>
          </cell>
          <cell r="B201" t="str">
            <v>5,00</v>
          </cell>
          <cell r="C201" t="str">
            <v>UN</v>
          </cell>
          <cell r="D201" t="str">
            <v>15.875,00</v>
          </cell>
          <cell r="E201">
            <v>16478.25</v>
          </cell>
          <cell r="F201">
            <v>16743.549824999998</v>
          </cell>
          <cell r="G201">
            <v>14070.209936974788</v>
          </cell>
          <cell r="H201"/>
          <cell r="I201" t="str">
            <v>51.146,00</v>
          </cell>
        </row>
        <row r="202">
          <cell r="A202" t="str">
            <v>CINTA PAPEL  X 150 MT</v>
          </cell>
          <cell r="B202" t="str">
            <v>2,00</v>
          </cell>
          <cell r="C202" t="str">
            <v>UN</v>
          </cell>
          <cell r="D202" t="str">
            <v>19.985,00</v>
          </cell>
          <cell r="E202">
            <v>20744.43</v>
          </cell>
          <cell r="F202">
            <v>21078.415323000001</v>
          </cell>
          <cell r="G202">
            <v>17712.954052941179</v>
          </cell>
          <cell r="H202"/>
          <cell r="I202" t="str">
            <v>64.600,00</v>
          </cell>
        </row>
        <row r="203">
          <cell r="A203" t="str">
            <v>CINTA TEFLÓN 1/2" X 10 METROS</v>
          </cell>
          <cell r="B203" t="str">
            <v>5,00</v>
          </cell>
          <cell r="C203" t="str">
            <v>UN</v>
          </cell>
          <cell r="D203" t="str">
            <v>1.605,00</v>
          </cell>
          <cell r="E203">
            <v>1665.99</v>
          </cell>
          <cell r="F203">
            <v>1692.812439</v>
          </cell>
          <cell r="G203">
            <v>1422.5314613445378</v>
          </cell>
          <cell r="H203"/>
          <cell r="I203" t="str">
            <v>128.400,00</v>
          </cell>
        </row>
        <row r="204">
          <cell r="A204" t="str">
            <v>CINTAS ANTIDESLIZANTE NEGRA 2" X ROLLO 20 MTS</v>
          </cell>
          <cell r="B204" t="str">
            <v>5,00</v>
          </cell>
          <cell r="C204" t="str">
            <v>UN</v>
          </cell>
          <cell r="D204" t="str">
            <v>65.900,00</v>
          </cell>
          <cell r="E204">
            <v>68404.2</v>
          </cell>
          <cell r="F204">
            <v>69505.507620000004</v>
          </cell>
          <cell r="G204">
            <v>58407.989596638654</v>
          </cell>
          <cell r="H204"/>
          <cell r="I204" t="str">
            <v>795.770,00</v>
          </cell>
        </row>
        <row r="205">
          <cell r="A205" t="str">
            <v>CINTAS ANTIDESLIZANTE REFLECTIVA  2" X ROLLO 15 MTS</v>
          </cell>
          <cell r="B205" t="str">
            <v>5,00</v>
          </cell>
          <cell r="C205" t="str">
            <v>UN</v>
          </cell>
          <cell r="D205" t="str">
            <v>139.500,00</v>
          </cell>
          <cell r="E205">
            <v>144801</v>
          </cell>
          <cell r="F205">
            <v>147132.29610000001</v>
          </cell>
          <cell r="G205">
            <v>123640.5849579832</v>
          </cell>
          <cell r="H205"/>
          <cell r="I205" t="str">
            <v>28.580,00</v>
          </cell>
        </row>
        <row r="206">
          <cell r="A206" t="str">
            <v>CINTAS DE SEÑALIZACIÓN X 500 (PELIGRO)</v>
          </cell>
          <cell r="B206" t="str">
            <v>5,00</v>
          </cell>
          <cell r="C206" t="str">
            <v>UN</v>
          </cell>
          <cell r="D206" t="str">
            <v>23.800,00</v>
          </cell>
          <cell r="E206">
            <v>24704.400000000001</v>
          </cell>
          <cell r="F206">
            <v>25102.14084</v>
          </cell>
          <cell r="G206">
            <v>21094.235999999997</v>
          </cell>
          <cell r="H206"/>
          <cell r="I206" t="str">
            <v>78.570,00</v>
          </cell>
        </row>
        <row r="207">
          <cell r="A207" t="str">
            <v>CLAVIJA DE CAUCHO HEMBRA  POLO A TIERRA 125V - 15A</v>
          </cell>
          <cell r="B207" t="str">
            <v>10,00</v>
          </cell>
          <cell r="C207" t="str">
            <v>UN</v>
          </cell>
          <cell r="D207" t="str">
            <v>4.066,00</v>
          </cell>
          <cell r="E207">
            <v>4220.5079999999998</v>
          </cell>
          <cell r="F207">
            <v>4288.4581787999996</v>
          </cell>
          <cell r="G207">
            <v>3603.7463687394957</v>
          </cell>
          <cell r="H207"/>
          <cell r="I207" t="str">
            <v>29.100,00</v>
          </cell>
        </row>
        <row r="208">
          <cell r="A208" t="str">
            <v>CLAVIJA DE CAUCHO MACHO POLO A TIERRA 125V - 15A</v>
          </cell>
          <cell r="B208" t="str">
            <v>10,00</v>
          </cell>
          <cell r="C208" t="str">
            <v>UN</v>
          </cell>
          <cell r="D208" t="str">
            <v>3.959,00</v>
          </cell>
          <cell r="E208">
            <v>4109.442</v>
          </cell>
          <cell r="F208">
            <v>4175.6040161999999</v>
          </cell>
          <cell r="G208">
            <v>3508.9109379831934</v>
          </cell>
          <cell r="H208"/>
          <cell r="I208" t="str">
            <v>21.710,00</v>
          </cell>
        </row>
        <row r="209">
          <cell r="A209" t="str">
            <v>CONECTOR LAVAMANOS 1/2"</v>
          </cell>
          <cell r="B209" t="str">
            <v>5,00</v>
          </cell>
          <cell r="C209" t="str">
            <v>UN</v>
          </cell>
          <cell r="D209" t="str">
            <v>3.890,00</v>
          </cell>
          <cell r="E209">
            <v>4037.82</v>
          </cell>
          <cell r="F209">
            <v>4102.8289020000002</v>
          </cell>
          <cell r="G209">
            <v>3447.7553798319332</v>
          </cell>
          <cell r="H209"/>
          <cell r="I209" t="str">
            <v>27.200,00</v>
          </cell>
        </row>
        <row r="210">
          <cell r="A210" t="str">
            <v>CONECTOR SANITARIO 1/2" X 3/4"</v>
          </cell>
          <cell r="B210" t="str">
            <v>5,00</v>
          </cell>
          <cell r="C210" t="str">
            <v>UN</v>
          </cell>
          <cell r="D210" t="str">
            <v>3.890,00</v>
          </cell>
          <cell r="E210">
            <v>4037.82</v>
          </cell>
          <cell r="F210">
            <v>4102.8289020000002</v>
          </cell>
          <cell r="G210">
            <v>3447.7553798319332</v>
          </cell>
          <cell r="H210"/>
          <cell r="I210" t="str">
            <v>35.200,00</v>
          </cell>
        </row>
        <row r="211">
          <cell r="A211" t="str">
            <v>COPA COBRE TIPO K 1 " A 1/2"</v>
          </cell>
          <cell r="B211" t="str">
            <v>5,00</v>
          </cell>
          <cell r="C211" t="str">
            <v>UN</v>
          </cell>
          <cell r="D211" t="str">
            <v>4.667,00</v>
          </cell>
          <cell r="E211">
            <v>4844.3459999999995</v>
          </cell>
          <cell r="F211">
            <v>4922.3399705999991</v>
          </cell>
          <cell r="G211">
            <v>4136.4201433613434</v>
          </cell>
          <cell r="H211"/>
          <cell r="I211" t="str">
            <v>459.000,00</v>
          </cell>
        </row>
        <row r="212">
          <cell r="A212" t="str">
            <v>COPA COBRE TIPO K 1 1/2" A 1 1/4"</v>
          </cell>
          <cell r="B212" t="str">
            <v>2,00</v>
          </cell>
          <cell r="C212" t="str">
            <v>UN</v>
          </cell>
          <cell r="D212" t="str">
            <v>15.683,00</v>
          </cell>
          <cell r="E212">
            <v>16278.954</v>
          </cell>
          <cell r="F212">
            <v>16541.045159400001</v>
          </cell>
          <cell r="G212">
            <v>13900.037949075631</v>
          </cell>
          <cell r="H212"/>
          <cell r="I212" t="str">
            <v>612.000,00</v>
          </cell>
        </row>
        <row r="213">
          <cell r="A213" t="str">
            <v>COPA COBRE TIPO K 1 1/4" A 1"</v>
          </cell>
          <cell r="B213" t="str">
            <v>2,00</v>
          </cell>
          <cell r="C213" t="str">
            <v>UN</v>
          </cell>
          <cell r="D213" t="str">
            <v>14.110,00</v>
          </cell>
          <cell r="E213">
            <v>14646.18</v>
          </cell>
          <cell r="F213">
            <v>14881.983498</v>
          </cell>
          <cell r="G213">
            <v>12505.868485714285</v>
          </cell>
          <cell r="H213"/>
          <cell r="I213" t="str">
            <v>57.144,00</v>
          </cell>
        </row>
        <row r="214">
          <cell r="A214" t="str">
            <v>COPA COBRE TIPO K 1" A 3/4"</v>
          </cell>
          <cell r="B214" t="str">
            <v>2,00</v>
          </cell>
          <cell r="C214" t="str">
            <v>UN</v>
          </cell>
          <cell r="D214" t="str">
            <v>4.760,00</v>
          </cell>
          <cell r="E214">
            <v>4940.88</v>
          </cell>
          <cell r="F214">
            <v>5020.4281680000004</v>
          </cell>
          <cell r="G214">
            <v>4218.8472000000002</v>
          </cell>
          <cell r="H214"/>
          <cell r="I214" t="str">
            <v>57.144,00</v>
          </cell>
        </row>
        <row r="215">
          <cell r="A215" t="str">
            <v>COPA COBRE TIPO K 3/4" A  1/2"</v>
          </cell>
          <cell r="B215" t="str">
            <v>5,00</v>
          </cell>
          <cell r="C215" t="str">
            <v>UN</v>
          </cell>
          <cell r="D215" t="str">
            <v>4.080,00</v>
          </cell>
          <cell r="E215">
            <v>4235.04</v>
          </cell>
          <cell r="F215">
            <v>4303.2241439999998</v>
          </cell>
          <cell r="G215">
            <v>3616.154742857143</v>
          </cell>
          <cell r="H215"/>
          <cell r="I215" t="str">
            <v>535.000,00</v>
          </cell>
        </row>
        <row r="216">
          <cell r="A216" t="str">
            <v>CORNISA PVC PARA CIELO RAZO</v>
          </cell>
          <cell r="B216" t="str">
            <v>20,00</v>
          </cell>
          <cell r="C216" t="str">
            <v>UN</v>
          </cell>
          <cell r="D216" t="str">
            <v>18.618,00</v>
          </cell>
          <cell r="E216">
            <v>19325.484</v>
          </cell>
          <cell r="F216">
            <v>19636.6242924</v>
          </cell>
          <cell r="G216">
            <v>16501.364951596639</v>
          </cell>
          <cell r="H216"/>
          <cell r="I216" t="str">
            <v>36.780,00</v>
          </cell>
        </row>
        <row r="217">
          <cell r="A217" t="str">
            <v>CORREDERAS FULL STATION 40</v>
          </cell>
          <cell r="B217" t="str">
            <v>30,00</v>
          </cell>
          <cell r="C217" t="str">
            <v>UN</v>
          </cell>
          <cell r="D217" t="str">
            <v>11.663,00</v>
          </cell>
          <cell r="E217">
            <v>12106.194</v>
          </cell>
          <cell r="F217">
            <v>12301.1037234</v>
          </cell>
          <cell r="G217">
            <v>10337.061952436974</v>
          </cell>
          <cell r="H217"/>
          <cell r="I217" t="str">
            <v>297.000,00</v>
          </cell>
        </row>
        <row r="218">
          <cell r="A218" t="str">
            <v>CORREDERAS FULL STATION 55</v>
          </cell>
          <cell r="B218" t="str">
            <v>30,00</v>
          </cell>
          <cell r="C218" t="str">
            <v>UN</v>
          </cell>
          <cell r="D218" t="str">
            <v>16.927,00</v>
          </cell>
          <cell r="E218">
            <v>17570.225999999999</v>
          </cell>
          <cell r="F218">
            <v>17853.106638599998</v>
          </cell>
          <cell r="G218">
            <v>15002.610620672267</v>
          </cell>
          <cell r="H218"/>
          <cell r="I218" t="str">
            <v>323.675,00</v>
          </cell>
        </row>
        <row r="219">
          <cell r="A219" t="str">
            <v>CORTAFUEGO GUILLOTINA VERTICAL CON MANIJA</v>
          </cell>
          <cell r="B219" t="str">
            <v>1,00</v>
          </cell>
          <cell r="C219" t="str">
            <v>UN</v>
          </cell>
          <cell r="D219" t="str">
            <v>1.671.285,00</v>
          </cell>
          <cell r="E219">
            <v>1734793.83</v>
          </cell>
          <cell r="F219">
            <v>1762724.0106630002</v>
          </cell>
          <cell r="G219">
            <v>1481280.6812294119</v>
          </cell>
          <cell r="H219"/>
          <cell r="I219" t="str">
            <v>107.000,00</v>
          </cell>
        </row>
        <row r="220">
          <cell r="A220" t="str">
            <v>CORTAFUEGO VERTICAL PUSH CON MANIJA</v>
          </cell>
          <cell r="B220" t="str">
            <v>1,00</v>
          </cell>
          <cell r="C220" t="str">
            <v>UN</v>
          </cell>
          <cell r="D220" t="str">
            <v>1.230.393,00</v>
          </cell>
          <cell r="E220">
            <v>1277147.9339999999</v>
          </cell>
          <cell r="F220">
            <v>1297710.0157373999</v>
          </cell>
          <cell r="G220">
            <v>1090512.6182667227</v>
          </cell>
          <cell r="H220"/>
          <cell r="I220" t="str">
            <v>25.680,00</v>
          </cell>
        </row>
        <row r="221">
          <cell r="A221" t="str">
            <v>CUCHILLA PARA CALADORA JUEGO X 5 PIEZAS BOSH</v>
          </cell>
          <cell r="B221" t="str">
            <v>1,00</v>
          </cell>
          <cell r="C221" t="str">
            <v>UN</v>
          </cell>
          <cell r="D221" t="str">
            <v>23.540,00</v>
          </cell>
          <cell r="E221">
            <v>24434.52</v>
          </cell>
          <cell r="F221">
            <v>24827.915772</v>
          </cell>
          <cell r="G221">
            <v>20863.794766386556</v>
          </cell>
          <cell r="H221"/>
          <cell r="I221" t="str">
            <v>75.650,00</v>
          </cell>
        </row>
        <row r="222">
          <cell r="A222" t="str">
            <v>CURVA 90 X 1/2 CONDUIT</v>
          </cell>
          <cell r="B222" t="str">
            <v>15,00</v>
          </cell>
          <cell r="C222" t="str">
            <v>UN</v>
          </cell>
          <cell r="D222" t="str">
            <v>749,00</v>
          </cell>
          <cell r="E222">
            <v>777.46199999999999</v>
          </cell>
          <cell r="F222">
            <v>789.97913819999997</v>
          </cell>
          <cell r="G222">
            <v>663.84801529411766</v>
          </cell>
          <cell r="H222"/>
          <cell r="I222" t="str">
            <v>64.940,00</v>
          </cell>
        </row>
        <row r="223">
          <cell r="A223" t="str">
            <v>CURVA 90 X 3/4 CONDUIT</v>
          </cell>
          <cell r="B223" t="str">
            <v>15,00</v>
          </cell>
          <cell r="C223" t="str">
            <v>UN</v>
          </cell>
          <cell r="D223" t="str">
            <v>1.338,00</v>
          </cell>
          <cell r="E223">
            <v>1388.8440000000001</v>
          </cell>
          <cell r="F223">
            <v>1411.2043884</v>
          </cell>
          <cell r="G223">
            <v>1185.8860406722688</v>
          </cell>
          <cell r="H223"/>
          <cell r="I223" t="str">
            <v>116.630,00</v>
          </cell>
        </row>
        <row r="224">
          <cell r="A224" t="str">
            <v>CURVA 90° X 1/2 " METÁLICA CONDUIT</v>
          </cell>
          <cell r="B224" t="str">
            <v>15,00</v>
          </cell>
          <cell r="C224" t="str">
            <v>UN</v>
          </cell>
          <cell r="D224" t="str">
            <v>5.440,00</v>
          </cell>
          <cell r="E224">
            <v>5646.72</v>
          </cell>
          <cell r="F224">
            <v>5737.632192</v>
          </cell>
          <cell r="G224">
            <v>4821.5396571428573</v>
          </cell>
          <cell r="H224"/>
          <cell r="I224" t="str">
            <v>232.900,00</v>
          </cell>
        </row>
        <row r="225">
          <cell r="A225" t="str">
            <v>CURVA 90° X 3/4 METÁLICA CONDUIT</v>
          </cell>
          <cell r="B225" t="str">
            <v>15,00</v>
          </cell>
          <cell r="C225" t="str">
            <v>UN</v>
          </cell>
          <cell r="D225" t="str">
            <v>7.684,00</v>
          </cell>
          <cell r="E225">
            <v>7975.9920000000002</v>
          </cell>
          <cell r="F225">
            <v>8104.4054711999997</v>
          </cell>
          <cell r="G225">
            <v>6810.424765714286</v>
          </cell>
          <cell r="H225"/>
          <cell r="I225" t="str">
            <v>48.040,00</v>
          </cell>
        </row>
        <row r="226">
          <cell r="A226" t="str">
            <v>DESAGÜES PUCH CORTO METAL SIN REBOSE (CROMO)</v>
          </cell>
          <cell r="B226" t="str">
            <v>5,00</v>
          </cell>
          <cell r="C226" t="str">
            <v>UN</v>
          </cell>
          <cell r="D226" t="str">
            <v>81.469,00</v>
          </cell>
          <cell r="E226">
            <v>84564.822</v>
          </cell>
          <cell r="F226">
            <v>85926.3156342</v>
          </cell>
          <cell r="G226">
            <v>72206.987927899158</v>
          </cell>
          <cell r="H226"/>
          <cell r="I226" t="str">
            <v>127.330,00</v>
          </cell>
        </row>
        <row r="227">
          <cell r="A227" t="str">
            <v>DESAGÜES PUCH LARGO METAL CON REBOSE (CROMO)</v>
          </cell>
          <cell r="B227" t="str">
            <v>5,00</v>
          </cell>
          <cell r="C227" t="str">
            <v>UN</v>
          </cell>
          <cell r="D227" t="str">
            <v>81.469,00</v>
          </cell>
          <cell r="E227">
            <v>84564.822</v>
          </cell>
          <cell r="F227">
            <v>85926.3156342</v>
          </cell>
          <cell r="G227">
            <v>72206.987927899158</v>
          </cell>
          <cell r="H227"/>
          <cell r="I227" t="str">
            <v>80.840,00</v>
          </cell>
        </row>
        <row r="228">
          <cell r="A228" t="str">
            <v>DESAGÜES SENCILLO S/REBOSA</v>
          </cell>
          <cell r="B228" t="str">
            <v>5,00</v>
          </cell>
          <cell r="C228" t="str">
            <v>UN</v>
          </cell>
          <cell r="D228" t="str">
            <v>13.063,00</v>
          </cell>
          <cell r="E228">
            <v>13559.394</v>
          </cell>
          <cell r="F228">
            <v>13777.700243400001</v>
          </cell>
          <cell r="G228">
            <v>11577.899364201681</v>
          </cell>
          <cell r="H228"/>
          <cell r="I228" t="str">
            <v>187.140,00</v>
          </cell>
        </row>
        <row r="229">
          <cell r="A229" t="str">
            <v>DIAFRAGMA PARA FLUXÓMETRO CORONA</v>
          </cell>
          <cell r="B229" t="str">
            <v>4,00</v>
          </cell>
          <cell r="C229" t="str">
            <v>UN</v>
          </cell>
          <cell r="D229" t="str">
            <v>204.000,00</v>
          </cell>
          <cell r="E229">
            <v>211752</v>
          </cell>
          <cell r="F229">
            <v>215161.2072</v>
          </cell>
          <cell r="G229">
            <v>180807.73714285714</v>
          </cell>
          <cell r="H229"/>
          <cell r="I229" t="str">
            <v>1.230.500,00</v>
          </cell>
        </row>
        <row r="230">
          <cell r="A230" t="str">
            <v>DILATADORES DE 3MM</v>
          </cell>
          <cell r="B230" t="str">
            <v>1.000,00</v>
          </cell>
          <cell r="C230" t="str">
            <v>UN</v>
          </cell>
          <cell r="D230" t="str">
            <v>107,00</v>
          </cell>
          <cell r="E230">
            <v>111.066</v>
          </cell>
          <cell r="F230">
            <v>112.85416260000001</v>
          </cell>
          <cell r="G230">
            <v>94.835430756302543</v>
          </cell>
          <cell r="H230"/>
          <cell r="I230" t="str">
            <v>197.415,00</v>
          </cell>
        </row>
        <row r="231">
          <cell r="A231" t="str">
            <v>DISCO DE CORTE PARA METAL  DE 4"</v>
          </cell>
          <cell r="B231" t="str">
            <v>5,00</v>
          </cell>
          <cell r="C231" t="str">
            <v>UN</v>
          </cell>
          <cell r="D231" t="str">
            <v>5.236,00</v>
          </cell>
          <cell r="E231">
            <v>5434.9679999999998</v>
          </cell>
          <cell r="F231">
            <v>5522.4709848000002</v>
          </cell>
          <cell r="G231">
            <v>4640.7319200000002</v>
          </cell>
          <cell r="H231"/>
          <cell r="I231" t="str">
            <v>179.760,00</v>
          </cell>
        </row>
        <row r="232">
          <cell r="A232" t="str">
            <v>DISCO DE CORTE PARA METAL  DE 7”</v>
          </cell>
          <cell r="B232" t="str">
            <v>3,00</v>
          </cell>
          <cell r="C232" t="str">
            <v>UN</v>
          </cell>
          <cell r="D232" t="str">
            <v>7.330,00</v>
          </cell>
          <cell r="E232">
            <v>7608.54</v>
          </cell>
          <cell r="F232">
            <v>7731.0374940000002</v>
          </cell>
          <cell r="G232">
            <v>6496.6701630252101</v>
          </cell>
          <cell r="H232"/>
          <cell r="I232" t="str">
            <v>789.660,00</v>
          </cell>
        </row>
        <row r="233">
          <cell r="A233" t="str">
            <v>DISCO DIAMANTADO CONTINUO DE 4 "</v>
          </cell>
          <cell r="B233" t="str">
            <v>3,00</v>
          </cell>
          <cell r="C233" t="str">
            <v>UN</v>
          </cell>
          <cell r="D233" t="str">
            <v>15.943,00</v>
          </cell>
          <cell r="E233">
            <v>16548.833999999999</v>
          </cell>
          <cell r="F233">
            <v>16815.2702274</v>
          </cell>
          <cell r="G233">
            <v>14130.479182689074</v>
          </cell>
          <cell r="H233"/>
          <cell r="I233" t="str">
            <v>216.461,00</v>
          </cell>
        </row>
        <row r="234">
          <cell r="A234" t="str">
            <v>DISCO DIAMANTADO DE 7”</v>
          </cell>
          <cell r="B234" t="str">
            <v>3,00</v>
          </cell>
          <cell r="C234" t="str">
            <v>UN</v>
          </cell>
          <cell r="D234" t="str">
            <v>39.590,00</v>
          </cell>
          <cell r="E234">
            <v>41094.42</v>
          </cell>
          <cell r="F234">
            <v>41756.040161999998</v>
          </cell>
          <cell r="G234">
            <v>35089.109379831934</v>
          </cell>
          <cell r="H234"/>
          <cell r="I234" t="str">
            <v>156.935,00</v>
          </cell>
        </row>
        <row r="235">
          <cell r="A235" t="str">
            <v>DISCO DIAMANTADO DENTADO DE 4 "</v>
          </cell>
          <cell r="B235" t="str">
            <v>3,00</v>
          </cell>
          <cell r="C235" t="str">
            <v>UN</v>
          </cell>
          <cell r="D235" t="str">
            <v>16.585,00</v>
          </cell>
          <cell r="E235">
            <v>17215.23</v>
          </cell>
          <cell r="F235">
            <v>17492.395203</v>
          </cell>
          <cell r="G235">
            <v>14699.491767226891</v>
          </cell>
          <cell r="H235"/>
          <cell r="I235" t="str">
            <v>156.935,00</v>
          </cell>
        </row>
        <row r="236">
          <cell r="A236" t="str">
            <v>DISCO FLAP DE 7"</v>
          </cell>
          <cell r="B236" t="str">
            <v>10,00</v>
          </cell>
          <cell r="C236" t="str">
            <v>UN</v>
          </cell>
          <cell r="D236" t="str">
            <v>5.885,00</v>
          </cell>
          <cell r="E236">
            <v>6108.63</v>
          </cell>
          <cell r="F236">
            <v>6206.9789430000001</v>
          </cell>
          <cell r="G236">
            <v>5215.948691596639</v>
          </cell>
          <cell r="H236"/>
          <cell r="I236" t="str">
            <v>652.165,00</v>
          </cell>
        </row>
        <row r="237">
          <cell r="A237" t="str">
            <v>DISCO PARA FLUXÓMETRO ROYAL</v>
          </cell>
          <cell r="B237" t="str">
            <v>7,00</v>
          </cell>
          <cell r="C237" t="str">
            <v>UN</v>
          </cell>
          <cell r="D237" t="str">
            <v>54.766,00</v>
          </cell>
          <cell r="E237">
            <v>56847.108</v>
          </cell>
          <cell r="F237">
            <v>57762.346438799999</v>
          </cell>
          <cell r="G237">
            <v>48539.786923361346</v>
          </cell>
          <cell r="H237"/>
          <cell r="I237" t="str">
            <v>411.950,00</v>
          </cell>
        </row>
        <row r="238">
          <cell r="A238" t="str">
            <v>DISCO PARA SIERRA 45"</v>
          </cell>
          <cell r="B238" t="str">
            <v>1,00</v>
          </cell>
          <cell r="C238" t="str">
            <v>UN</v>
          </cell>
          <cell r="D238" t="str">
            <v>43.870,00</v>
          </cell>
          <cell r="E238">
            <v>45537.06</v>
          </cell>
          <cell r="F238">
            <v>46270.206665999998</v>
          </cell>
          <cell r="G238">
            <v>38882.526610084038</v>
          </cell>
          <cell r="H238"/>
          <cell r="I238" t="str">
            <v>1.583.600,00</v>
          </cell>
        </row>
        <row r="239">
          <cell r="A239" t="str">
            <v>EMPAQUE DE CAUCHO PARA LAVAMANOS 1/2" CÓNICO</v>
          </cell>
          <cell r="B239" t="str">
            <v>200,00</v>
          </cell>
          <cell r="C239" t="str">
            <v>UN</v>
          </cell>
          <cell r="D239" t="str">
            <v>680,00</v>
          </cell>
          <cell r="E239">
            <v>705.84</v>
          </cell>
          <cell r="F239">
            <v>717.204024</v>
          </cell>
          <cell r="G239">
            <v>602.69245714285717</v>
          </cell>
          <cell r="H239"/>
          <cell r="I239" t="str">
            <v>286.780,00</v>
          </cell>
        </row>
        <row r="240">
          <cell r="A240" t="str">
            <v>ENCHAPE CERÁMICO 20 X 20 BLANCO M2</v>
          </cell>
          <cell r="B240" t="str">
            <v>10,00</v>
          </cell>
          <cell r="C240" t="str">
            <v>M2</v>
          </cell>
          <cell r="D240" t="str">
            <v>21.935,00</v>
          </cell>
          <cell r="E240">
            <v>22768.53</v>
          </cell>
          <cell r="F240">
            <v>23135.103332999999</v>
          </cell>
          <cell r="G240">
            <v>19441.263305042019</v>
          </cell>
          <cell r="H240"/>
          <cell r="I240" t="str">
            <v>2.380.000,00</v>
          </cell>
        </row>
        <row r="241">
          <cell r="A241" t="str">
            <v>ENCHAPE CERÁMICO 30 X 30 COLORES M2</v>
          </cell>
          <cell r="B241" t="str">
            <v>10,00</v>
          </cell>
          <cell r="C241" t="str">
            <v>M2</v>
          </cell>
          <cell r="D241" t="str">
            <v>34.989,00</v>
          </cell>
          <cell r="E241">
            <v>36318.582000000002</v>
          </cell>
          <cell r="F241">
            <v>36903.311170200002</v>
          </cell>
          <cell r="G241">
            <v>31011.185857310928</v>
          </cell>
          <cell r="H241"/>
          <cell r="I241" t="str">
            <v>109.140,00</v>
          </cell>
        </row>
        <row r="242">
          <cell r="A242" t="str">
            <v>ENCHAPE CERÁMICO 30 X 60 BLANCO M2</v>
          </cell>
          <cell r="B242" t="str">
            <v>10,00</v>
          </cell>
          <cell r="C242" t="str">
            <v>M2</v>
          </cell>
          <cell r="D242" t="str">
            <v>33.769,00</v>
          </cell>
          <cell r="E242">
            <v>35052.222000000002</v>
          </cell>
          <cell r="F242">
            <v>35616.5627742</v>
          </cell>
          <cell r="G242">
            <v>29929.884684201683</v>
          </cell>
          <cell r="H242"/>
          <cell r="I242" t="str">
            <v>210.858,00</v>
          </cell>
        </row>
        <row r="243">
          <cell r="A243" t="str">
            <v>ENCHAPE CERÁMICO 35 X 25 BLANCO (BAÑO) M2</v>
          </cell>
          <cell r="B243" t="str">
            <v>10,00</v>
          </cell>
          <cell r="C243" t="str">
            <v>M2</v>
          </cell>
          <cell r="D243" t="str">
            <v>30.286,00</v>
          </cell>
          <cell r="E243">
            <v>31436.867999999999</v>
          </cell>
          <cell r="F243">
            <v>31943.001574799997</v>
          </cell>
          <cell r="G243">
            <v>26842.858466218484</v>
          </cell>
          <cell r="H243"/>
          <cell r="I243" t="str">
            <v>83.460,00</v>
          </cell>
        </row>
        <row r="244">
          <cell r="A244" t="str">
            <v>ESPÁTULA METÁLICA 4"</v>
          </cell>
          <cell r="B244" t="str">
            <v>5,00</v>
          </cell>
          <cell r="C244" t="str">
            <v>UN</v>
          </cell>
          <cell r="D244" t="str">
            <v>5.428,00</v>
          </cell>
          <cell r="E244">
            <v>5634.2640000000001</v>
          </cell>
          <cell r="F244">
            <v>5724.9756503999997</v>
          </cell>
          <cell r="G244">
            <v>4810.90390789916</v>
          </cell>
          <cell r="H244"/>
          <cell r="I244" t="str">
            <v>53.924,00</v>
          </cell>
        </row>
        <row r="245">
          <cell r="A245" t="str">
            <v>ESQUINERO METÁLICO 3,5MM PVC PARA CIELO RAZO</v>
          </cell>
          <cell r="B245" t="str">
            <v>20,00</v>
          </cell>
          <cell r="C245" t="str">
            <v>UN</v>
          </cell>
          <cell r="D245" t="str">
            <v>21.429,00</v>
          </cell>
          <cell r="E245">
            <v>22243.302</v>
          </cell>
          <cell r="F245">
            <v>22601.4191622</v>
          </cell>
          <cell r="G245">
            <v>18992.789211932773</v>
          </cell>
          <cell r="H245"/>
          <cell r="I245" t="str">
            <v>40.320,00</v>
          </cell>
        </row>
        <row r="246">
          <cell r="A246" t="str">
            <v>ESQUINERO PLÁSTICO 3,5MM PVC PARA CIELO RAZO</v>
          </cell>
          <cell r="B246" t="str">
            <v>20,00</v>
          </cell>
          <cell r="C246" t="str">
            <v>UN</v>
          </cell>
          <cell r="D246" t="str">
            <v>21.429,00</v>
          </cell>
          <cell r="E246">
            <v>22243.302</v>
          </cell>
          <cell r="F246">
            <v>22601.4191622</v>
          </cell>
          <cell r="G246">
            <v>18992.789211932773</v>
          </cell>
          <cell r="H246"/>
          <cell r="I246" t="str">
            <v>999.915,00</v>
          </cell>
        </row>
        <row r="247">
          <cell r="A247" t="str">
            <v>EXTENSIÓN ALARGUE PARA SIFÓN BOTELLA DE 1¼”</v>
          </cell>
          <cell r="B247" t="str">
            <v>3,00</v>
          </cell>
          <cell r="C247" t="str">
            <v>UN</v>
          </cell>
          <cell r="D247" t="str">
            <v>22.046,00</v>
          </cell>
          <cell r="E247">
            <v>22883.748</v>
          </cell>
          <cell r="F247">
            <v>23252.176342800001</v>
          </cell>
          <cell r="G247">
            <v>19539.643985546223</v>
          </cell>
          <cell r="H247"/>
          <cell r="I247" t="str">
            <v>81.855,00</v>
          </cell>
        </row>
        <row r="248">
          <cell r="A248" t="str">
            <v>FLEXÓMETRO</v>
          </cell>
          <cell r="B248" t="str">
            <v>10,00</v>
          </cell>
          <cell r="C248" t="str">
            <v>UN</v>
          </cell>
          <cell r="D248" t="str">
            <v>17.120,00</v>
          </cell>
          <cell r="E248">
            <v>17770.560000000001</v>
          </cell>
          <cell r="F248">
            <v>18056.666016000003</v>
          </cell>
          <cell r="G248">
            <v>15173.668921008404</v>
          </cell>
          <cell r="H248"/>
          <cell r="I248" t="str">
            <v>22.740,00</v>
          </cell>
        </row>
        <row r="249">
          <cell r="A249" t="str">
            <v>FUNDENTE PARA BRONCE BORAX</v>
          </cell>
          <cell r="B249" t="str">
            <v>1,00</v>
          </cell>
          <cell r="C249" t="str">
            <v>KG</v>
          </cell>
          <cell r="D249" t="str">
            <v>37.400,00</v>
          </cell>
          <cell r="E249">
            <v>38821.199999999997</v>
          </cell>
          <cell r="F249">
            <v>39446.221319999997</v>
          </cell>
          <cell r="G249">
            <v>33148.08514285714</v>
          </cell>
          <cell r="H249"/>
          <cell r="I249" t="str">
            <v>84.263,00</v>
          </cell>
        </row>
        <row r="250">
          <cell r="A250" t="str">
            <v>FUNDENTE PARA SOLDADURA DE PLATA</v>
          </cell>
          <cell r="B250" t="str">
            <v>1,00</v>
          </cell>
          <cell r="C250" t="str">
            <v>UN</v>
          </cell>
          <cell r="D250" t="str">
            <v>71.400,00</v>
          </cell>
          <cell r="E250">
            <v>74113.2</v>
          </cell>
          <cell r="F250">
            <v>75306.422519999993</v>
          </cell>
          <cell r="G250">
            <v>63282.707999999991</v>
          </cell>
          <cell r="H250"/>
          <cell r="I250" t="str">
            <v>294.500,00</v>
          </cell>
        </row>
        <row r="251">
          <cell r="A251" t="str">
            <v>GALÓ N PINTURA ELECTROESTÁTICA X GALÓN (BLANCO)</v>
          </cell>
          <cell r="B251" t="str">
            <v>13,00</v>
          </cell>
          <cell r="C251" t="str">
            <v>UN</v>
          </cell>
          <cell r="D251" t="str">
            <v>64.093,00</v>
          </cell>
          <cell r="E251">
            <v>66528.534</v>
          </cell>
          <cell r="F251">
            <v>67599.643397399996</v>
          </cell>
          <cell r="G251">
            <v>56806.423023025207</v>
          </cell>
          <cell r="H251"/>
          <cell r="I251" t="str">
            <v>240.000,00</v>
          </cell>
        </row>
        <row r="252">
          <cell r="A252" t="str">
            <v>GALÓN ANTICORROSIVO EPOXICA EN ACEITE X GALÓN (BLANCO)</v>
          </cell>
          <cell r="B252" t="str">
            <v>5,00</v>
          </cell>
          <cell r="C252" t="str">
            <v>UN</v>
          </cell>
          <cell r="D252" t="str">
            <v>50.002,00</v>
          </cell>
          <cell r="E252">
            <v>51902.076000000001</v>
          </cell>
          <cell r="F252">
            <v>52737.699423600003</v>
          </cell>
          <cell r="G252">
            <v>44317.394473613451</v>
          </cell>
          <cell r="H252"/>
          <cell r="I252" t="str">
            <v>96.300,00</v>
          </cell>
        </row>
        <row r="253">
          <cell r="A253" t="str">
            <v>GALÓN EMULSIÓN ASFÁLTICA 5 GALONES</v>
          </cell>
          <cell r="B253" t="str">
            <v>2,00</v>
          </cell>
          <cell r="C253" t="str">
            <v>UN</v>
          </cell>
          <cell r="D253" t="str">
            <v>26.962,00</v>
          </cell>
          <cell r="E253">
            <v>27986.556</v>
          </cell>
          <cell r="F253">
            <v>28437.139551600001</v>
          </cell>
          <cell r="G253">
            <v>23896.755925714286</v>
          </cell>
          <cell r="H253"/>
          <cell r="I253" t="str">
            <v>353.600,00</v>
          </cell>
        </row>
        <row r="254">
          <cell r="A254" t="str">
            <v>GALON ESMALTE AZUL OSCURO BRILLANTE</v>
          </cell>
          <cell r="B254" t="str">
            <v>30,00</v>
          </cell>
          <cell r="C254" t="str">
            <v>UN</v>
          </cell>
          <cell r="D254" t="str">
            <v>53.931,00</v>
          </cell>
          <cell r="E254">
            <v>55980.377999999997</v>
          </cell>
          <cell r="F254">
            <v>56881.662085799995</v>
          </cell>
          <cell r="G254">
            <v>47799.716038487393</v>
          </cell>
          <cell r="H254"/>
          <cell r="I254" t="str">
            <v>168.714,00</v>
          </cell>
        </row>
        <row r="255">
          <cell r="A255" t="str">
            <v>GALON ESMALTE EPOXICO COLOR GRIS</v>
          </cell>
          <cell r="B255" t="str">
            <v>15,00</v>
          </cell>
          <cell r="C255" t="str">
            <v>UN</v>
          </cell>
          <cell r="D255" t="str">
            <v>53.931,00</v>
          </cell>
          <cell r="E255">
            <v>55980.377999999997</v>
          </cell>
          <cell r="F255">
            <v>56881.662085799995</v>
          </cell>
          <cell r="G255">
            <v>47799.716038487393</v>
          </cell>
          <cell r="H255"/>
          <cell r="I255" t="str">
            <v>102.000,00</v>
          </cell>
        </row>
        <row r="256">
          <cell r="A256" t="str">
            <v>GALON LACA ALUMINIO GRANO FINO</v>
          </cell>
          <cell r="B256" t="str">
            <v>5,00</v>
          </cell>
          <cell r="C256" t="str">
            <v>UN</v>
          </cell>
          <cell r="D256" t="str">
            <v>137.940,00</v>
          </cell>
          <cell r="E256">
            <v>143181.72</v>
          </cell>
          <cell r="F256">
            <v>145486.94569200001</v>
          </cell>
          <cell r="G256">
            <v>122257.93755630254</v>
          </cell>
          <cell r="H256"/>
          <cell r="I256" t="str">
            <v>85.000,00</v>
          </cell>
        </row>
        <row r="257">
          <cell r="A257" t="str">
            <v>GALON LACA ALUMINIO GRANO GRUESO</v>
          </cell>
          <cell r="B257" t="str">
            <v>5,00</v>
          </cell>
          <cell r="C257" t="str">
            <v>UN</v>
          </cell>
          <cell r="D257" t="str">
            <v>117.043,00</v>
          </cell>
          <cell r="E257">
            <v>121490.63400000001</v>
          </cell>
          <cell r="F257">
            <v>123446.63320740001</v>
          </cell>
          <cell r="G257">
            <v>103736.66656084034</v>
          </cell>
          <cell r="H257"/>
          <cell r="I257" t="str">
            <v>5.885,00</v>
          </cell>
        </row>
        <row r="258">
          <cell r="A258" t="str">
            <v>GALON LACA AMARILLA</v>
          </cell>
          <cell r="B258" t="str">
            <v>5,00</v>
          </cell>
          <cell r="C258" t="str">
            <v>UN</v>
          </cell>
          <cell r="D258" t="str">
            <v>74.285,00</v>
          </cell>
          <cell r="E258">
            <v>77107.83</v>
          </cell>
          <cell r="F258">
            <v>78349.266063000003</v>
          </cell>
          <cell r="G258">
            <v>65839.719380672264</v>
          </cell>
          <cell r="H258"/>
          <cell r="I258" t="str">
            <v>10.200,00</v>
          </cell>
        </row>
        <row r="259">
          <cell r="A259" t="str">
            <v>GALON LACA AZUL</v>
          </cell>
          <cell r="B259" t="str">
            <v>10,00</v>
          </cell>
          <cell r="C259" t="str">
            <v>UN</v>
          </cell>
          <cell r="D259" t="str">
            <v>74.285,00</v>
          </cell>
          <cell r="E259">
            <v>77107.83</v>
          </cell>
          <cell r="F259">
            <v>78349.266063000003</v>
          </cell>
          <cell r="G259">
            <v>65839.719380672264</v>
          </cell>
          <cell r="H259"/>
          <cell r="I259" t="str">
            <v>27.200,00</v>
          </cell>
        </row>
        <row r="260">
          <cell r="A260" t="str">
            <v>GALON LACA BLANCA</v>
          </cell>
          <cell r="B260" t="str">
            <v>10,00</v>
          </cell>
          <cell r="C260" t="str">
            <v>UN</v>
          </cell>
          <cell r="D260" t="str">
            <v>74.285,00</v>
          </cell>
          <cell r="E260">
            <v>77107.83</v>
          </cell>
          <cell r="F260">
            <v>78349.266063000003</v>
          </cell>
          <cell r="G260">
            <v>65839.719380672264</v>
          </cell>
          <cell r="H260"/>
          <cell r="I260" t="str">
            <v>85.000,00</v>
          </cell>
        </row>
        <row r="261">
          <cell r="A261" t="str">
            <v>GALON LACA GOLD TONER</v>
          </cell>
          <cell r="B261" t="str">
            <v>10,00</v>
          </cell>
          <cell r="C261" t="str">
            <v>UN</v>
          </cell>
          <cell r="D261" t="str">
            <v>74.285,00</v>
          </cell>
          <cell r="E261">
            <v>77107.83</v>
          </cell>
          <cell r="F261">
            <v>78349.266063000003</v>
          </cell>
          <cell r="G261">
            <v>65839.719380672264</v>
          </cell>
          <cell r="H261"/>
          <cell r="I261" t="str">
            <v>51.000,00</v>
          </cell>
        </row>
        <row r="262">
          <cell r="A262" t="str">
            <v>GALON LACA NEGRA</v>
          </cell>
          <cell r="B262" t="str">
            <v>30,00</v>
          </cell>
          <cell r="C262" t="str">
            <v>UN</v>
          </cell>
          <cell r="D262" t="str">
            <v>74.285,00</v>
          </cell>
          <cell r="E262">
            <v>77107.83</v>
          </cell>
          <cell r="F262">
            <v>78349.266063000003</v>
          </cell>
          <cell r="G262">
            <v>65839.719380672264</v>
          </cell>
          <cell r="H262"/>
          <cell r="I262" t="str">
            <v>40.800,00</v>
          </cell>
        </row>
        <row r="263">
          <cell r="A263" t="str">
            <v>GALON LACA ROJA</v>
          </cell>
          <cell r="B263" t="str">
            <v>5,00</v>
          </cell>
          <cell r="C263" t="str">
            <v>UN</v>
          </cell>
          <cell r="D263" t="str">
            <v>74.285,00</v>
          </cell>
          <cell r="E263">
            <v>77107.83</v>
          </cell>
          <cell r="F263">
            <v>78349.266063000003</v>
          </cell>
          <cell r="G263">
            <v>65839.719380672264</v>
          </cell>
          <cell r="H263"/>
          <cell r="I263" t="str">
            <v>85.000,00</v>
          </cell>
        </row>
        <row r="264">
          <cell r="A264" t="str">
            <v>GALON MASTICO LIQUIDO</v>
          </cell>
          <cell r="B264" t="str">
            <v>3,00</v>
          </cell>
          <cell r="C264" t="str">
            <v>UN</v>
          </cell>
          <cell r="D264" t="str">
            <v>36.380,00</v>
          </cell>
          <cell r="E264">
            <v>37762.44</v>
          </cell>
          <cell r="F264">
            <v>38370.415284000002</v>
          </cell>
          <cell r="G264">
            <v>32244.04645714286</v>
          </cell>
          <cell r="H264"/>
          <cell r="I264" t="str">
            <v>316.720,00</v>
          </cell>
        </row>
        <row r="265">
          <cell r="A265" t="str">
            <v>GALON MASTICO PARA MÁRMOL - PEGANTE</v>
          </cell>
          <cell r="B265" t="str">
            <v>1,00</v>
          </cell>
          <cell r="C265" t="str">
            <v>UN</v>
          </cell>
          <cell r="D265" t="str">
            <v>210.858,00</v>
          </cell>
          <cell r="E265">
            <v>218870.60399999999</v>
          </cell>
          <cell r="F265">
            <v>222394.4207244</v>
          </cell>
          <cell r="G265">
            <v>186886.06783563024</v>
          </cell>
          <cell r="H265"/>
          <cell r="I265" t="str">
            <v>18.550,00</v>
          </cell>
        </row>
        <row r="266">
          <cell r="A266" t="str">
            <v>GALÓN PEGANTE PL285 CARPINCOL</v>
          </cell>
          <cell r="B266" t="str">
            <v>5,00</v>
          </cell>
          <cell r="C266" t="str">
            <v>UN</v>
          </cell>
          <cell r="D266" t="str">
            <v>57.356,00</v>
          </cell>
          <cell r="E266">
            <v>59535.527999999998</v>
          </cell>
          <cell r="F266">
            <v>60494.050000800002</v>
          </cell>
          <cell r="G266">
            <v>50835.336135126054</v>
          </cell>
          <cell r="H266"/>
          <cell r="I266" t="str">
            <v>7.150,00</v>
          </cell>
        </row>
        <row r="267">
          <cell r="A267" t="str">
            <v>GALON PINTURA BITUMINOSA REFLECTIVA</v>
          </cell>
          <cell r="B267" t="str">
            <v>30,00</v>
          </cell>
          <cell r="C267" t="str">
            <v>UN</v>
          </cell>
          <cell r="D267" t="str">
            <v>105.441,00</v>
          </cell>
          <cell r="E267">
            <v>109447.758</v>
          </cell>
          <cell r="F267">
            <v>111209.86690380001</v>
          </cell>
          <cell r="G267">
            <v>93453.669667058843</v>
          </cell>
          <cell r="H267"/>
          <cell r="I267" t="str">
            <v>3.000.000,00</v>
          </cell>
        </row>
        <row r="268">
          <cell r="A268" t="str">
            <v>GALON PINTURA EPOXICA EN ACEITE X GALÓN (BLANCO)</v>
          </cell>
          <cell r="B268" t="str">
            <v>5,00</v>
          </cell>
          <cell r="C268" t="str">
            <v>UN</v>
          </cell>
          <cell r="D268" t="str">
            <v>64.093,00</v>
          </cell>
          <cell r="E268">
            <v>66528.534</v>
          </cell>
          <cell r="F268">
            <v>67599.643397399996</v>
          </cell>
          <cell r="G268">
            <v>56806.423023025207</v>
          </cell>
          <cell r="H268"/>
          <cell r="I268" t="str">
            <v>400.020,00</v>
          </cell>
        </row>
        <row r="269">
          <cell r="A269" t="str">
            <v>GALON PINTURA ESMALTE INDUSTRIAL BLANCO</v>
          </cell>
          <cell r="B269" t="str">
            <v>30,00</v>
          </cell>
          <cell r="C269" t="str">
            <v>UN</v>
          </cell>
          <cell r="D269" t="str">
            <v>83.353,00</v>
          </cell>
          <cell r="E269">
            <v>86520.414000000004</v>
          </cell>
          <cell r="F269">
            <v>87913.39266540001</v>
          </cell>
          <cell r="G269">
            <v>73876.800559159659</v>
          </cell>
          <cell r="H269"/>
          <cell r="I269" t="str">
            <v>428.580,00</v>
          </cell>
        </row>
        <row r="270">
          <cell r="A270" t="str">
            <v>GALÓN PINTURA TRÁFICO (COLORES)</v>
          </cell>
          <cell r="B270" t="str">
            <v>70,00</v>
          </cell>
          <cell r="C270" t="str">
            <v>UN</v>
          </cell>
          <cell r="D270" t="str">
            <v>82.390,00</v>
          </cell>
          <cell r="E270">
            <v>85520.82</v>
          </cell>
          <cell r="F270">
            <v>86897.705202000012</v>
          </cell>
          <cell r="G270">
            <v>73023.281682352957</v>
          </cell>
          <cell r="H270"/>
          <cell r="I270" t="str">
            <v>428.580,00</v>
          </cell>
        </row>
        <row r="271">
          <cell r="A271" t="str">
            <v>GALON SELLADOR LIJABLE 90%</v>
          </cell>
          <cell r="B271" t="str">
            <v>15,00</v>
          </cell>
          <cell r="C271" t="str">
            <v>UN</v>
          </cell>
          <cell r="D271" t="str">
            <v>64.286,00</v>
          </cell>
          <cell r="E271">
            <v>66728.868000000002</v>
          </cell>
          <cell r="F271">
            <v>67803.202774799996</v>
          </cell>
          <cell r="G271">
            <v>56977.481323361339</v>
          </cell>
          <cell r="H271"/>
          <cell r="I271" t="str">
            <v>372.360,00</v>
          </cell>
        </row>
        <row r="272">
          <cell r="A272" t="str">
            <v>GALÓN SIKA FLEX 221 (BLANCA)</v>
          </cell>
          <cell r="B272" t="str">
            <v>5,00</v>
          </cell>
          <cell r="C272" t="str">
            <v>UN</v>
          </cell>
          <cell r="D272" t="str">
            <v>31.387,00</v>
          </cell>
          <cell r="E272">
            <v>32579.705999999998</v>
          </cell>
          <cell r="F272">
            <v>33104.239266600001</v>
          </cell>
          <cell r="G272">
            <v>27818.688459327735</v>
          </cell>
          <cell r="H272"/>
          <cell r="I272" t="str">
            <v>64.200,00</v>
          </cell>
        </row>
        <row r="273">
          <cell r="A273" t="str">
            <v>GALÓN SIKA FLEX 221 (TRANSPARENTE )</v>
          </cell>
          <cell r="B273" t="str">
            <v>5,00</v>
          </cell>
          <cell r="C273" t="str">
            <v>UN</v>
          </cell>
          <cell r="D273" t="str">
            <v>31.387,00</v>
          </cell>
          <cell r="E273">
            <v>32579.705999999998</v>
          </cell>
          <cell r="F273">
            <v>33104.239266600001</v>
          </cell>
          <cell r="G273">
            <v>27818.688459327735</v>
          </cell>
          <cell r="H273"/>
          <cell r="I273" t="str">
            <v>64.200,00</v>
          </cell>
        </row>
        <row r="274">
          <cell r="A274" t="str">
            <v>GALÓN SIKA IGOL DENSO PLUS 5GL 18KG</v>
          </cell>
          <cell r="B274" t="str">
            <v>5,00</v>
          </cell>
          <cell r="C274" t="str">
            <v>UN</v>
          </cell>
          <cell r="D274" t="str">
            <v>316.720,00</v>
          </cell>
          <cell r="E274">
            <v>328755.36</v>
          </cell>
          <cell r="F274">
            <v>334048.32129599998</v>
          </cell>
          <cell r="G274">
            <v>280712.87503865547</v>
          </cell>
          <cell r="H274"/>
          <cell r="I274" t="str">
            <v>64.200,00</v>
          </cell>
        </row>
        <row r="275">
          <cell r="A275" t="str">
            <v>GALON VINILO BLANCO  TIPO 1  (Cuñete x 5gal )</v>
          </cell>
          <cell r="B275" t="str">
            <v>93,00</v>
          </cell>
          <cell r="C275" t="str">
            <v>UN</v>
          </cell>
          <cell r="D275" t="str">
            <v>314.366,00</v>
          </cell>
          <cell r="E275">
            <v>326311.908</v>
          </cell>
          <cell r="F275">
            <v>331565.52971879998</v>
          </cell>
          <cell r="G275">
            <v>278626.49556201679</v>
          </cell>
          <cell r="H275"/>
          <cell r="I275" t="str">
            <v>74.900,00</v>
          </cell>
        </row>
        <row r="276">
          <cell r="A276" t="str">
            <v>GANCHO PARA TEJA</v>
          </cell>
          <cell r="B276" t="str">
            <v>50,00</v>
          </cell>
          <cell r="C276" t="str">
            <v>UN</v>
          </cell>
          <cell r="D276" t="str">
            <v>371,00</v>
          </cell>
          <cell r="E276">
            <v>385.09800000000001</v>
          </cell>
          <cell r="F276">
            <v>391.29807779999999</v>
          </cell>
          <cell r="G276">
            <v>328.821914117647</v>
          </cell>
          <cell r="H276"/>
          <cell r="I276" t="str">
            <v>74.900,00</v>
          </cell>
        </row>
        <row r="277">
          <cell r="A277" t="str">
            <v>GANCHOS GALVANIZADO 3/4"</v>
          </cell>
          <cell r="B277" t="str">
            <v>2,00</v>
          </cell>
          <cell r="C277" t="str">
            <v>UN</v>
          </cell>
          <cell r="D277" t="str">
            <v>71.400,00</v>
          </cell>
          <cell r="E277">
            <v>74113.2</v>
          </cell>
          <cell r="F277">
            <v>75306.422519999993</v>
          </cell>
          <cell r="G277">
            <v>63282.707999999991</v>
          </cell>
          <cell r="H277"/>
          <cell r="I277" t="str">
            <v>428.000,00</v>
          </cell>
        </row>
        <row r="278">
          <cell r="A278" t="str">
            <v>GEOTEXTIL NEGRO (ROLLO POR 100 ML)</v>
          </cell>
          <cell r="B278" t="str">
            <v>1,00</v>
          </cell>
          <cell r="C278" t="str">
            <v>UN</v>
          </cell>
          <cell r="D278" t="str">
            <v>168.714,00</v>
          </cell>
          <cell r="E278">
            <v>175125.13200000001</v>
          </cell>
          <cell r="F278">
            <v>177944.64662520002</v>
          </cell>
          <cell r="G278">
            <v>149533.31649176474</v>
          </cell>
          <cell r="H278"/>
          <cell r="I278" t="str">
            <v>705.130,00</v>
          </cell>
        </row>
        <row r="279">
          <cell r="A279" t="str">
            <v>GRANITO BLANCO BULTO X 40</v>
          </cell>
          <cell r="B279" t="str">
            <v>2,00</v>
          </cell>
          <cell r="C279" t="str">
            <v>UN</v>
          </cell>
          <cell r="D279" t="str">
            <v>28.572,00</v>
          </cell>
          <cell r="E279">
            <v>29657.736000000001</v>
          </cell>
          <cell r="F279">
            <v>30135.2255496</v>
          </cell>
          <cell r="G279">
            <v>25323.718949243696</v>
          </cell>
          <cell r="H279"/>
          <cell r="I279" t="str">
            <v>107.000,00</v>
          </cell>
        </row>
        <row r="280">
          <cell r="A280" t="str">
            <v>GRANITO NEGRO BULTO X 40 KG</v>
          </cell>
          <cell r="B280" t="str">
            <v>2,00</v>
          </cell>
          <cell r="C280" t="str">
            <v>UN</v>
          </cell>
          <cell r="D280" t="str">
            <v>28.572,00</v>
          </cell>
          <cell r="E280">
            <v>29657.736000000001</v>
          </cell>
          <cell r="F280">
            <v>30135.2255496</v>
          </cell>
          <cell r="G280">
            <v>25323.718949243696</v>
          </cell>
          <cell r="H280"/>
          <cell r="I280" t="str">
            <v>139.100,00</v>
          </cell>
        </row>
        <row r="281">
          <cell r="A281" t="str">
            <v>GRAPA PLÁSTICA PARA LAVAMANOS</v>
          </cell>
          <cell r="B281" t="str">
            <v>30,00</v>
          </cell>
          <cell r="C281" t="str">
            <v>UN</v>
          </cell>
          <cell r="D281" t="str">
            <v>4.250,00</v>
          </cell>
          <cell r="E281">
            <v>4411.5</v>
          </cell>
          <cell r="F281">
            <v>4482.5251500000004</v>
          </cell>
          <cell r="G281">
            <v>3766.8278571428573</v>
          </cell>
          <cell r="H281"/>
          <cell r="I281" t="str">
            <v>96.300,00</v>
          </cell>
        </row>
        <row r="282">
          <cell r="A282" t="str">
            <v>GUARDA ESCOBA NEGRO CAUCHO 1MM X 1MT</v>
          </cell>
          <cell r="B282" t="str">
            <v>150,00</v>
          </cell>
          <cell r="C282" t="str">
            <v>ML</v>
          </cell>
          <cell r="D282" t="str">
            <v>8.453,00</v>
          </cell>
          <cell r="E282">
            <v>8774.2139999999999</v>
          </cell>
          <cell r="F282">
            <v>8915.4788454000009</v>
          </cell>
          <cell r="G282">
            <v>7491.9990297478998</v>
          </cell>
          <cell r="H282"/>
          <cell r="I282" t="str">
            <v>117.700,00</v>
          </cell>
        </row>
        <row r="283">
          <cell r="A283" t="str">
            <v>GUAYA 3/4" X 1MTS</v>
          </cell>
          <cell r="B283" t="str">
            <v>20,00</v>
          </cell>
          <cell r="C283" t="str">
            <v>ML</v>
          </cell>
          <cell r="D283" t="str">
            <v>9.523,00</v>
          </cell>
          <cell r="E283">
            <v>9884.8739999999998</v>
          </cell>
          <cell r="F283">
            <v>10044.020471399999</v>
          </cell>
          <cell r="G283">
            <v>8440.353337310924</v>
          </cell>
          <cell r="H283"/>
          <cell r="I283" t="str">
            <v>118.770,00</v>
          </cell>
        </row>
        <row r="284">
          <cell r="A284" t="str">
            <v>HOJA DE SEGUETA 18 DIENTES</v>
          </cell>
          <cell r="B284" t="str">
            <v>5,00</v>
          </cell>
          <cell r="C284" t="str">
            <v>UN</v>
          </cell>
          <cell r="D284" t="str">
            <v>3.572,00</v>
          </cell>
          <cell r="E284">
            <v>3707.7359999999999</v>
          </cell>
          <cell r="F284">
            <v>3767.4305495999997</v>
          </cell>
          <cell r="G284">
            <v>3165.9080248739492</v>
          </cell>
          <cell r="H284"/>
          <cell r="I284" t="str">
            <v>47.829,00</v>
          </cell>
        </row>
        <row r="285">
          <cell r="A285" t="str">
            <v>HOJA DE SEGUETA 24 DIENTES</v>
          </cell>
          <cell r="B285" t="str">
            <v>5,00</v>
          </cell>
          <cell r="C285" t="str">
            <v>UN</v>
          </cell>
          <cell r="D285" t="str">
            <v>3.572,00</v>
          </cell>
          <cell r="E285">
            <v>3707.7359999999999</v>
          </cell>
          <cell r="F285">
            <v>3767.4305495999997</v>
          </cell>
          <cell r="G285">
            <v>3165.9080248739492</v>
          </cell>
          <cell r="H285"/>
          <cell r="I285" t="str">
            <v>49.755,00</v>
          </cell>
        </row>
        <row r="286">
          <cell r="A286" t="str">
            <v>HOMBRE SOLO</v>
          </cell>
          <cell r="B286" t="str">
            <v>2,00</v>
          </cell>
          <cell r="C286" t="str">
            <v>UN</v>
          </cell>
          <cell r="D286" t="str">
            <v>36.273,00</v>
          </cell>
          <cell r="E286">
            <v>37651.374000000003</v>
          </cell>
          <cell r="F286">
            <v>38257.561121400002</v>
          </cell>
          <cell r="G286">
            <v>32149.211026386558</v>
          </cell>
          <cell r="H286"/>
          <cell r="I286" t="str">
            <v>26.180,00</v>
          </cell>
        </row>
        <row r="287">
          <cell r="A287" t="str">
            <v>INTERRUMPTOR DOBLE BLANCO HOSPITALARIO</v>
          </cell>
          <cell r="B287" t="str">
            <v>30,00</v>
          </cell>
          <cell r="C287" t="str">
            <v>UN</v>
          </cell>
          <cell r="D287" t="str">
            <v>15.377,00</v>
          </cell>
          <cell r="E287">
            <v>15961.326000000001</v>
          </cell>
          <cell r="F287">
            <v>16218.3033486</v>
          </cell>
          <cell r="G287">
            <v>13628.826343361345</v>
          </cell>
          <cell r="H287"/>
          <cell r="I287" t="str">
            <v>21.990,00</v>
          </cell>
        </row>
        <row r="288">
          <cell r="A288" t="str">
            <v>INTERRUMPTOR SENCILLO BLANCO HOSPITALARIO</v>
          </cell>
          <cell r="B288" t="str">
            <v>30,00</v>
          </cell>
          <cell r="C288" t="str">
            <v>UN</v>
          </cell>
          <cell r="D288" t="str">
            <v>8.453,00</v>
          </cell>
          <cell r="E288">
            <v>8774.2139999999999</v>
          </cell>
          <cell r="F288">
            <v>8915.4788454000009</v>
          </cell>
          <cell r="G288">
            <v>7491.9990297478998</v>
          </cell>
          <cell r="H288"/>
          <cell r="I288" t="str">
            <v>21.165,00</v>
          </cell>
        </row>
        <row r="289">
          <cell r="A289" t="str">
            <v>JUEGO BROCA PARA MADERA 1/8" - 1/2"</v>
          </cell>
          <cell r="B289" t="str">
            <v>2,00</v>
          </cell>
          <cell r="C289" t="str">
            <v>UN</v>
          </cell>
          <cell r="D289" t="str">
            <v>51.428,00</v>
          </cell>
          <cell r="E289">
            <v>53382.264000000003</v>
          </cell>
          <cell r="F289">
            <v>54241.718450400003</v>
          </cell>
          <cell r="G289">
            <v>45581.276008739493</v>
          </cell>
          <cell r="H289"/>
          <cell r="I289" t="str">
            <v>5.350,00</v>
          </cell>
        </row>
        <row r="290">
          <cell r="A290" t="str">
            <v>JUEGO DE BROCA ACERO RÁPIDO HSS 1/4</v>
          </cell>
          <cell r="B290" t="str">
            <v>2,00</v>
          </cell>
          <cell r="C290" t="str">
            <v>UN</v>
          </cell>
          <cell r="D290" t="str">
            <v>25.145,00</v>
          </cell>
          <cell r="E290">
            <v>26100.51</v>
          </cell>
          <cell r="F290">
            <v>26520.728210999998</v>
          </cell>
          <cell r="G290">
            <v>22286.32622773109</v>
          </cell>
          <cell r="H290"/>
          <cell r="I290" t="str">
            <v>5.350,00</v>
          </cell>
        </row>
        <row r="291">
          <cell r="A291" t="str">
            <v>JUEGO DE LLAVE BRISTOL (PAQUETE)</v>
          </cell>
          <cell r="B291" t="str">
            <v>3,00</v>
          </cell>
          <cell r="C291" t="str">
            <v>UN</v>
          </cell>
          <cell r="D291" t="str">
            <v>25.573,00</v>
          </cell>
          <cell r="E291">
            <v>26544.774000000001</v>
          </cell>
          <cell r="F291">
            <v>26972.1448614</v>
          </cell>
          <cell r="G291">
            <v>22665.667950756302</v>
          </cell>
          <cell r="H291"/>
          <cell r="I291" t="str">
            <v>5.350,00</v>
          </cell>
        </row>
        <row r="292">
          <cell r="A292" t="str">
            <v>JUEGO PUNTAS DE BROCA PUNTA ESTRELLA</v>
          </cell>
          <cell r="B292" t="str">
            <v>1,00</v>
          </cell>
          <cell r="C292" t="str">
            <v>UN</v>
          </cell>
          <cell r="D292" t="str">
            <v>48.571,00</v>
          </cell>
          <cell r="E292">
            <v>50416.697999999997</v>
          </cell>
          <cell r="F292">
            <v>51228.406837799994</v>
          </cell>
          <cell r="G292">
            <v>43049.081376302514</v>
          </cell>
          <cell r="H292"/>
          <cell r="I292" t="str">
            <v>5.350,00</v>
          </cell>
        </row>
        <row r="293">
          <cell r="A293" t="str">
            <v>JUNTA REPARACIÓN PVC SANITARIA 3"</v>
          </cell>
          <cell r="B293" t="str">
            <v>3,00</v>
          </cell>
          <cell r="C293" t="str">
            <v>UN</v>
          </cell>
          <cell r="D293" t="str">
            <v>24.313,00</v>
          </cell>
          <cell r="E293">
            <v>25236.894</v>
          </cell>
          <cell r="F293">
            <v>25643.207993399999</v>
          </cell>
          <cell r="G293">
            <v>21548.914280168068</v>
          </cell>
          <cell r="H293"/>
          <cell r="I293" t="str">
            <v>5.350,00</v>
          </cell>
        </row>
        <row r="294">
          <cell r="A294" t="str">
            <v>JUNTA REPARACIÓN PVC SANITARIA 4"</v>
          </cell>
          <cell r="B294" t="str">
            <v>3,00</v>
          </cell>
          <cell r="C294" t="str">
            <v>UN</v>
          </cell>
          <cell r="D294" t="str">
            <v>27.618,00</v>
          </cell>
          <cell r="E294">
            <v>28667.484</v>
          </cell>
          <cell r="F294">
            <v>29129.030492400001</v>
          </cell>
          <cell r="G294">
            <v>24478.17688436975</v>
          </cell>
          <cell r="H294"/>
          <cell r="I294" t="str">
            <v>5.350,00</v>
          </cell>
        </row>
        <row r="295">
          <cell r="A295" t="str">
            <v>KIT CORTAVIDRIOS</v>
          </cell>
          <cell r="B295" t="str">
            <v>1,00</v>
          </cell>
          <cell r="C295" t="str">
            <v>UN</v>
          </cell>
          <cell r="D295" t="str">
            <v>246.135,00</v>
          </cell>
          <cell r="E295">
            <v>255488.13</v>
          </cell>
          <cell r="F295">
            <v>259601.488893</v>
          </cell>
          <cell r="G295">
            <v>218152.51167478992</v>
          </cell>
          <cell r="H295"/>
          <cell r="I295" t="str">
            <v>10.700,00</v>
          </cell>
        </row>
        <row r="296">
          <cell r="A296" t="str">
            <v>LADRILLO TOLETE ESTÁNDAR</v>
          </cell>
          <cell r="B296" t="str">
            <v>500,00</v>
          </cell>
          <cell r="C296" t="str">
            <v>UN</v>
          </cell>
          <cell r="D296" t="str">
            <v>589,00</v>
          </cell>
          <cell r="E296">
            <v>611.38199999999995</v>
          </cell>
          <cell r="F296">
            <v>621.22525019999989</v>
          </cell>
          <cell r="G296">
            <v>522.03802537815113</v>
          </cell>
          <cell r="H296"/>
          <cell r="I296" t="str">
            <v>6.420,00</v>
          </cell>
        </row>
        <row r="297">
          <cell r="A297" t="str">
            <v>LAMINA DE MADECOR 20MM COLOR WENGE ( LAMI 1.22 X 2.46 )</v>
          </cell>
          <cell r="B297" t="str">
            <v>5,00</v>
          </cell>
          <cell r="C297" t="str">
            <v>UN</v>
          </cell>
          <cell r="D297" t="str">
            <v>278.572,00</v>
          </cell>
          <cell r="E297">
            <v>289157.73599999998</v>
          </cell>
          <cell r="F297">
            <v>293813.17554959998</v>
          </cell>
          <cell r="G297">
            <v>246901.82819294115</v>
          </cell>
          <cell r="H297"/>
          <cell r="I297" t="str">
            <v>7.490,00</v>
          </cell>
        </row>
        <row r="298">
          <cell r="A298" t="str">
            <v>LAMINA DE TRIPLEX 10MM (LAMI 1.22 X 2.50 )</v>
          </cell>
          <cell r="B298" t="str">
            <v>5,00</v>
          </cell>
          <cell r="C298" t="str">
            <v>UN</v>
          </cell>
          <cell r="D298" t="str">
            <v>83.460,00</v>
          </cell>
          <cell r="E298">
            <v>86631.48</v>
          </cell>
          <cell r="F298">
            <v>88026.246828000003</v>
          </cell>
          <cell r="G298">
            <v>73971.635989915972</v>
          </cell>
          <cell r="H298"/>
          <cell r="I298" t="str">
            <v>6.420,00</v>
          </cell>
        </row>
        <row r="299">
          <cell r="A299" t="str">
            <v>LAMINA DE TRIPLEX 15MM ( LAMI 1.22 X 2.51 )</v>
          </cell>
          <cell r="B299" t="str">
            <v>5,00</v>
          </cell>
          <cell r="C299" t="str">
            <v>UN</v>
          </cell>
          <cell r="D299" t="str">
            <v>128.400,00</v>
          </cell>
          <cell r="E299">
            <v>133279.20000000001</v>
          </cell>
          <cell r="F299">
            <v>135424.99512000001</v>
          </cell>
          <cell r="G299">
            <v>113802.51690756303</v>
          </cell>
          <cell r="H299"/>
          <cell r="I299" t="str">
            <v>6.420,00</v>
          </cell>
        </row>
        <row r="300">
          <cell r="A300" t="str">
            <v>LAMINA DE TRIPLEX 20MM ( LAMI 1.22 X 2.52 )</v>
          </cell>
          <cell r="B300" t="str">
            <v>5,00</v>
          </cell>
          <cell r="C300" t="str">
            <v>UN</v>
          </cell>
          <cell r="D300" t="str">
            <v>160.500,00</v>
          </cell>
          <cell r="E300">
            <v>166599</v>
          </cell>
          <cell r="F300">
            <v>169281.2439</v>
          </cell>
          <cell r="G300">
            <v>142253.1461344538</v>
          </cell>
          <cell r="H300"/>
          <cell r="I300" t="str">
            <v>25.145,00</v>
          </cell>
        </row>
        <row r="301">
          <cell r="A301" t="str">
            <v>LAMINA DE TRIPLEX 5MM ( LAMI 1.22 X 2.49 )</v>
          </cell>
          <cell r="B301" t="str">
            <v>5,00</v>
          </cell>
          <cell r="C301" t="str">
            <v>UN</v>
          </cell>
          <cell r="D301" t="str">
            <v>48.150,00</v>
          </cell>
          <cell r="E301">
            <v>49979.7</v>
          </cell>
          <cell r="F301">
            <v>50784.373169999999</v>
          </cell>
          <cell r="G301">
            <v>42675.943840336135</v>
          </cell>
          <cell r="H301"/>
          <cell r="I301" t="str">
            <v>16.050,00</v>
          </cell>
        </row>
        <row r="302">
          <cell r="A302" t="str">
            <v>LAMINA FORMICA COLOR BLANCA</v>
          </cell>
          <cell r="B302" t="str">
            <v>10,00</v>
          </cell>
          <cell r="C302" t="str">
            <v>UN</v>
          </cell>
          <cell r="D302" t="str">
            <v>44.285,00</v>
          </cell>
          <cell r="E302">
            <v>45967.83</v>
          </cell>
          <cell r="F302">
            <v>46707.912063000003</v>
          </cell>
          <cell r="G302">
            <v>39250.346271428578</v>
          </cell>
          <cell r="H302"/>
          <cell r="I302" t="str">
            <v>16.050,00</v>
          </cell>
        </row>
        <row r="303">
          <cell r="A303" t="str">
            <v>LAMINA FORMICA COLOR WENGUE</v>
          </cell>
          <cell r="B303" t="str">
            <v>10,00</v>
          </cell>
          <cell r="C303" t="str">
            <v>UN</v>
          </cell>
          <cell r="D303" t="str">
            <v>85.714,00</v>
          </cell>
          <cell r="E303">
            <v>88971.131999999998</v>
          </cell>
          <cell r="F303">
            <v>90403.567225199993</v>
          </cell>
          <cell r="G303">
            <v>75969.384222857145</v>
          </cell>
          <cell r="H303"/>
          <cell r="I303" t="str">
            <v>25.145,00</v>
          </cell>
        </row>
        <row r="304">
          <cell r="A304" t="str">
            <v>LAMINA SUPERBOARD  06MM 1.22 M X 2.44 M</v>
          </cell>
          <cell r="B304" t="str">
            <v>10,00</v>
          </cell>
          <cell r="C304" t="str">
            <v>UN</v>
          </cell>
          <cell r="D304" t="str">
            <v>42.800,00</v>
          </cell>
          <cell r="E304">
            <v>44426.400000000001</v>
          </cell>
          <cell r="F304">
            <v>45141.66504</v>
          </cell>
          <cell r="G304">
            <v>37934.172302521009</v>
          </cell>
          <cell r="H304"/>
          <cell r="I304" t="str">
            <v>16.050,00</v>
          </cell>
        </row>
        <row r="305">
          <cell r="A305" t="str">
            <v>LAMINA SUPERBOARD  10MM 1.22 M X 2.44 M</v>
          </cell>
          <cell r="B305" t="str">
            <v>10,00</v>
          </cell>
          <cell r="C305" t="str">
            <v>UN</v>
          </cell>
          <cell r="D305" t="str">
            <v>70.513,00</v>
          </cell>
          <cell r="E305">
            <v>73192.494000000006</v>
          </cell>
          <cell r="F305">
            <v>74370.8931534</v>
          </cell>
          <cell r="G305">
            <v>62496.548868403363</v>
          </cell>
          <cell r="H305"/>
          <cell r="I305" t="str">
            <v>32.100,00</v>
          </cell>
        </row>
        <row r="306">
          <cell r="A306" t="str">
            <v>LAMINAS ACRILICAS DE 150 X 150 CMS X 4 MM</v>
          </cell>
          <cell r="B306" t="str">
            <v>5,00</v>
          </cell>
          <cell r="C306" t="str">
            <v>UN</v>
          </cell>
          <cell r="D306" t="str">
            <v>476.000,00</v>
          </cell>
          <cell r="E306">
            <v>494088</v>
          </cell>
          <cell r="F306">
            <v>502042.81680000003</v>
          </cell>
          <cell r="G306">
            <v>421884.72</v>
          </cell>
          <cell r="H306"/>
          <cell r="I306" t="str">
            <v>42.265,00</v>
          </cell>
        </row>
        <row r="307">
          <cell r="A307" t="str">
            <v>LAMINAS PVC BLANCO BRILLANTE  6 MM X 5,95M X 0.24 CM</v>
          </cell>
          <cell r="B307" t="str">
            <v>100,00</v>
          </cell>
          <cell r="C307" t="str">
            <v>UN</v>
          </cell>
          <cell r="D307" t="str">
            <v>30.000,00</v>
          </cell>
          <cell r="E307">
            <v>31140</v>
          </cell>
          <cell r="F307">
            <v>31641.353999999999</v>
          </cell>
          <cell r="G307">
            <v>26589.373109243697</v>
          </cell>
          <cell r="H307"/>
          <cell r="I307" t="str">
            <v>52.430,00</v>
          </cell>
        </row>
        <row r="308">
          <cell r="A308" t="str">
            <v>LAVAMANOS DE SOBREPONER BLANCO</v>
          </cell>
          <cell r="B308" t="str">
            <v>5,00</v>
          </cell>
          <cell r="C308" t="str">
            <v>UN</v>
          </cell>
          <cell r="D308" t="str">
            <v>179.520,00</v>
          </cell>
          <cell r="E308">
            <v>186341.76000000001</v>
          </cell>
          <cell r="F308">
            <v>189341.86233600002</v>
          </cell>
          <cell r="G308">
            <v>159110.80868571429</v>
          </cell>
          <cell r="H308"/>
          <cell r="I308" t="str">
            <v>58.315,00</v>
          </cell>
        </row>
        <row r="309">
          <cell r="A309" t="str">
            <v>LIJA PARA AGUA N° 100 PAQUETE X 50 UNI</v>
          </cell>
          <cell r="B309" t="str">
            <v>3,00</v>
          </cell>
          <cell r="C309" t="str">
            <v>UN</v>
          </cell>
          <cell r="D309" t="str">
            <v>72.225,00</v>
          </cell>
          <cell r="E309">
            <v>74969.55</v>
          </cell>
          <cell r="F309">
            <v>76176.559755000009</v>
          </cell>
          <cell r="G309">
            <v>64013.915760504206</v>
          </cell>
          <cell r="H309"/>
          <cell r="I309" t="str">
            <v>72.760,00</v>
          </cell>
        </row>
        <row r="310">
          <cell r="A310" t="str">
            <v>LIJA PARA AGUA N° 120 PAQUETE X 50 UNI</v>
          </cell>
          <cell r="B310" t="str">
            <v>3,00</v>
          </cell>
          <cell r="C310" t="str">
            <v>UN</v>
          </cell>
          <cell r="D310" t="str">
            <v>64.200,00</v>
          </cell>
          <cell r="E310">
            <v>66639.600000000006</v>
          </cell>
          <cell r="F310">
            <v>67712.497560000003</v>
          </cell>
          <cell r="G310">
            <v>56901.258453781513</v>
          </cell>
          <cell r="H310"/>
          <cell r="I310" t="str">
            <v>85.600,00</v>
          </cell>
        </row>
        <row r="311">
          <cell r="A311" t="str">
            <v>LIJA PARA AGUA N° 150 PAQUETE X 50 UNI</v>
          </cell>
          <cell r="B311" t="str">
            <v>3,00</v>
          </cell>
          <cell r="C311" t="str">
            <v>UN</v>
          </cell>
          <cell r="D311" t="str">
            <v>64.200,00</v>
          </cell>
          <cell r="E311">
            <v>66639.600000000006</v>
          </cell>
          <cell r="F311">
            <v>67712.497560000003</v>
          </cell>
          <cell r="G311">
            <v>56901.258453781513</v>
          </cell>
          <cell r="H311"/>
          <cell r="I311" t="str">
            <v>80.250,00</v>
          </cell>
        </row>
        <row r="312">
          <cell r="A312" t="str">
            <v>LIJA PARA AGUA N° 220 PAQUETE X 50 UNI</v>
          </cell>
          <cell r="B312" t="str">
            <v>3,00</v>
          </cell>
          <cell r="C312" t="str">
            <v>UN</v>
          </cell>
          <cell r="D312" t="str">
            <v>80.250,00</v>
          </cell>
          <cell r="E312">
            <v>83299.5</v>
          </cell>
          <cell r="F312">
            <v>84640.621950000001</v>
          </cell>
          <cell r="G312">
            <v>71126.573067226898</v>
          </cell>
          <cell r="H312"/>
          <cell r="I312" t="str">
            <v>31.565,00</v>
          </cell>
        </row>
        <row r="313">
          <cell r="A313" t="str">
            <v>LIJA PARA AGUA N° 80 PAQUETE X 50 UNI</v>
          </cell>
          <cell r="B313" t="str">
            <v>3,00</v>
          </cell>
          <cell r="C313" t="str">
            <v>UN</v>
          </cell>
          <cell r="D313" t="str">
            <v>72.225,00</v>
          </cell>
          <cell r="E313">
            <v>74969.55</v>
          </cell>
          <cell r="F313">
            <v>76176.559755000009</v>
          </cell>
          <cell r="G313">
            <v>64013.915760504206</v>
          </cell>
          <cell r="H313"/>
          <cell r="I313" t="str">
            <v>31.565,00</v>
          </cell>
        </row>
        <row r="314">
          <cell r="A314" t="str">
            <v>LIJA PARA MADERA N°120</v>
          </cell>
          <cell r="B314" t="str">
            <v>2,00</v>
          </cell>
          <cell r="C314" t="str">
            <v>UN</v>
          </cell>
          <cell r="D314" t="str">
            <v>1.284,00</v>
          </cell>
          <cell r="E314">
            <v>1332.7919999999999</v>
          </cell>
          <cell r="F314">
            <v>1354.2499511999999</v>
          </cell>
          <cell r="G314">
            <v>1138.0251690756304</v>
          </cell>
          <cell r="H314"/>
          <cell r="I314" t="str">
            <v>33.170,00</v>
          </cell>
        </row>
        <row r="315">
          <cell r="A315" t="str">
            <v>LIJA PARA MADERA N°150</v>
          </cell>
          <cell r="B315" t="str">
            <v>2,00</v>
          </cell>
          <cell r="C315" t="str">
            <v>UN</v>
          </cell>
          <cell r="D315" t="str">
            <v>1.284,00</v>
          </cell>
          <cell r="E315">
            <v>1332.7919999999999</v>
          </cell>
          <cell r="F315">
            <v>1354.2499511999999</v>
          </cell>
          <cell r="G315">
            <v>1138.0251690756304</v>
          </cell>
          <cell r="H315"/>
          <cell r="I315" t="str">
            <v>33.063,00</v>
          </cell>
        </row>
        <row r="316">
          <cell r="A316" t="str">
            <v>LIJA PARA MADERA N°80</v>
          </cell>
          <cell r="B316" t="str">
            <v>2,00</v>
          </cell>
          <cell r="C316" t="str">
            <v>UN</v>
          </cell>
          <cell r="D316" t="str">
            <v>1.284,00</v>
          </cell>
          <cell r="E316">
            <v>1332.7919999999999</v>
          </cell>
          <cell r="F316">
            <v>1354.2499511999999</v>
          </cell>
          <cell r="G316">
            <v>1138.0251690756304</v>
          </cell>
          <cell r="H316"/>
          <cell r="I316" t="str">
            <v>33.063,00</v>
          </cell>
        </row>
        <row r="317">
          <cell r="A317" t="str">
            <v>LIMA TRIANGULAR 15 CM</v>
          </cell>
          <cell r="B317" t="str">
            <v>5,00</v>
          </cell>
          <cell r="C317" t="str">
            <v>UN</v>
          </cell>
          <cell r="D317" t="str">
            <v>16.050,00</v>
          </cell>
          <cell r="E317">
            <v>16659.900000000001</v>
          </cell>
          <cell r="F317">
            <v>16928.124390000001</v>
          </cell>
          <cell r="G317">
            <v>14225.314613445378</v>
          </cell>
          <cell r="H317"/>
          <cell r="I317" t="str">
            <v>329.500,00</v>
          </cell>
        </row>
        <row r="318">
          <cell r="A318" t="str">
            <v>LIMPIA CONTACTOS ELÉCTRICO</v>
          </cell>
          <cell r="B318" t="str">
            <v>3,00</v>
          </cell>
          <cell r="C318" t="str">
            <v>UN</v>
          </cell>
          <cell r="D318" t="str">
            <v>30.600,00</v>
          </cell>
          <cell r="E318">
            <v>31762.799999999999</v>
          </cell>
          <cell r="F318">
            <v>32274.181079999998</v>
          </cell>
          <cell r="G318">
            <v>27121.160571428572</v>
          </cell>
          <cell r="H318"/>
          <cell r="I318" t="str">
            <v>697.500,00</v>
          </cell>
        </row>
        <row r="319">
          <cell r="A319" t="str">
            <v>LIMPIADOR PVC  * 1/4 GALON</v>
          </cell>
          <cell r="B319" t="str">
            <v>2,00</v>
          </cell>
          <cell r="C319" t="str">
            <v>UN</v>
          </cell>
          <cell r="D319" t="str">
            <v>35.095,00</v>
          </cell>
          <cell r="E319">
            <v>36428.61</v>
          </cell>
          <cell r="F319">
            <v>37015.110621</v>
          </cell>
          <cell r="G319">
            <v>31105.134975630252</v>
          </cell>
          <cell r="H319"/>
          <cell r="I319" t="str">
            <v>119.000,00</v>
          </cell>
        </row>
        <row r="320">
          <cell r="A320" t="str">
            <v>LIQUIDO DESOXIDANTE</v>
          </cell>
          <cell r="B320" t="str">
            <v>5,00</v>
          </cell>
          <cell r="C320" t="str">
            <v>UN</v>
          </cell>
          <cell r="D320" t="str">
            <v>47.000,00</v>
          </cell>
          <cell r="E320">
            <v>48786</v>
          </cell>
          <cell r="F320">
            <v>49571.454599999997</v>
          </cell>
          <cell r="G320">
            <v>41656.684537815127</v>
          </cell>
          <cell r="H320"/>
          <cell r="I320" t="str">
            <v>79.375,00</v>
          </cell>
        </row>
        <row r="321">
          <cell r="A321" t="str">
            <v>LLANA METÁLICA 12"</v>
          </cell>
          <cell r="B321" t="str">
            <v>5,00</v>
          </cell>
          <cell r="C321" t="str">
            <v>UN</v>
          </cell>
          <cell r="D321" t="str">
            <v>20.223,00</v>
          </cell>
          <cell r="E321">
            <v>20991.473999999998</v>
          </cell>
          <cell r="F321">
            <v>21329.436731399997</v>
          </cell>
          <cell r="G321">
            <v>17923.896412941172</v>
          </cell>
          <cell r="H321"/>
          <cell r="I321" t="str">
            <v>39.970,00</v>
          </cell>
        </row>
        <row r="322">
          <cell r="A322" t="str">
            <v>LLAVE INDIVIDUAL LAVAMANOS METÁLICA</v>
          </cell>
          <cell r="B322" t="str">
            <v>5,00</v>
          </cell>
          <cell r="C322" t="str">
            <v>UN</v>
          </cell>
          <cell r="D322" t="str">
            <v>46.374,00</v>
          </cell>
          <cell r="E322">
            <v>48136.212</v>
          </cell>
          <cell r="F322">
            <v>48911.2050132</v>
          </cell>
          <cell r="G322">
            <v>41101.852952268906</v>
          </cell>
          <cell r="H322"/>
          <cell r="I322" t="str">
            <v>219.350,00</v>
          </cell>
        </row>
        <row r="323">
          <cell r="A323" t="str">
            <v>LLAVE INDIVIDUAL LAVAMANOS METÁLICA</v>
          </cell>
          <cell r="B323" t="str">
            <v>3,00</v>
          </cell>
          <cell r="C323" t="str">
            <v>UN</v>
          </cell>
          <cell r="D323" t="str">
            <v>60.645,00</v>
          </cell>
          <cell r="E323">
            <v>62949.51</v>
          </cell>
          <cell r="F323">
            <v>63962.997111000004</v>
          </cell>
          <cell r="G323">
            <v>53750.417740336139</v>
          </cell>
          <cell r="H323"/>
          <cell r="I323" t="str">
            <v>302.860,00</v>
          </cell>
        </row>
        <row r="324">
          <cell r="A324" t="str">
            <v>LLAVES ABASTO METÁLICA 1/2" REF 019909-11</v>
          </cell>
          <cell r="B324" t="str">
            <v>5,00</v>
          </cell>
          <cell r="C324" t="str">
            <v>UN</v>
          </cell>
          <cell r="D324" t="str">
            <v>25.680,00</v>
          </cell>
          <cell r="E324">
            <v>26655.84</v>
          </cell>
          <cell r="F324">
            <v>27084.999024000001</v>
          </cell>
          <cell r="G324">
            <v>22760.503381512604</v>
          </cell>
          <cell r="H324"/>
          <cell r="I324" t="str">
            <v>349.890,00</v>
          </cell>
        </row>
        <row r="325">
          <cell r="A325" t="str">
            <v>LLAVES ABASTO METÁLICA 1/2" REF 019910-13</v>
          </cell>
          <cell r="B325" t="str">
            <v>5,00</v>
          </cell>
          <cell r="C325" t="str">
            <v>UN</v>
          </cell>
          <cell r="D325" t="str">
            <v>23.455,00</v>
          </cell>
          <cell r="E325">
            <v>24346.29</v>
          </cell>
          <cell r="F325">
            <v>24738.265269</v>
          </cell>
          <cell r="G325">
            <v>20788.458209243698</v>
          </cell>
          <cell r="H325"/>
          <cell r="I325" t="str">
            <v>337.690,00</v>
          </cell>
        </row>
        <row r="326">
          <cell r="A326" t="str">
            <v>LLAVES CUELLO CISNE LAVAPLATOS MÓVIL GRICOL L263</v>
          </cell>
          <cell r="B326" t="str">
            <v>2,00</v>
          </cell>
          <cell r="C326" t="str">
            <v>UN</v>
          </cell>
          <cell r="D326" t="str">
            <v>57.736,00</v>
          </cell>
          <cell r="E326">
            <v>59929.968000000001</v>
          </cell>
          <cell r="F326">
            <v>60894.840484799999</v>
          </cell>
          <cell r="G326">
            <v>51172.134861176477</v>
          </cell>
          <cell r="H326"/>
          <cell r="I326" t="str">
            <v>1.605.000,00</v>
          </cell>
        </row>
        <row r="327">
          <cell r="A327" t="str">
            <v>LLAVES SUMINISTRO PARA ORINAL</v>
          </cell>
          <cell r="B327" t="str">
            <v>5,00</v>
          </cell>
          <cell r="C327" t="str">
            <v>UN</v>
          </cell>
          <cell r="D327" t="str">
            <v>71.250,00</v>
          </cell>
          <cell r="E327">
            <v>73957.5</v>
          </cell>
          <cell r="F327">
            <v>75148.215750000003</v>
          </cell>
          <cell r="G327">
            <v>63149.76113445378</v>
          </cell>
          <cell r="H327"/>
          <cell r="I327" t="str">
            <v>348.820,00</v>
          </cell>
        </row>
        <row r="328">
          <cell r="A328" t="str">
            <v>LONA PARA ESCOMBRO</v>
          </cell>
          <cell r="B328" t="str">
            <v>1.000,00</v>
          </cell>
          <cell r="C328" t="str">
            <v>ML</v>
          </cell>
          <cell r="D328" t="str">
            <v>535,00</v>
          </cell>
          <cell r="E328">
            <v>555.33000000000004</v>
          </cell>
          <cell r="F328">
            <v>564.27081300000009</v>
          </cell>
          <cell r="G328">
            <v>474.17715378151263</v>
          </cell>
          <cell r="H328"/>
          <cell r="I328" t="str">
            <v>243.425,00</v>
          </cell>
        </row>
        <row r="329">
          <cell r="A329" t="str">
            <v>MACETA 2 LB</v>
          </cell>
          <cell r="B329" t="str">
            <v>2,00</v>
          </cell>
          <cell r="C329" t="str">
            <v>UN</v>
          </cell>
          <cell r="D329" t="str">
            <v>15.930,00</v>
          </cell>
          <cell r="E329">
            <v>16535.34</v>
          </cell>
          <cell r="F329">
            <v>16801.558974</v>
          </cell>
          <cell r="G329">
            <v>14118.957121008403</v>
          </cell>
          <cell r="H329"/>
          <cell r="I329" t="str">
            <v>187.250,00</v>
          </cell>
        </row>
        <row r="330">
          <cell r="A330" t="str">
            <v>MACETA 4 LB</v>
          </cell>
          <cell r="B330" t="str">
            <v>2,00</v>
          </cell>
          <cell r="C330" t="str">
            <v>UN</v>
          </cell>
          <cell r="D330" t="str">
            <v>27.792,00</v>
          </cell>
          <cell r="E330">
            <v>28848.096000000001</v>
          </cell>
          <cell r="F330">
            <v>29312.550345600001</v>
          </cell>
          <cell r="G330">
            <v>24632.395248403362</v>
          </cell>
          <cell r="H330"/>
          <cell r="I330" t="str">
            <v>1.267.950,00</v>
          </cell>
        </row>
        <row r="331">
          <cell r="A331" t="str">
            <v>MADECANTO DE 04 CM COLOR BLANCO  (ROLLO- DE 30 MTS)</v>
          </cell>
          <cell r="B331" t="str">
            <v>2,00</v>
          </cell>
          <cell r="C331" t="str">
            <v>ROL</v>
          </cell>
          <cell r="D331" t="str">
            <v>70.620,00</v>
          </cell>
          <cell r="E331">
            <v>73303.56</v>
          </cell>
          <cell r="F331">
            <v>74483.747315999994</v>
          </cell>
          <cell r="G331">
            <v>62591.384299159661</v>
          </cell>
          <cell r="H331"/>
          <cell r="I331" t="str">
            <v>171.420,00</v>
          </cell>
        </row>
        <row r="332">
          <cell r="A332" t="str">
            <v>MADECANTO DE 04 CM COLOR WENGUE (ROLLO- DE 30 MTS)</v>
          </cell>
          <cell r="B332" t="str">
            <v>2,00</v>
          </cell>
          <cell r="C332" t="str">
            <v>ROL</v>
          </cell>
          <cell r="D332" t="str">
            <v>70.620,00</v>
          </cell>
          <cell r="E332">
            <v>73303.56</v>
          </cell>
          <cell r="F332">
            <v>74483.747315999994</v>
          </cell>
          <cell r="G332">
            <v>62591.384299159661</v>
          </cell>
          <cell r="H332"/>
          <cell r="I332" t="str">
            <v>93.500,00</v>
          </cell>
        </row>
        <row r="333">
          <cell r="A333" t="str">
            <v>MADECANTO DE 20MM COLOR BLANCO ( ROLLO- DE 30 MTS)</v>
          </cell>
          <cell r="B333" t="str">
            <v>2,00</v>
          </cell>
          <cell r="C333" t="str">
            <v>ROL</v>
          </cell>
          <cell r="D333" t="str">
            <v>35.310,00</v>
          </cell>
          <cell r="E333">
            <v>36651.78</v>
          </cell>
          <cell r="F333">
            <v>37241.873657999997</v>
          </cell>
          <cell r="G333">
            <v>31295.692149579831</v>
          </cell>
          <cell r="H333"/>
          <cell r="I333" t="str">
            <v>85.172,00</v>
          </cell>
        </row>
        <row r="334">
          <cell r="A334" t="str">
            <v>MADECANTO DE 20MM COLOR WENGUE (ROLLO- DE 30 MTS )</v>
          </cell>
          <cell r="B334" t="str">
            <v>2,00</v>
          </cell>
          <cell r="C334" t="str">
            <v>ROL</v>
          </cell>
          <cell r="D334" t="str">
            <v>35.310,00</v>
          </cell>
          <cell r="E334">
            <v>36651.78</v>
          </cell>
          <cell r="F334">
            <v>37241.873657999997</v>
          </cell>
          <cell r="G334">
            <v>31295.692149579831</v>
          </cell>
          <cell r="H334"/>
          <cell r="I334" t="str">
            <v>32.145,00</v>
          </cell>
        </row>
        <row r="335">
          <cell r="A335" t="str">
            <v>MALLA CON VENA 0.6 MM X 2MTS</v>
          </cell>
          <cell r="B335" t="str">
            <v>5,00</v>
          </cell>
          <cell r="C335" t="str">
            <v>UN</v>
          </cell>
          <cell r="D335" t="str">
            <v>6.313,00</v>
          </cell>
          <cell r="E335">
            <v>6552.8940000000002</v>
          </cell>
          <cell r="F335">
            <v>6658.3955934000005</v>
          </cell>
          <cell r="G335">
            <v>5595.2904146218489</v>
          </cell>
          <cell r="H335"/>
          <cell r="I335" t="str">
            <v>28.500,00</v>
          </cell>
        </row>
        <row r="336">
          <cell r="A336" t="str">
            <v>MANGO PARA CAUCHO CUADRADO DE 3/4"</v>
          </cell>
          <cell r="B336" t="str">
            <v>90,00</v>
          </cell>
          <cell r="C336" t="str">
            <v>UN</v>
          </cell>
          <cell r="D336" t="str">
            <v>7.140,00</v>
          </cell>
          <cell r="E336">
            <v>7411.32</v>
          </cell>
          <cell r="F336">
            <v>7530.6422519999996</v>
          </cell>
          <cell r="G336">
            <v>6328.2708000000002</v>
          </cell>
          <cell r="H336"/>
          <cell r="I336" t="str">
            <v>423.429,00</v>
          </cell>
        </row>
        <row r="337">
          <cell r="A337" t="str">
            <v>MANGOS DE CAUCHO CUADRADOS 1/4"</v>
          </cell>
          <cell r="B337" t="str">
            <v>40,00</v>
          </cell>
          <cell r="C337" t="str">
            <v>UN</v>
          </cell>
          <cell r="D337" t="str">
            <v>5.564,00</v>
          </cell>
          <cell r="E337">
            <v>5775.4319999999998</v>
          </cell>
          <cell r="F337">
            <v>5868.4164552000002</v>
          </cell>
          <cell r="G337">
            <v>4931.4423993277314</v>
          </cell>
          <cell r="H337"/>
          <cell r="I337" t="str">
            <v>335.920,00</v>
          </cell>
        </row>
        <row r="338">
          <cell r="A338" t="str">
            <v>MANIJA PARA DUCHA Y LAVAMANOS CALIMA 22MM</v>
          </cell>
          <cell r="B338" t="str">
            <v>7,00</v>
          </cell>
          <cell r="C338" t="str">
            <v>UN</v>
          </cell>
          <cell r="D338" t="str">
            <v>23.919,00</v>
          </cell>
          <cell r="E338">
            <v>24827.921999999999</v>
          </cell>
          <cell r="F338">
            <v>25227.651544199998</v>
          </cell>
          <cell r="G338">
            <v>21199.707180000001</v>
          </cell>
          <cell r="H338"/>
          <cell r="I338" t="str">
            <v>183.600,00</v>
          </cell>
        </row>
        <row r="339">
          <cell r="A339" t="str">
            <v>MANIJA PARA FLUXÓMETRO GENT</v>
          </cell>
          <cell r="B339" t="str">
            <v>7,00</v>
          </cell>
          <cell r="C339" t="str">
            <v>UN</v>
          </cell>
          <cell r="D339" t="str">
            <v>134.285,00</v>
          </cell>
          <cell r="E339">
            <v>139387.82999999999</v>
          </cell>
          <cell r="F339">
            <v>141631.974063</v>
          </cell>
          <cell r="G339">
            <v>119018.46559915967</v>
          </cell>
          <cell r="H339"/>
          <cell r="I339" t="str">
            <v>246.135,00</v>
          </cell>
        </row>
        <row r="340">
          <cell r="A340" t="str">
            <v>MANIJA PARA FLUXÓMETRO ROYAL</v>
          </cell>
          <cell r="B340" t="str">
            <v>7,00</v>
          </cell>
          <cell r="C340" t="str">
            <v>UN</v>
          </cell>
          <cell r="D340" t="str">
            <v>134.285,00</v>
          </cell>
          <cell r="E340">
            <v>139387.82999999999</v>
          </cell>
          <cell r="F340">
            <v>141631.974063</v>
          </cell>
          <cell r="G340">
            <v>119018.46559915967</v>
          </cell>
          <cell r="H340"/>
          <cell r="I340" t="str">
            <v>447.400,00</v>
          </cell>
        </row>
        <row r="341">
          <cell r="A341" t="str">
            <v>MARCO  INCRUSTAR DE 120 X 30 CMS</v>
          </cell>
          <cell r="B341" t="str">
            <v>30,00</v>
          </cell>
          <cell r="C341" t="str">
            <v>UN</v>
          </cell>
          <cell r="D341" t="str">
            <v>27.200,00</v>
          </cell>
          <cell r="E341">
            <v>28233.599999999999</v>
          </cell>
          <cell r="F341">
            <v>28688.160959999997</v>
          </cell>
          <cell r="G341">
            <v>24107.698285714287</v>
          </cell>
          <cell r="H341"/>
          <cell r="I341" t="str">
            <v>671.100,00</v>
          </cell>
        </row>
        <row r="342">
          <cell r="A342" t="str">
            <v>MARCO  INCRUSTAR DE 60 X 60 CMS</v>
          </cell>
          <cell r="B342" t="str">
            <v>30,00</v>
          </cell>
          <cell r="C342" t="str">
            <v>UN</v>
          </cell>
          <cell r="D342" t="str">
            <v>27.200,00</v>
          </cell>
          <cell r="E342">
            <v>28233.599999999999</v>
          </cell>
          <cell r="F342">
            <v>28688.160959999997</v>
          </cell>
          <cell r="G342">
            <v>24107.698285714287</v>
          </cell>
          <cell r="H342"/>
          <cell r="I342" t="str">
            <v>223.700,00</v>
          </cell>
        </row>
        <row r="343">
          <cell r="A343" t="str">
            <v>MARCO DE SEGUETA 12"</v>
          </cell>
          <cell r="B343" t="str">
            <v>1,00</v>
          </cell>
          <cell r="C343" t="str">
            <v>UN</v>
          </cell>
          <cell r="D343" t="str">
            <v>23.545,00</v>
          </cell>
          <cell r="E343">
            <v>24439.71</v>
          </cell>
          <cell r="F343">
            <v>24833.189330999998</v>
          </cell>
          <cell r="G343">
            <v>20868.226328571425</v>
          </cell>
          <cell r="H343"/>
          <cell r="I343" t="str">
            <v>31.565,00</v>
          </cell>
        </row>
        <row r="344">
          <cell r="A344" t="str">
            <v>MARCO SOBREPONER DE 120 X 30 CMS</v>
          </cell>
          <cell r="B344" t="str">
            <v>30,00</v>
          </cell>
          <cell r="C344" t="str">
            <v>UN</v>
          </cell>
          <cell r="D344" t="str">
            <v>34.000,00</v>
          </cell>
          <cell r="E344">
            <v>35292</v>
          </cell>
          <cell r="F344">
            <v>35860.201200000003</v>
          </cell>
          <cell r="G344">
            <v>30134.622857142858</v>
          </cell>
          <cell r="H344"/>
          <cell r="I344" t="str">
            <v>31.565,00</v>
          </cell>
        </row>
        <row r="345">
          <cell r="A345" t="str">
            <v>MARCO SOBREPONER DE 60 X 60 CMS</v>
          </cell>
          <cell r="B345" t="str">
            <v>30,00</v>
          </cell>
          <cell r="C345" t="str">
            <v>UN</v>
          </cell>
          <cell r="D345" t="str">
            <v>34.000,00</v>
          </cell>
          <cell r="E345">
            <v>35292</v>
          </cell>
          <cell r="F345">
            <v>35860.201200000003</v>
          </cell>
          <cell r="G345">
            <v>30134.622857142858</v>
          </cell>
          <cell r="H345"/>
          <cell r="I345" t="str">
            <v>2.125.000,00</v>
          </cell>
        </row>
        <row r="346">
          <cell r="A346" t="str">
            <v>MARIPOSA DE AJUSTE CON TOPE DE CAUCHO 3/16"</v>
          </cell>
          <cell r="B346" t="str">
            <v>40,00</v>
          </cell>
          <cell r="C346" t="str">
            <v>UN</v>
          </cell>
          <cell r="D346" t="str">
            <v>3.745,00</v>
          </cell>
          <cell r="E346">
            <v>3887.31</v>
          </cell>
          <cell r="F346">
            <v>3949.8956910000002</v>
          </cell>
          <cell r="G346">
            <v>3319.2400764705885</v>
          </cell>
          <cell r="H346"/>
          <cell r="I346" t="str">
            <v>2.125.000,00</v>
          </cell>
        </row>
        <row r="347">
          <cell r="A347" t="str">
            <v>MARTILLO PATECABRA</v>
          </cell>
          <cell r="B347" t="str">
            <v>2,00</v>
          </cell>
          <cell r="C347" t="str">
            <v>UN</v>
          </cell>
          <cell r="D347" t="str">
            <v>20.138,00</v>
          </cell>
          <cell r="E347">
            <v>20903.243999999999</v>
          </cell>
          <cell r="F347">
            <v>21239.7862284</v>
          </cell>
          <cell r="G347">
            <v>17848.559855798318</v>
          </cell>
          <cell r="H347"/>
          <cell r="I347" t="str">
            <v>556.400,00</v>
          </cell>
        </row>
        <row r="348">
          <cell r="A348" t="str">
            <v>MASILLA POLIESTER CON CATALIZADOR X 1/4 GALÓN</v>
          </cell>
          <cell r="B348" t="str">
            <v>3,00</v>
          </cell>
          <cell r="C348" t="str">
            <v>UN</v>
          </cell>
          <cell r="D348" t="str">
            <v>23.572,00</v>
          </cell>
          <cell r="E348">
            <v>24467.736000000001</v>
          </cell>
          <cell r="F348">
            <v>24861.666549600002</v>
          </cell>
          <cell r="G348">
            <v>20892.156764369753</v>
          </cell>
          <cell r="H348"/>
          <cell r="I348" t="str">
            <v>31.860,00</v>
          </cell>
        </row>
        <row r="349">
          <cell r="A349" t="str">
            <v>MASTICO EN POLVO (BOLSA X 2 KILOS)</v>
          </cell>
          <cell r="B349" t="str">
            <v>3,00</v>
          </cell>
          <cell r="C349" t="str">
            <v>UN</v>
          </cell>
          <cell r="D349" t="str">
            <v>27.820,00</v>
          </cell>
          <cell r="E349">
            <v>28877.16</v>
          </cell>
          <cell r="F349">
            <v>29342.082276000001</v>
          </cell>
          <cell r="G349">
            <v>24657.211996638653</v>
          </cell>
          <cell r="H349"/>
          <cell r="I349" t="str">
            <v>55.584,00</v>
          </cell>
        </row>
        <row r="350">
          <cell r="A350" t="str">
            <v>MEZCLADOR LAVAMANOS DE 8"</v>
          </cell>
          <cell r="B350" t="str">
            <v>3,00</v>
          </cell>
          <cell r="C350" t="str">
            <v>UN</v>
          </cell>
          <cell r="D350" t="str">
            <v>128.802,00</v>
          </cell>
          <cell r="E350">
            <v>133696.476</v>
          </cell>
          <cell r="F350">
            <v>135848.9892636</v>
          </cell>
          <cell r="G350">
            <v>114158.8145072269</v>
          </cell>
          <cell r="H350"/>
          <cell r="I350" t="str">
            <v>72.546,00</v>
          </cell>
        </row>
        <row r="351">
          <cell r="A351" t="str">
            <v>MINERAL ALEMÁN EN CAJA (COLORES)</v>
          </cell>
          <cell r="B351" t="str">
            <v>5,00</v>
          </cell>
          <cell r="C351" t="str">
            <v>UN</v>
          </cell>
          <cell r="D351" t="str">
            <v>6.313,00</v>
          </cell>
          <cell r="E351">
            <v>6552.8940000000002</v>
          </cell>
          <cell r="F351">
            <v>6658.3955934000005</v>
          </cell>
          <cell r="G351">
            <v>5595.2904146218489</v>
          </cell>
          <cell r="H351"/>
          <cell r="I351" t="str">
            <v>45.322,00</v>
          </cell>
        </row>
        <row r="352">
          <cell r="A352" t="str">
            <v>MODELO LLAVE 1000R   (CAJA * 100)</v>
          </cell>
          <cell r="B352" t="str">
            <v>1,00</v>
          </cell>
          <cell r="C352" t="str">
            <v>CX</v>
          </cell>
          <cell r="D352" t="str">
            <v>76.500,00</v>
          </cell>
          <cell r="E352">
            <v>79407</v>
          </cell>
          <cell r="F352">
            <v>80685.452699999994</v>
          </cell>
          <cell r="G352">
            <v>67802.901428571422</v>
          </cell>
          <cell r="H352"/>
          <cell r="I352" t="str">
            <v>46.172,00</v>
          </cell>
        </row>
        <row r="353">
          <cell r="A353" t="str">
            <v>MODELO LLAVE 1000S    (CAJA * 100)</v>
          </cell>
          <cell r="B353" t="str">
            <v>1,00</v>
          </cell>
          <cell r="C353" t="str">
            <v>CX</v>
          </cell>
          <cell r="D353" t="str">
            <v>76.500,00</v>
          </cell>
          <cell r="E353">
            <v>79407</v>
          </cell>
          <cell r="F353">
            <v>80685.452699999994</v>
          </cell>
          <cell r="G353">
            <v>67802.901428571422</v>
          </cell>
          <cell r="H353"/>
          <cell r="I353" t="str">
            <v>58.922,00</v>
          </cell>
        </row>
        <row r="354">
          <cell r="A354" t="str">
            <v>MODELO LLAVE 1021    (CAJA * 100)</v>
          </cell>
          <cell r="B354" t="str">
            <v>1,00</v>
          </cell>
          <cell r="C354" t="str">
            <v>CX</v>
          </cell>
          <cell r="D354" t="str">
            <v>122.400,00</v>
          </cell>
          <cell r="E354">
            <v>127051.2</v>
          </cell>
          <cell r="F354">
            <v>129096.72431999999</v>
          </cell>
          <cell r="G354">
            <v>108484.64228571429</v>
          </cell>
          <cell r="H354"/>
          <cell r="I354" t="str">
            <v>40.276,00</v>
          </cell>
        </row>
        <row r="355">
          <cell r="A355" t="str">
            <v>MODELO LLAVE 3005    (CAJA * 100)</v>
          </cell>
          <cell r="B355" t="str">
            <v>1,00</v>
          </cell>
          <cell r="C355" t="str">
            <v>CX</v>
          </cell>
          <cell r="D355" t="str">
            <v>122.400,00</v>
          </cell>
          <cell r="E355">
            <v>127051.2</v>
          </cell>
          <cell r="F355">
            <v>129096.72431999999</v>
          </cell>
          <cell r="G355">
            <v>108484.64228571429</v>
          </cell>
          <cell r="H355"/>
          <cell r="I355" t="str">
            <v>23.545,00</v>
          </cell>
        </row>
        <row r="356">
          <cell r="A356" t="str">
            <v>MODELOS DE  LLAVES 1500    (CAJA * 100)</v>
          </cell>
          <cell r="B356" t="str">
            <v>1,00</v>
          </cell>
          <cell r="C356" t="str">
            <v>CX</v>
          </cell>
          <cell r="D356" t="str">
            <v>122.400,00</v>
          </cell>
          <cell r="E356">
            <v>127051.2</v>
          </cell>
          <cell r="F356">
            <v>129096.72431999999</v>
          </cell>
          <cell r="G356">
            <v>108484.64228571429</v>
          </cell>
          <cell r="H356"/>
          <cell r="I356" t="str">
            <v>17.860,00</v>
          </cell>
        </row>
        <row r="357">
          <cell r="A357" t="str">
            <v>MODELOS DE  LLAVES 2040    (CAJA * 100)</v>
          </cell>
          <cell r="B357" t="str">
            <v>1,00</v>
          </cell>
          <cell r="C357" t="str">
            <v>CX</v>
          </cell>
          <cell r="D357" t="str">
            <v>122.400,00</v>
          </cell>
          <cell r="E357">
            <v>127051.2</v>
          </cell>
          <cell r="F357">
            <v>129096.72431999999</v>
          </cell>
          <cell r="G357">
            <v>108484.64228571429</v>
          </cell>
          <cell r="H357"/>
          <cell r="I357" t="str">
            <v>17.860,00</v>
          </cell>
        </row>
        <row r="358">
          <cell r="A358" t="str">
            <v>OMEGA PARA ESTRUCTURA</v>
          </cell>
          <cell r="B358" t="str">
            <v>20,00</v>
          </cell>
          <cell r="C358" t="str">
            <v>UN</v>
          </cell>
          <cell r="D358" t="str">
            <v>3.745,00</v>
          </cell>
          <cell r="E358">
            <v>3887.31</v>
          </cell>
          <cell r="F358">
            <v>3949.8956910000002</v>
          </cell>
          <cell r="G358">
            <v>3319.2400764705885</v>
          </cell>
          <cell r="H358"/>
          <cell r="I358" t="str">
            <v>74.686,00</v>
          </cell>
        </row>
        <row r="359">
          <cell r="A359" t="str">
            <v>PALA CUADRADA DE TRABAJO</v>
          </cell>
          <cell r="B359" t="str">
            <v>2,00</v>
          </cell>
          <cell r="C359" t="str">
            <v>UN</v>
          </cell>
          <cell r="D359" t="str">
            <v>23.086,00</v>
          </cell>
          <cell r="E359">
            <v>23963.268</v>
          </cell>
          <cell r="F359">
            <v>24349.0766148</v>
          </cell>
          <cell r="G359">
            <v>20461.408920000002</v>
          </cell>
          <cell r="H359"/>
          <cell r="I359" t="str">
            <v>68.266,00</v>
          </cell>
        </row>
        <row r="360">
          <cell r="A360" t="str">
            <v>PALA REDONDA DE TRABAJO</v>
          </cell>
          <cell r="B360" t="str">
            <v>2,00</v>
          </cell>
          <cell r="C360" t="str">
            <v>UN</v>
          </cell>
          <cell r="D360" t="str">
            <v>22.661,00</v>
          </cell>
          <cell r="E360">
            <v>23522.117999999999</v>
          </cell>
          <cell r="F360">
            <v>23900.8240998</v>
          </cell>
          <cell r="G360">
            <v>20084.726134285713</v>
          </cell>
          <cell r="H360"/>
          <cell r="I360" t="str">
            <v>156.969,00</v>
          </cell>
        </row>
        <row r="361">
          <cell r="A361" t="str">
            <v>PANEL LED 12"INCRUSTAR 24W</v>
          </cell>
          <cell r="B361" t="str">
            <v>30,00</v>
          </cell>
          <cell r="C361" t="str">
            <v>UN</v>
          </cell>
          <cell r="D361" t="str">
            <v>34.286,00</v>
          </cell>
          <cell r="E361">
            <v>35588.868000000002</v>
          </cell>
          <cell r="F361">
            <v>36161.848774800004</v>
          </cell>
          <cell r="G361">
            <v>30388.108214117648</v>
          </cell>
          <cell r="H361"/>
          <cell r="I361" t="str">
            <v>288.472,00</v>
          </cell>
        </row>
        <row r="362">
          <cell r="A362" t="str">
            <v>PANEL LED 12"SOBREPONER 24W</v>
          </cell>
          <cell r="B362" t="str">
            <v>30,00</v>
          </cell>
          <cell r="C362" t="str">
            <v>UN</v>
          </cell>
          <cell r="D362" t="str">
            <v>37.143,00</v>
          </cell>
          <cell r="E362">
            <v>38554.434000000001</v>
          </cell>
          <cell r="F362">
            <v>39175.160387399999</v>
          </cell>
          <cell r="G362">
            <v>32920.302846554623</v>
          </cell>
          <cell r="H362"/>
          <cell r="I362" t="str">
            <v>4.992,00</v>
          </cell>
        </row>
        <row r="363">
          <cell r="A363" t="str">
            <v>PANEL LED 120 X 30  REDONDA  - LUZ FRIA</v>
          </cell>
          <cell r="B363" t="str">
            <v>50,00</v>
          </cell>
          <cell r="C363" t="str">
            <v>UN</v>
          </cell>
          <cell r="D363" t="str">
            <v>111.428,00</v>
          </cell>
          <cell r="E363">
            <v>115662.264</v>
          </cell>
          <cell r="F363">
            <v>117524.4264504</v>
          </cell>
          <cell r="G363">
            <v>98760.022227226887</v>
          </cell>
          <cell r="H363"/>
          <cell r="I363" t="str">
            <v>3.210,00</v>
          </cell>
        </row>
        <row r="364">
          <cell r="A364" t="str">
            <v>PANEL LED 18"INCRUSTAR</v>
          </cell>
          <cell r="B364" t="str">
            <v>10,00</v>
          </cell>
          <cell r="C364" t="str">
            <v>UN</v>
          </cell>
          <cell r="D364" t="str">
            <v>17.857,00</v>
          </cell>
          <cell r="E364">
            <v>18535.565999999999</v>
          </cell>
          <cell r="F364">
            <v>18833.988612599998</v>
          </cell>
          <cell r="G364">
            <v>15826.881187058823</v>
          </cell>
          <cell r="H364"/>
          <cell r="I364" t="str">
            <v>5.490,00</v>
          </cell>
        </row>
        <row r="365">
          <cell r="A365" t="str">
            <v>PANEL LED 18"SOBREPONER</v>
          </cell>
          <cell r="B365" t="str">
            <v>10,00</v>
          </cell>
          <cell r="C365" t="str">
            <v>UN</v>
          </cell>
          <cell r="D365" t="str">
            <v>23.572,00</v>
          </cell>
          <cell r="E365">
            <v>24467.736000000001</v>
          </cell>
          <cell r="F365">
            <v>24861.666549600002</v>
          </cell>
          <cell r="G365">
            <v>20892.156764369753</v>
          </cell>
          <cell r="H365"/>
          <cell r="I365" t="str">
            <v>11.877,00</v>
          </cell>
        </row>
        <row r="366">
          <cell r="A366" t="str">
            <v>PANEL LED 3"INCRUSTAR 3W</v>
          </cell>
          <cell r="B366" t="str">
            <v>25,00</v>
          </cell>
          <cell r="C366" t="str">
            <v>UN</v>
          </cell>
          <cell r="D366" t="str">
            <v>7.143,00</v>
          </cell>
          <cell r="E366">
            <v>7414.4340000000002</v>
          </cell>
          <cell r="F366">
            <v>7533.8063873999999</v>
          </cell>
          <cell r="G366">
            <v>6330.9297373109239</v>
          </cell>
          <cell r="H366"/>
          <cell r="I366" t="str">
            <v>5.457,00</v>
          </cell>
        </row>
        <row r="367">
          <cell r="A367" t="str">
            <v>PANEL LED 30 X 30  CUADRADO  - LUZ FRIA</v>
          </cell>
          <cell r="B367" t="str">
            <v>10,00</v>
          </cell>
          <cell r="C367" t="str">
            <v>UN</v>
          </cell>
          <cell r="D367" t="str">
            <v>78.571,00</v>
          </cell>
          <cell r="E367">
            <v>81556.698000000004</v>
          </cell>
          <cell r="F367">
            <v>82869.7608378</v>
          </cell>
          <cell r="G367">
            <v>69638.454485546215</v>
          </cell>
          <cell r="H367"/>
          <cell r="I367" t="str">
            <v>5.457,00</v>
          </cell>
        </row>
        <row r="368">
          <cell r="A368" t="str">
            <v>PANEL LED 30 X 30  REDONDA  - LUZ FRIA</v>
          </cell>
          <cell r="B368" t="str">
            <v>10,00</v>
          </cell>
          <cell r="C368" t="str">
            <v>UN</v>
          </cell>
          <cell r="D368" t="str">
            <v>78.571,00</v>
          </cell>
          <cell r="E368">
            <v>81556.698000000004</v>
          </cell>
          <cell r="F368">
            <v>82869.7608378</v>
          </cell>
          <cell r="G368">
            <v>69638.454485546215</v>
          </cell>
          <cell r="H368"/>
          <cell r="I368" t="str">
            <v>7.704,00</v>
          </cell>
        </row>
        <row r="369">
          <cell r="A369" t="str">
            <v>PANEL LED 4" INCRUSTAR 5W</v>
          </cell>
          <cell r="B369" t="str">
            <v>25,00</v>
          </cell>
          <cell r="C369" t="str">
            <v>UN</v>
          </cell>
          <cell r="D369" t="str">
            <v>8.571,00</v>
          </cell>
          <cell r="E369">
            <v>8896.6980000000003</v>
          </cell>
          <cell r="F369">
            <v>9039.9348377999995</v>
          </cell>
          <cell r="G369">
            <v>7596.583897310923</v>
          </cell>
          <cell r="H369"/>
          <cell r="I369" t="str">
            <v>17.013,00</v>
          </cell>
        </row>
        <row r="370">
          <cell r="A370" t="str">
            <v>PANEL LED 6" INCRUSTAR 12W</v>
          </cell>
          <cell r="B370" t="str">
            <v>25,00</v>
          </cell>
          <cell r="C370" t="str">
            <v>UN</v>
          </cell>
          <cell r="D370" t="str">
            <v>13.571,00</v>
          </cell>
          <cell r="E370">
            <v>14086.698</v>
          </cell>
          <cell r="F370">
            <v>14313.493837800001</v>
          </cell>
          <cell r="G370">
            <v>12028.146082184874</v>
          </cell>
          <cell r="H370"/>
          <cell r="I370" t="str">
            <v>27.927,00</v>
          </cell>
        </row>
        <row r="371">
          <cell r="A371" t="str">
            <v>PANEL LED 6" SOBREPONER 12W</v>
          </cell>
          <cell r="B371" t="str">
            <v>25,00</v>
          </cell>
          <cell r="C371" t="str">
            <v>UN</v>
          </cell>
          <cell r="D371" t="str">
            <v>19.287,00</v>
          </cell>
          <cell r="E371">
            <v>20019.905999999999</v>
          </cell>
          <cell r="F371">
            <v>20342.2264866</v>
          </cell>
          <cell r="G371">
            <v>17094.307971932772</v>
          </cell>
          <cell r="H371"/>
          <cell r="I371" t="str">
            <v>6.045,00</v>
          </cell>
        </row>
        <row r="372">
          <cell r="A372" t="str">
            <v>PANEL LED 60 X 60  CUADRADO - LUZ FRIA</v>
          </cell>
          <cell r="B372" t="str">
            <v>50,00</v>
          </cell>
          <cell r="C372" t="str">
            <v>UN</v>
          </cell>
          <cell r="D372" t="str">
            <v>111.428,00</v>
          </cell>
          <cell r="E372">
            <v>115662.264</v>
          </cell>
          <cell r="F372">
            <v>117524.4264504</v>
          </cell>
          <cell r="G372">
            <v>98760.022227226887</v>
          </cell>
          <cell r="H372"/>
          <cell r="I372" t="str">
            <v>6.045,00</v>
          </cell>
        </row>
        <row r="373">
          <cell r="A373" t="str">
            <v>PANEL LED 8" INCRUSTAR 18W</v>
          </cell>
          <cell r="B373" t="str">
            <v>30,00</v>
          </cell>
          <cell r="C373" t="str">
            <v>UN</v>
          </cell>
          <cell r="D373" t="str">
            <v>17.857,00</v>
          </cell>
          <cell r="E373">
            <v>18535.565999999999</v>
          </cell>
          <cell r="F373">
            <v>18833.988612599998</v>
          </cell>
          <cell r="G373">
            <v>15826.881187058823</v>
          </cell>
          <cell r="H373"/>
          <cell r="I373" t="str">
            <v>5.073,00</v>
          </cell>
        </row>
        <row r="374">
          <cell r="A374" t="str">
            <v>PANEL LED 8" SOBREPONER 18W</v>
          </cell>
          <cell r="B374" t="str">
            <v>30,00</v>
          </cell>
          <cell r="C374" t="str">
            <v>UN</v>
          </cell>
          <cell r="D374" t="str">
            <v>23.572,00</v>
          </cell>
          <cell r="E374">
            <v>24467.736000000001</v>
          </cell>
          <cell r="F374">
            <v>24861.666549600002</v>
          </cell>
          <cell r="G374">
            <v>20892.156764369753</v>
          </cell>
          <cell r="H374"/>
          <cell r="I374" t="str">
            <v>13.323,00</v>
          </cell>
        </row>
        <row r="375">
          <cell r="A375" t="str">
            <v>PANEL LED 9" INCRUSTAR</v>
          </cell>
          <cell r="B375" t="str">
            <v>30,00</v>
          </cell>
          <cell r="C375" t="str">
            <v>UN</v>
          </cell>
          <cell r="D375" t="str">
            <v>34.286,00</v>
          </cell>
          <cell r="E375">
            <v>35588.868000000002</v>
          </cell>
          <cell r="F375">
            <v>36161.848774800004</v>
          </cell>
          <cell r="G375">
            <v>30388.108214117648</v>
          </cell>
          <cell r="H375"/>
          <cell r="I375" t="str">
            <v>20.223,00</v>
          </cell>
        </row>
        <row r="376">
          <cell r="A376" t="str">
            <v>PANEL LED 9" SOBREPONER</v>
          </cell>
          <cell r="B376" t="str">
            <v>30,00</v>
          </cell>
          <cell r="C376" t="str">
            <v>UN</v>
          </cell>
          <cell r="D376" t="str">
            <v>37.143,00</v>
          </cell>
          <cell r="E376">
            <v>38554.434000000001</v>
          </cell>
          <cell r="F376">
            <v>39175.160387399999</v>
          </cell>
          <cell r="G376">
            <v>32920.302846554623</v>
          </cell>
          <cell r="H376"/>
          <cell r="I376" t="str">
            <v>10.593,00</v>
          </cell>
        </row>
        <row r="377">
          <cell r="A377" t="str">
            <v>PAPEL SAMBLASTRIG ROLLO X 50 MTS LECHADO</v>
          </cell>
          <cell r="B377" t="str">
            <v>2,00</v>
          </cell>
          <cell r="C377" t="str">
            <v>ROL</v>
          </cell>
          <cell r="D377" t="str">
            <v>1.062.500,00</v>
          </cell>
          <cell r="E377">
            <v>1102875</v>
          </cell>
          <cell r="F377">
            <v>1120631.2875000001</v>
          </cell>
          <cell r="G377">
            <v>941706.96428571444</v>
          </cell>
          <cell r="H377"/>
          <cell r="I377" t="str">
            <v>10.593,00</v>
          </cell>
        </row>
        <row r="378">
          <cell r="A378" t="str">
            <v>PAPEL SAMBLASTRIG ROLLO X 50 MTS RAYADO</v>
          </cell>
          <cell r="B378" t="str">
            <v>2,00</v>
          </cell>
          <cell r="C378" t="str">
            <v>ROL</v>
          </cell>
          <cell r="D378" t="str">
            <v>1.062.500,00</v>
          </cell>
          <cell r="E378">
            <v>1102875</v>
          </cell>
          <cell r="F378">
            <v>1120631.2875000001</v>
          </cell>
          <cell r="G378">
            <v>941706.96428571444</v>
          </cell>
          <cell r="H378"/>
          <cell r="I378" t="str">
            <v>10.593,00</v>
          </cell>
        </row>
        <row r="379">
          <cell r="A379" t="str">
            <v>PAQUETE AMARRES DEXSON BLANCO  X 20 CMS    (PAQUETE X 100)</v>
          </cell>
          <cell r="B379" t="str">
            <v>5,00</v>
          </cell>
          <cell r="C379" t="str">
            <v>UN</v>
          </cell>
          <cell r="D379" t="str">
            <v>6.800,00</v>
          </cell>
          <cell r="E379">
            <v>7058.4</v>
          </cell>
          <cell r="F379">
            <v>7172.0402399999994</v>
          </cell>
          <cell r="G379">
            <v>6026.9245714285717</v>
          </cell>
          <cell r="H379"/>
          <cell r="I379" t="str">
            <v>22.470,00</v>
          </cell>
        </row>
        <row r="380">
          <cell r="A380" t="str">
            <v>PAQUETE DE AMARRE PLÁSTICA DEXSON 35CMS</v>
          </cell>
          <cell r="B380" t="str">
            <v>5,00</v>
          </cell>
          <cell r="C380" t="str">
            <v>UN</v>
          </cell>
          <cell r="D380" t="str">
            <v>18.088,00</v>
          </cell>
          <cell r="E380">
            <v>18775.344000000001</v>
          </cell>
          <cell r="F380">
            <v>19077.627038400002</v>
          </cell>
          <cell r="G380">
            <v>16031.619360000001</v>
          </cell>
          <cell r="H380"/>
          <cell r="I380" t="str">
            <v>41.409,00</v>
          </cell>
        </row>
        <row r="381">
          <cell r="A381" t="str">
            <v>PARALES PARA ESTRUCTURA BASE 6 MM</v>
          </cell>
          <cell r="B381" t="str">
            <v>20,00</v>
          </cell>
          <cell r="C381" t="str">
            <v>UN</v>
          </cell>
          <cell r="D381" t="str">
            <v>5.350,00</v>
          </cell>
          <cell r="E381">
            <v>5553.3</v>
          </cell>
          <cell r="F381">
            <v>5642.70813</v>
          </cell>
          <cell r="G381">
            <v>4741.7715378151261</v>
          </cell>
          <cell r="H381"/>
          <cell r="I381" t="str">
            <v>9.471,00</v>
          </cell>
        </row>
        <row r="382">
          <cell r="A382" t="str">
            <v>PARALES PARA ESTRUCTURA BASE 9 MM</v>
          </cell>
          <cell r="B382" t="str">
            <v>20,00</v>
          </cell>
          <cell r="C382" t="str">
            <v>UN</v>
          </cell>
          <cell r="D382" t="str">
            <v>6.955,00</v>
          </cell>
          <cell r="E382">
            <v>7219.29</v>
          </cell>
          <cell r="F382">
            <v>7335.5205690000003</v>
          </cell>
          <cell r="G382">
            <v>6164.3029991596632</v>
          </cell>
          <cell r="H382"/>
          <cell r="I382" t="str">
            <v>9.471,00</v>
          </cell>
        </row>
        <row r="383">
          <cell r="A383" t="str">
            <v>PASADOR COMÚN PUERTA</v>
          </cell>
          <cell r="B383" t="str">
            <v>10,00</v>
          </cell>
          <cell r="C383" t="str">
            <v>UN</v>
          </cell>
          <cell r="D383" t="str">
            <v>3.520,00</v>
          </cell>
          <cell r="E383">
            <v>3653.76</v>
          </cell>
          <cell r="F383">
            <v>3712.585536</v>
          </cell>
          <cell r="G383">
            <v>3119.8197781512604</v>
          </cell>
          <cell r="H383"/>
          <cell r="I383" t="str">
            <v>14.448,00</v>
          </cell>
        </row>
        <row r="384">
          <cell r="A384" t="str">
            <v>PEGACOR BLANCO  (BULTO X 25 KILOS)</v>
          </cell>
          <cell r="B384" t="str">
            <v>20,00</v>
          </cell>
          <cell r="C384" t="str">
            <v>UN</v>
          </cell>
          <cell r="D384" t="str">
            <v>39.483,00</v>
          </cell>
          <cell r="E384">
            <v>40983.353999999999</v>
          </cell>
          <cell r="F384">
            <v>41643.185999399997</v>
          </cell>
          <cell r="G384">
            <v>34994.273949075628</v>
          </cell>
          <cell r="H384"/>
          <cell r="I384" t="str">
            <v>17.013,00</v>
          </cell>
        </row>
        <row r="385">
          <cell r="A385" t="str">
            <v>PERROS PARA CABLE GALVANIZADO 3/4"</v>
          </cell>
          <cell r="B385" t="str">
            <v>2,00</v>
          </cell>
          <cell r="C385" t="str">
            <v>UN</v>
          </cell>
          <cell r="D385" t="str">
            <v>6.634,00</v>
          </cell>
          <cell r="E385">
            <v>6886.0919999999996</v>
          </cell>
          <cell r="F385">
            <v>6996.9580811999995</v>
          </cell>
          <cell r="G385">
            <v>5879.7967068907556</v>
          </cell>
          <cell r="H385"/>
          <cell r="I385" t="str">
            <v>37.515,00</v>
          </cell>
        </row>
        <row r="386">
          <cell r="A386" t="str">
            <v>PICA PARA CONSTRUCCIÓN 5LBS</v>
          </cell>
          <cell r="B386" t="str">
            <v>2,00</v>
          </cell>
          <cell r="C386" t="str">
            <v>UN</v>
          </cell>
          <cell r="D386" t="str">
            <v>29.461,00</v>
          </cell>
          <cell r="E386">
            <v>30580.518</v>
          </cell>
          <cell r="F386">
            <v>31072.864339799999</v>
          </cell>
          <cell r="G386">
            <v>26111.650705714284</v>
          </cell>
          <cell r="H386"/>
          <cell r="I386" t="str">
            <v>2.004,00</v>
          </cell>
        </row>
        <row r="387">
          <cell r="A387" t="str">
            <v>PIEDRA MUÑECA 50 X 1MT  (FACHADA) M2</v>
          </cell>
          <cell r="B387" t="str">
            <v>10,00</v>
          </cell>
          <cell r="C387" t="str">
            <v>M2</v>
          </cell>
          <cell r="D387" t="str">
            <v>160.500,00</v>
          </cell>
          <cell r="E387">
            <v>166599</v>
          </cell>
          <cell r="F387">
            <v>169281.2439</v>
          </cell>
          <cell r="G387">
            <v>142253.1461344538</v>
          </cell>
          <cell r="H387"/>
          <cell r="I387" t="str">
            <v>2.004,00</v>
          </cell>
        </row>
        <row r="388">
          <cell r="A388" t="str">
            <v>PINTURA EPOXICA BLANCA A BASE DE AGUA  (CUÑETE X  5 GALONES</v>
          </cell>
          <cell r="B388" t="str">
            <v>120,00</v>
          </cell>
          <cell r="C388" t="str">
            <v>UN</v>
          </cell>
          <cell r="D388" t="str">
            <v>556.400,00</v>
          </cell>
          <cell r="E388">
            <v>577543.19999999995</v>
          </cell>
          <cell r="F388">
            <v>586841.6455199999</v>
          </cell>
          <cell r="G388">
            <v>493144.23993277305</v>
          </cell>
          <cell r="H388"/>
          <cell r="I388" t="str">
            <v>2.622,00</v>
          </cell>
        </row>
        <row r="389">
          <cell r="A389" t="str">
            <v>PISO PORCELANATO DIFERENTES COLORES  30X30CM.M2</v>
          </cell>
          <cell r="B389" t="str">
            <v>10,00</v>
          </cell>
          <cell r="C389" t="str">
            <v>M2</v>
          </cell>
          <cell r="D389" t="str">
            <v>34.882,00</v>
          </cell>
          <cell r="E389">
            <v>36207.516000000003</v>
          </cell>
          <cell r="F389">
            <v>36790.457007600002</v>
          </cell>
          <cell r="G389">
            <v>30916.350426554625</v>
          </cell>
          <cell r="H389"/>
          <cell r="I389" t="str">
            <v>2.889,00</v>
          </cell>
        </row>
        <row r="390">
          <cell r="A390" t="str">
            <v>PISO PORCELANATO NEGRO  30X60CM.M2</v>
          </cell>
          <cell r="B390" t="str">
            <v>5,00</v>
          </cell>
          <cell r="C390" t="str">
            <v>M2</v>
          </cell>
          <cell r="D390" t="str">
            <v>48.685,00</v>
          </cell>
          <cell r="E390">
            <v>50535.03</v>
          </cell>
          <cell r="F390">
            <v>51348.643983000002</v>
          </cell>
          <cell r="G390">
            <v>43150.120994117649</v>
          </cell>
          <cell r="H390"/>
          <cell r="I390" t="str">
            <v>6.099,00</v>
          </cell>
        </row>
        <row r="391">
          <cell r="A391" t="str">
            <v>PISO PORCELANATO NEGRO  60X60CM.M3</v>
          </cell>
          <cell r="B391" t="str">
            <v>5,00</v>
          </cell>
          <cell r="C391" t="str">
            <v>M2</v>
          </cell>
          <cell r="D391" t="str">
            <v>37.450,00</v>
          </cell>
          <cell r="E391">
            <v>38873.1</v>
          </cell>
          <cell r="F391">
            <v>39498.956910000001</v>
          </cell>
          <cell r="G391">
            <v>33192.400764705882</v>
          </cell>
          <cell r="H391"/>
          <cell r="I391" t="str">
            <v>14.730,00</v>
          </cell>
        </row>
        <row r="392">
          <cell r="A392" t="str">
            <v>PISTOLA PARA TUBO DE SILICONA</v>
          </cell>
          <cell r="B392" t="str">
            <v>4,00</v>
          </cell>
          <cell r="C392" t="str">
            <v>UN</v>
          </cell>
          <cell r="D392" t="str">
            <v>21.293,00</v>
          </cell>
          <cell r="E392">
            <v>22102.133999999998</v>
          </cell>
          <cell r="F392">
            <v>22457.978357399999</v>
          </cell>
          <cell r="G392">
            <v>18872.250720504202</v>
          </cell>
          <cell r="H392"/>
          <cell r="I392" t="str">
            <v>14.730,00</v>
          </cell>
        </row>
        <row r="393">
          <cell r="A393" t="str">
            <v>PLANCHÓN 5 CM X 25 CM X3MTS</v>
          </cell>
          <cell r="B393" t="str">
            <v>30,00</v>
          </cell>
          <cell r="C393" t="str">
            <v>UN</v>
          </cell>
          <cell r="D393" t="str">
            <v>34.000,00</v>
          </cell>
          <cell r="E393">
            <v>35292</v>
          </cell>
          <cell r="F393">
            <v>35860.201200000003</v>
          </cell>
          <cell r="G393">
            <v>30134.622857142858</v>
          </cell>
          <cell r="H393"/>
          <cell r="I393" t="str">
            <v>31.845,00</v>
          </cell>
        </row>
        <row r="394">
          <cell r="A394" t="str">
            <v>PLÁSTICO NEGRO (ROLLO) 4M X 100MTS CAL 4</v>
          </cell>
          <cell r="B394" t="str">
            <v>1,00</v>
          </cell>
          <cell r="C394" t="str">
            <v>ROL</v>
          </cell>
          <cell r="D394" t="str">
            <v>556.400,00</v>
          </cell>
          <cell r="E394">
            <v>577543.19999999995</v>
          </cell>
          <cell r="F394">
            <v>586841.6455199999</v>
          </cell>
          <cell r="G394">
            <v>493144.23993277305</v>
          </cell>
          <cell r="H394"/>
          <cell r="I394" t="str">
            <v>46.914,00</v>
          </cell>
        </row>
        <row r="395">
          <cell r="A395" t="str">
            <v>PLATINA EN ALUMINIO DE 1"X 1/8"</v>
          </cell>
          <cell r="B395" t="str">
            <v>2,00</v>
          </cell>
          <cell r="C395" t="str">
            <v>UN</v>
          </cell>
          <cell r="D395" t="str">
            <v>38.520,00</v>
          </cell>
          <cell r="E395">
            <v>39983.760000000002</v>
          </cell>
          <cell r="F395">
            <v>40627.498535999999</v>
          </cell>
          <cell r="G395">
            <v>34140.755072268905</v>
          </cell>
          <cell r="H395"/>
          <cell r="I395" t="str">
            <v>48.471,00</v>
          </cell>
        </row>
        <row r="396">
          <cell r="A396" t="str">
            <v>POLISOMBRA BLANCA X 100MTS</v>
          </cell>
          <cell r="B396" t="str">
            <v>3,00</v>
          </cell>
          <cell r="C396" t="str">
            <v>UN</v>
          </cell>
          <cell r="D396" t="str">
            <v>223.700,00</v>
          </cell>
          <cell r="E396">
            <v>232200.6</v>
          </cell>
          <cell r="F396">
            <v>235939.02966</v>
          </cell>
          <cell r="G396">
            <v>198268.0921512605</v>
          </cell>
          <cell r="H396"/>
          <cell r="I396" t="str">
            <v>49.398,00</v>
          </cell>
        </row>
        <row r="397">
          <cell r="A397" t="str">
            <v>POLISOMBRA NEGRA X 100MTS</v>
          </cell>
          <cell r="B397" t="str">
            <v>1,00</v>
          </cell>
          <cell r="C397" t="str">
            <v>UN</v>
          </cell>
          <cell r="D397" t="str">
            <v>223.700,00</v>
          </cell>
          <cell r="E397">
            <v>232200.6</v>
          </cell>
          <cell r="F397">
            <v>235939.02966</v>
          </cell>
          <cell r="G397">
            <v>198268.0921512605</v>
          </cell>
          <cell r="H397"/>
          <cell r="I397" t="str">
            <v>31.524,00</v>
          </cell>
        </row>
        <row r="398">
          <cell r="A398" t="str">
            <v>POLISOMBRA VERDE X 100MTS</v>
          </cell>
          <cell r="B398" t="str">
            <v>2,00</v>
          </cell>
          <cell r="C398" t="str">
            <v>UN</v>
          </cell>
          <cell r="D398" t="str">
            <v>223.700,00</v>
          </cell>
          <cell r="E398">
            <v>232200.6</v>
          </cell>
          <cell r="F398">
            <v>235939.02966</v>
          </cell>
          <cell r="G398">
            <v>198268.0921512605</v>
          </cell>
          <cell r="H398"/>
          <cell r="I398" t="str">
            <v>51.360,00</v>
          </cell>
        </row>
        <row r="399">
          <cell r="A399" t="str">
            <v>PORTACANDADO 3/4"</v>
          </cell>
          <cell r="B399" t="str">
            <v>10,00</v>
          </cell>
          <cell r="C399" t="str">
            <v>UN</v>
          </cell>
          <cell r="D399" t="str">
            <v>2.910,00</v>
          </cell>
          <cell r="E399">
            <v>3020.58</v>
          </cell>
          <cell r="F399">
            <v>3069.2113380000001</v>
          </cell>
          <cell r="G399">
            <v>2579.1691915966389</v>
          </cell>
          <cell r="H399"/>
          <cell r="I399" t="str">
            <v>51.360,00</v>
          </cell>
        </row>
        <row r="400">
          <cell r="A400" t="str">
            <v>PORTACANDADO 3/8"</v>
          </cell>
          <cell r="B400" t="str">
            <v>10,00</v>
          </cell>
          <cell r="C400" t="str">
            <v>UN</v>
          </cell>
          <cell r="D400" t="str">
            <v>2.720,00</v>
          </cell>
          <cell r="E400">
            <v>2823.36</v>
          </cell>
          <cell r="F400">
            <v>2868.816096</v>
          </cell>
          <cell r="G400">
            <v>2410.7698285714287</v>
          </cell>
          <cell r="H400"/>
          <cell r="I400" t="str">
            <v>65.709,00</v>
          </cell>
        </row>
        <row r="401">
          <cell r="A401" t="str">
            <v>PORTACANDADO 5/16"</v>
          </cell>
          <cell r="B401" t="str">
            <v>10,00</v>
          </cell>
          <cell r="C401" t="str">
            <v>UN</v>
          </cell>
          <cell r="D401" t="str">
            <v>2.171,00</v>
          </cell>
          <cell r="E401">
            <v>2253.498</v>
          </cell>
          <cell r="F401">
            <v>2289.7793178000002</v>
          </cell>
          <cell r="G401">
            <v>1924.184300672269</v>
          </cell>
          <cell r="H401"/>
          <cell r="I401" t="str">
            <v>20.997,00</v>
          </cell>
        </row>
        <row r="402">
          <cell r="A402" t="str">
            <v>PROTECTOR PARA FLUXÓMETRO CORONA (ANTIBANDALICO)</v>
          </cell>
          <cell r="B402" t="str">
            <v>5,00</v>
          </cell>
          <cell r="C402" t="str">
            <v>UN</v>
          </cell>
          <cell r="D402" t="str">
            <v>115.600,00</v>
          </cell>
          <cell r="E402">
            <v>119992.8</v>
          </cell>
          <cell r="F402">
            <v>121924.68408000001</v>
          </cell>
          <cell r="G402">
            <v>102457.71771428571</v>
          </cell>
          <cell r="H402"/>
          <cell r="I402" t="str">
            <v>20.997,00</v>
          </cell>
        </row>
        <row r="403">
          <cell r="A403" t="str">
            <v>PUNTILLA ACERADA 1 1/2 " * LIBRA</v>
          </cell>
          <cell r="B403" t="str">
            <v>1,00</v>
          </cell>
          <cell r="C403" t="str">
            <v>LB</v>
          </cell>
          <cell r="D403" t="str">
            <v>5.350,00</v>
          </cell>
          <cell r="E403">
            <v>5553.3</v>
          </cell>
          <cell r="F403">
            <v>5642.70813</v>
          </cell>
          <cell r="G403">
            <v>4741.7715378151261</v>
          </cell>
          <cell r="H403"/>
          <cell r="I403" t="str">
            <v>20.997,00</v>
          </cell>
        </row>
        <row r="404">
          <cell r="A404" t="str">
            <v>PUNTILLA ACERADA 1"  * LIBRA</v>
          </cell>
          <cell r="B404" t="str">
            <v>1,00</v>
          </cell>
          <cell r="C404" t="str">
            <v>LB</v>
          </cell>
          <cell r="D404" t="str">
            <v>5.350,00</v>
          </cell>
          <cell r="E404">
            <v>5553.3</v>
          </cell>
          <cell r="F404">
            <v>5642.70813</v>
          </cell>
          <cell r="G404">
            <v>4741.7715378151261</v>
          </cell>
          <cell r="H404"/>
          <cell r="I404" t="str">
            <v>25.038,00</v>
          </cell>
        </row>
        <row r="405">
          <cell r="A405" t="str">
            <v>PUNTILLA ACERADA 1/2"  * LIBRA</v>
          </cell>
          <cell r="B405" t="str">
            <v>1,00</v>
          </cell>
          <cell r="C405" t="str">
            <v>LB</v>
          </cell>
          <cell r="D405" t="str">
            <v>5.350,00</v>
          </cell>
          <cell r="E405">
            <v>5553.3</v>
          </cell>
          <cell r="F405">
            <v>5642.70813</v>
          </cell>
          <cell r="G405">
            <v>4741.7715378151261</v>
          </cell>
          <cell r="H405"/>
          <cell r="I405" t="str">
            <v>82.854,00</v>
          </cell>
        </row>
        <row r="406">
          <cell r="A406" t="str">
            <v>PUNTILLA ACERADA 2 1/2"</v>
          </cell>
          <cell r="B406" t="str">
            <v>1,00</v>
          </cell>
          <cell r="C406" t="str">
            <v>LB</v>
          </cell>
          <cell r="D406" t="str">
            <v>5.350,00</v>
          </cell>
          <cell r="E406">
            <v>5553.3</v>
          </cell>
          <cell r="F406">
            <v>5642.70813</v>
          </cell>
          <cell r="G406">
            <v>4741.7715378151261</v>
          </cell>
          <cell r="H406"/>
          <cell r="I406" t="str">
            <v>72.939,00</v>
          </cell>
        </row>
        <row r="407">
          <cell r="A407" t="str">
            <v>PUNTILLA ACERADA 2"</v>
          </cell>
          <cell r="B407" t="str">
            <v>1,00</v>
          </cell>
          <cell r="C407" t="str">
            <v>LB</v>
          </cell>
          <cell r="D407" t="str">
            <v>5.350,00</v>
          </cell>
          <cell r="E407">
            <v>5553.3</v>
          </cell>
          <cell r="F407">
            <v>5642.70813</v>
          </cell>
          <cell r="G407">
            <v>4741.7715378151261</v>
          </cell>
          <cell r="H407"/>
          <cell r="I407" t="str">
            <v>373.320,00</v>
          </cell>
        </row>
        <row r="408">
          <cell r="A408" t="str">
            <v>PUNTILLA ACERADA 3"</v>
          </cell>
          <cell r="B408" t="str">
            <v>1,00</v>
          </cell>
          <cell r="C408" t="str">
            <v>LB</v>
          </cell>
          <cell r="D408" t="str">
            <v>5.350,00</v>
          </cell>
          <cell r="E408">
            <v>5553.3</v>
          </cell>
          <cell r="F408">
            <v>5642.70813</v>
          </cell>
          <cell r="G408">
            <v>4741.7715378151261</v>
          </cell>
          <cell r="H408"/>
          <cell r="I408" t="str">
            <v>602.199,00</v>
          </cell>
        </row>
        <row r="409">
          <cell r="A409" t="str">
            <v>PUNTILLA ACERADA 3/4" * LIBRA</v>
          </cell>
          <cell r="B409" t="str">
            <v>3,00</v>
          </cell>
          <cell r="C409" t="str">
            <v>LB</v>
          </cell>
          <cell r="D409" t="str">
            <v>7.055,00</v>
          </cell>
          <cell r="E409">
            <v>7323.09</v>
          </cell>
          <cell r="F409">
            <v>7440.9917489999998</v>
          </cell>
          <cell r="G409">
            <v>6252.9342428571426</v>
          </cell>
          <cell r="H409"/>
          <cell r="I409" t="str">
            <v>761.400,00</v>
          </cell>
        </row>
        <row r="410">
          <cell r="A410" t="str">
            <v>PUNTILLA CON CABEZA ¾” PULGADAS</v>
          </cell>
          <cell r="B410" t="str">
            <v>2,00</v>
          </cell>
          <cell r="C410" t="str">
            <v>LB</v>
          </cell>
          <cell r="D410" t="str">
            <v>5.350,00</v>
          </cell>
          <cell r="E410">
            <v>5553.3</v>
          </cell>
          <cell r="F410">
            <v>5642.70813</v>
          </cell>
          <cell r="G410">
            <v>4741.7715378151261</v>
          </cell>
          <cell r="H410"/>
          <cell r="I410" t="str">
            <v>965.006,00</v>
          </cell>
        </row>
        <row r="411">
          <cell r="A411" t="str">
            <v>PUNTILLA CON CABEZA 1 1/2 PULGADAS</v>
          </cell>
          <cell r="B411" t="str">
            <v>2,00</v>
          </cell>
          <cell r="C411" t="str">
            <v>LB</v>
          </cell>
          <cell r="D411" t="str">
            <v>3.210,00</v>
          </cell>
          <cell r="E411">
            <v>3331.98</v>
          </cell>
          <cell r="F411">
            <v>3385.6248780000001</v>
          </cell>
          <cell r="G411">
            <v>2845.0629226890755</v>
          </cell>
          <cell r="H411"/>
          <cell r="I411" t="str">
            <v>1.061.295,00</v>
          </cell>
        </row>
        <row r="412">
          <cell r="A412" t="str">
            <v>PUNTILLA CON CABEZA 1” PULGADAS</v>
          </cell>
          <cell r="B412" t="str">
            <v>2,00</v>
          </cell>
          <cell r="C412" t="str">
            <v>LB</v>
          </cell>
          <cell r="D412" t="str">
            <v>3.745,00</v>
          </cell>
          <cell r="E412">
            <v>3887.31</v>
          </cell>
          <cell r="F412">
            <v>3949.8956910000002</v>
          </cell>
          <cell r="G412">
            <v>3319.2400764705885</v>
          </cell>
          <cell r="H412"/>
          <cell r="I412" t="str">
            <v>1.567.336,00</v>
          </cell>
        </row>
        <row r="413">
          <cell r="A413" t="str">
            <v>PUNTILLA CON CABEZA 2” PULGADAS</v>
          </cell>
          <cell r="B413" t="str">
            <v>2,00</v>
          </cell>
          <cell r="C413" t="str">
            <v>LB</v>
          </cell>
          <cell r="D413" t="str">
            <v>3.210,00</v>
          </cell>
          <cell r="E413">
            <v>3331.98</v>
          </cell>
          <cell r="F413">
            <v>3385.6248780000001</v>
          </cell>
          <cell r="G413">
            <v>2845.0629226890755</v>
          </cell>
          <cell r="H413"/>
          <cell r="I413" t="str">
            <v>11.050,00</v>
          </cell>
        </row>
        <row r="414">
          <cell r="A414" t="str">
            <v>PUNTILLA CON CABEZA 3” PULGADAS</v>
          </cell>
          <cell r="B414" t="str">
            <v>2,00</v>
          </cell>
          <cell r="C414" t="str">
            <v>LB</v>
          </cell>
          <cell r="D414" t="str">
            <v>3.210,00</v>
          </cell>
          <cell r="E414">
            <v>3331.98</v>
          </cell>
          <cell r="F414">
            <v>3385.6248780000001</v>
          </cell>
          <cell r="G414">
            <v>2845.0629226890755</v>
          </cell>
          <cell r="H414"/>
          <cell r="I414" t="str">
            <v>45.900,00</v>
          </cell>
        </row>
        <row r="415">
          <cell r="A415" t="str">
            <v>PUNTILLA SIN CABEZA ¾” PULGADAS</v>
          </cell>
          <cell r="B415" t="str">
            <v>5,00</v>
          </cell>
          <cell r="C415" t="str">
            <v>LB</v>
          </cell>
          <cell r="D415" t="str">
            <v>5.029,00</v>
          </cell>
          <cell r="E415">
            <v>5220.1019999999999</v>
          </cell>
          <cell r="F415">
            <v>5304.1456422000001</v>
          </cell>
          <cell r="G415">
            <v>4457.2652455462194</v>
          </cell>
          <cell r="H415"/>
          <cell r="I415" t="str">
            <v>122.400,00</v>
          </cell>
        </row>
        <row r="416">
          <cell r="A416" t="str">
            <v>PUNTILLA SIN CABEZA 1 ¼” PULGADAS</v>
          </cell>
          <cell r="B416" t="str">
            <v>5,00</v>
          </cell>
          <cell r="C416" t="str">
            <v>LB</v>
          </cell>
          <cell r="D416" t="str">
            <v>3.210,00</v>
          </cell>
          <cell r="E416">
            <v>3331.98</v>
          </cell>
          <cell r="F416">
            <v>3385.6248780000001</v>
          </cell>
          <cell r="G416">
            <v>2845.0629226890755</v>
          </cell>
          <cell r="H416"/>
          <cell r="I416" t="str">
            <v>49.980,00</v>
          </cell>
        </row>
        <row r="417">
          <cell r="A417" t="str">
            <v>PUNTILLA SIN CABEZA 1 ½”” PULGADAS</v>
          </cell>
          <cell r="B417" t="str">
            <v>5,00</v>
          </cell>
          <cell r="C417" t="str">
            <v>LB</v>
          </cell>
          <cell r="D417" t="str">
            <v>3.210,00</v>
          </cell>
          <cell r="E417">
            <v>3331.98</v>
          </cell>
          <cell r="F417">
            <v>3385.6248780000001</v>
          </cell>
          <cell r="G417">
            <v>2845.0629226890755</v>
          </cell>
          <cell r="H417"/>
          <cell r="I417" t="str">
            <v>111.180,00</v>
          </cell>
        </row>
        <row r="418">
          <cell r="A418" t="str">
            <v>PUNTILLA SIN CABEZA 1” PULGADAS</v>
          </cell>
          <cell r="B418" t="str">
            <v>5,00</v>
          </cell>
          <cell r="C418" t="str">
            <v>LB</v>
          </cell>
          <cell r="D418" t="str">
            <v>5.029,00</v>
          </cell>
          <cell r="E418">
            <v>5220.1019999999999</v>
          </cell>
          <cell r="F418">
            <v>5304.1456422000001</v>
          </cell>
          <cell r="G418">
            <v>4457.2652455462194</v>
          </cell>
          <cell r="H418"/>
          <cell r="I418" t="str">
            <v>29.240,00</v>
          </cell>
        </row>
        <row r="419">
          <cell r="A419" t="str">
            <v>PUNTILLA SIN CABEZA 2” PULGADAS</v>
          </cell>
          <cell r="B419" t="str">
            <v>5,00</v>
          </cell>
          <cell r="C419" t="str">
            <v>LB</v>
          </cell>
          <cell r="D419" t="str">
            <v>3.210,00</v>
          </cell>
          <cell r="E419">
            <v>3331.98</v>
          </cell>
          <cell r="F419">
            <v>3385.6248780000001</v>
          </cell>
          <cell r="G419">
            <v>2845.0629226890755</v>
          </cell>
          <cell r="H419"/>
          <cell r="I419" t="str">
            <v>74.800,00</v>
          </cell>
        </row>
        <row r="420">
          <cell r="A420" t="str">
            <v>RACOR PARA SANITARIO METÁLICO</v>
          </cell>
          <cell r="B420" t="str">
            <v>5,00</v>
          </cell>
          <cell r="C420" t="str">
            <v>UN</v>
          </cell>
          <cell r="D420" t="str">
            <v>46.565,00</v>
          </cell>
          <cell r="E420">
            <v>48334.47</v>
          </cell>
          <cell r="F420">
            <v>49112.654967000002</v>
          </cell>
          <cell r="G420">
            <v>41271.138627731096</v>
          </cell>
          <cell r="H420"/>
          <cell r="I420" t="str">
            <v>4.335,00</v>
          </cell>
        </row>
        <row r="421">
          <cell r="A421" t="str">
            <v>REGADERA  REDONDA</v>
          </cell>
          <cell r="B421" t="str">
            <v>5,00</v>
          </cell>
          <cell r="C421" t="str">
            <v>UN</v>
          </cell>
          <cell r="D421" t="str">
            <v>57.730,00</v>
          </cell>
          <cell r="E421">
            <v>59923.74</v>
          </cell>
          <cell r="F421">
            <v>60888.512213999995</v>
          </cell>
          <cell r="G421">
            <v>51166.816986554615</v>
          </cell>
          <cell r="H421"/>
          <cell r="I421" t="str">
            <v>24.480,00</v>
          </cell>
        </row>
        <row r="422">
          <cell r="A422" t="str">
            <v>REGADERA CUADRADA</v>
          </cell>
          <cell r="B422" t="str">
            <v>5,00</v>
          </cell>
          <cell r="C422" t="str">
            <v>UN</v>
          </cell>
          <cell r="D422" t="str">
            <v>56.497,00</v>
          </cell>
          <cell r="E422">
            <v>58643.885999999999</v>
          </cell>
          <cell r="F422">
            <v>59588.052564599995</v>
          </cell>
          <cell r="G422">
            <v>50073.993751764705</v>
          </cell>
          <cell r="H422"/>
          <cell r="I422" t="str">
            <v>64.491,00</v>
          </cell>
        </row>
        <row r="423">
          <cell r="A423" t="str">
            <v>REGADERA TELÉFONO</v>
          </cell>
          <cell r="B423" t="str">
            <v>5,00</v>
          </cell>
          <cell r="C423" t="str">
            <v>UN</v>
          </cell>
          <cell r="D423" t="str">
            <v>104.367,00</v>
          </cell>
          <cell r="E423">
            <v>108332.946</v>
          </cell>
          <cell r="F423">
            <v>110077.10643059999</v>
          </cell>
          <cell r="G423">
            <v>92501.770109747886</v>
          </cell>
          <cell r="H423"/>
          <cell r="I423" t="str">
            <v>121.101,00</v>
          </cell>
        </row>
        <row r="424">
          <cell r="A424" t="str">
            <v>REGILLA CON SOSCO DE 4X3</v>
          </cell>
          <cell r="B424" t="str">
            <v>5,00</v>
          </cell>
          <cell r="C424" t="str">
            <v>UN</v>
          </cell>
          <cell r="D424" t="str">
            <v>8.130,00</v>
          </cell>
          <cell r="E424">
            <v>8438.94</v>
          </cell>
          <cell r="F424">
            <v>8574.8069340000002</v>
          </cell>
          <cell r="G424">
            <v>7205.7201126050422</v>
          </cell>
          <cell r="H424"/>
          <cell r="I424" t="str">
            <v>9.520,00</v>
          </cell>
        </row>
        <row r="425">
          <cell r="A425" t="str">
            <v>REJILLA CON SOSCO DE 3X2</v>
          </cell>
          <cell r="B425" t="str">
            <v>5,00</v>
          </cell>
          <cell r="C425" t="str">
            <v>UN</v>
          </cell>
          <cell r="D425" t="str">
            <v>4.815,00</v>
          </cell>
          <cell r="E425">
            <v>4997.97</v>
          </cell>
          <cell r="F425">
            <v>5078.4373169999999</v>
          </cell>
          <cell r="G425">
            <v>4267.5943840336131</v>
          </cell>
          <cell r="H425"/>
          <cell r="I425" t="str">
            <v>14.620,00</v>
          </cell>
        </row>
        <row r="426">
          <cell r="A426" t="str">
            <v>REMACHADORA PARA REMACHE POP</v>
          </cell>
          <cell r="B426" t="str">
            <v>2,00</v>
          </cell>
          <cell r="C426" t="str">
            <v>UN</v>
          </cell>
          <cell r="D426" t="str">
            <v>42.800,00</v>
          </cell>
          <cell r="E426">
            <v>44426.400000000001</v>
          </cell>
          <cell r="F426">
            <v>45141.66504</v>
          </cell>
          <cell r="G426">
            <v>37934.172302521009</v>
          </cell>
          <cell r="H426"/>
          <cell r="I426" t="str">
            <v>21.080,00</v>
          </cell>
        </row>
        <row r="427">
          <cell r="A427" t="str">
            <v>REMACHE POP 1/8 X 3/4" (PAQUETE X 100)</v>
          </cell>
          <cell r="B427" t="str">
            <v>2,00</v>
          </cell>
          <cell r="C427" t="str">
            <v>UN</v>
          </cell>
          <cell r="D427" t="str">
            <v>5.243,00</v>
          </cell>
          <cell r="E427">
            <v>5442.2340000000004</v>
          </cell>
          <cell r="F427">
            <v>5529.8539674000003</v>
          </cell>
          <cell r="G427">
            <v>4646.9361070588238</v>
          </cell>
          <cell r="H427"/>
          <cell r="I427" t="str">
            <v>55.692,00</v>
          </cell>
        </row>
        <row r="428">
          <cell r="A428" t="str">
            <v>REMACHE POP 3/16" X 1/2     (PAQUETE X 100)</v>
          </cell>
          <cell r="B428" t="str">
            <v>2,00</v>
          </cell>
          <cell r="C428" t="str">
            <v>UN</v>
          </cell>
          <cell r="D428" t="str">
            <v>5.243,00</v>
          </cell>
          <cell r="E428">
            <v>5442.2340000000004</v>
          </cell>
          <cell r="F428">
            <v>5529.8539674000003</v>
          </cell>
          <cell r="G428">
            <v>4646.9361070588238</v>
          </cell>
          <cell r="H428"/>
          <cell r="I428" t="str">
            <v>42.432,00</v>
          </cell>
        </row>
        <row r="429">
          <cell r="A429" t="str">
            <v>REMACHE POP 5/32 X  3/4"    (PAQUETE X 100)</v>
          </cell>
          <cell r="B429" t="str">
            <v>2,00</v>
          </cell>
          <cell r="C429" t="str">
            <v>UN</v>
          </cell>
          <cell r="D429" t="str">
            <v>5.243,00</v>
          </cell>
          <cell r="E429">
            <v>5442.2340000000004</v>
          </cell>
          <cell r="F429">
            <v>5529.8539674000003</v>
          </cell>
          <cell r="G429">
            <v>4646.9361070588238</v>
          </cell>
          <cell r="H429"/>
          <cell r="I429" t="str">
            <v>269.750,00</v>
          </cell>
        </row>
        <row r="430">
          <cell r="A430" t="str">
            <v>RODILLOS DE 6" (FELPA)</v>
          </cell>
          <cell r="B430" t="str">
            <v>15,00</v>
          </cell>
          <cell r="C430" t="str">
            <v>UN</v>
          </cell>
          <cell r="D430" t="str">
            <v>4.080,00</v>
          </cell>
          <cell r="E430">
            <v>4235.04</v>
          </cell>
          <cell r="F430">
            <v>4303.2241439999998</v>
          </cell>
          <cell r="G430">
            <v>3616.154742857143</v>
          </cell>
          <cell r="H430"/>
          <cell r="I430" t="str">
            <v>27.200,00</v>
          </cell>
        </row>
        <row r="431">
          <cell r="A431" t="str">
            <v>RODILLOS DE 8" (FELPA)</v>
          </cell>
          <cell r="B431" t="str">
            <v>15,00</v>
          </cell>
          <cell r="C431" t="str">
            <v>UN</v>
          </cell>
          <cell r="D431" t="str">
            <v>5.714,00</v>
          </cell>
          <cell r="E431">
            <v>5931.1319999999996</v>
          </cell>
          <cell r="F431">
            <v>6026.6232252</v>
          </cell>
          <cell r="G431">
            <v>5064.3892648739502</v>
          </cell>
          <cell r="H431"/>
          <cell r="I431" t="str">
            <v>16.320,00</v>
          </cell>
        </row>
        <row r="432">
          <cell r="A432" t="str">
            <v>RODILLOS DE 9" (FELPA)</v>
          </cell>
          <cell r="B432" t="str">
            <v>20,00</v>
          </cell>
          <cell r="C432" t="str">
            <v>UN</v>
          </cell>
          <cell r="D432" t="str">
            <v>11.929,00</v>
          </cell>
          <cell r="E432">
            <v>12382.302</v>
          </cell>
          <cell r="F432">
            <v>12581.6570622</v>
          </cell>
          <cell r="G432">
            <v>10572.82106067227</v>
          </cell>
          <cell r="H432"/>
          <cell r="I432" t="str">
            <v>24.480,00</v>
          </cell>
        </row>
        <row r="433">
          <cell r="A433" t="str">
            <v>ROLLOS DE CINTA ENMASCARAR DE 1" X 40 MTS</v>
          </cell>
          <cell r="B433" t="str">
            <v>5,00</v>
          </cell>
          <cell r="C433" t="str">
            <v>UN</v>
          </cell>
          <cell r="D433" t="str">
            <v>3.638,00</v>
          </cell>
          <cell r="E433">
            <v>3776.2440000000001</v>
          </cell>
          <cell r="F433">
            <v>3837.0415284000001</v>
          </cell>
          <cell r="G433">
            <v>3224.4046457142858</v>
          </cell>
          <cell r="H433"/>
          <cell r="I433" t="str">
            <v>63.240,00</v>
          </cell>
        </row>
        <row r="434">
          <cell r="A434" t="str">
            <v>ROLLOS DE CINTA ENMASCARAR DE 11/2" X 40 MTS</v>
          </cell>
          <cell r="B434" t="str">
            <v>5,00</v>
          </cell>
          <cell r="C434" t="str">
            <v>UN</v>
          </cell>
          <cell r="D434" t="str">
            <v>5.970,00</v>
          </cell>
          <cell r="E434">
            <v>6196.86</v>
          </cell>
          <cell r="F434">
            <v>6296.6294459999999</v>
          </cell>
          <cell r="G434">
            <v>5291.2852487394966</v>
          </cell>
          <cell r="H434"/>
          <cell r="I434" t="str">
            <v>82.110,00</v>
          </cell>
        </row>
        <row r="435">
          <cell r="A435" t="str">
            <v>ROLLOS DE CINTA ENMASCARAR DE 2" X 40 MTS</v>
          </cell>
          <cell r="B435" t="str">
            <v>20,00</v>
          </cell>
          <cell r="C435" t="str">
            <v>UN</v>
          </cell>
          <cell r="D435" t="str">
            <v>7.949,00</v>
          </cell>
          <cell r="E435">
            <v>8251.0619999999999</v>
          </cell>
          <cell r="F435">
            <v>8383.9040982000006</v>
          </cell>
          <cell r="G435">
            <v>7045.2975615126052</v>
          </cell>
          <cell r="H435"/>
          <cell r="I435" t="str">
            <v>23.800,00</v>
          </cell>
        </row>
        <row r="436">
          <cell r="A436" t="str">
            <v>SANITARIO  BLANCO</v>
          </cell>
          <cell r="B436" t="str">
            <v>3,00</v>
          </cell>
          <cell r="C436" t="str">
            <v>UN</v>
          </cell>
          <cell r="D436" t="str">
            <v>257.144,00</v>
          </cell>
          <cell r="E436">
            <v>266915.47200000001</v>
          </cell>
          <cell r="F436">
            <v>271212.81109919999</v>
          </cell>
          <cell r="G436">
            <v>227909.92529344535</v>
          </cell>
          <cell r="H436"/>
          <cell r="I436" t="str">
            <v>36.550,00</v>
          </cell>
        </row>
        <row r="437">
          <cell r="A437" t="str">
            <v>SIFÓN BOTELLA CROMO REF 01-1942-11</v>
          </cell>
          <cell r="B437" t="str">
            <v>5,00</v>
          </cell>
          <cell r="C437" t="str">
            <v>UN</v>
          </cell>
          <cell r="D437" t="str">
            <v>39.556,00</v>
          </cell>
          <cell r="E437">
            <v>41059.127999999997</v>
          </cell>
          <cell r="F437">
            <v>41720.1799608</v>
          </cell>
          <cell r="G437">
            <v>35058.974756974792</v>
          </cell>
          <cell r="H437"/>
          <cell r="I437" t="str">
            <v>34.680,00</v>
          </cell>
        </row>
        <row r="438">
          <cell r="A438" t="str">
            <v>SIFÓN EN P PLÁSTICO DE 1 1/2"X 11/4" BLANCO</v>
          </cell>
          <cell r="B438" t="str">
            <v>5,00</v>
          </cell>
          <cell r="C438" t="str">
            <v>UN</v>
          </cell>
          <cell r="D438" t="str">
            <v>22.100,00</v>
          </cell>
          <cell r="E438">
            <v>22939.8</v>
          </cell>
          <cell r="F438">
            <v>23309.13078</v>
          </cell>
          <cell r="G438">
            <v>19587.504857142856</v>
          </cell>
          <cell r="H438"/>
          <cell r="I438" t="str">
            <v>112.200,00</v>
          </cell>
        </row>
        <row r="439">
          <cell r="A439" t="str">
            <v>SIFÓN EXPANSIBLE DE 1 1/2"X 11/4" BLANCO</v>
          </cell>
          <cell r="B439" t="str">
            <v>5,00</v>
          </cell>
          <cell r="C439" t="str">
            <v>UN</v>
          </cell>
          <cell r="D439" t="str">
            <v>22.046,00</v>
          </cell>
          <cell r="E439">
            <v>22883.748</v>
          </cell>
          <cell r="F439">
            <v>23252.176342800001</v>
          </cell>
          <cell r="G439">
            <v>19539.643985546223</v>
          </cell>
          <cell r="H439"/>
          <cell r="I439" t="str">
            <v>147.900,00</v>
          </cell>
        </row>
        <row r="440">
          <cell r="A440" t="str">
            <v>SIKA ANCHORFIX</v>
          </cell>
          <cell r="B440" t="str">
            <v>5,00</v>
          </cell>
          <cell r="C440" t="str">
            <v>UN</v>
          </cell>
          <cell r="D440" t="str">
            <v>82.390,00</v>
          </cell>
          <cell r="E440">
            <v>85520.82</v>
          </cell>
          <cell r="F440">
            <v>86897.705202000012</v>
          </cell>
          <cell r="G440">
            <v>73023.281682352957</v>
          </cell>
          <cell r="H440"/>
          <cell r="I440" t="str">
            <v>7.650,00</v>
          </cell>
        </row>
        <row r="441">
          <cell r="A441" t="str">
            <v>SILICONA BLANCA TUBO 300ML</v>
          </cell>
          <cell r="B441" t="str">
            <v>3,00</v>
          </cell>
          <cell r="C441" t="str">
            <v>UN</v>
          </cell>
          <cell r="D441" t="str">
            <v>10.715,00</v>
          </cell>
          <cell r="E441">
            <v>11122.17</v>
          </cell>
          <cell r="F441">
            <v>11301.236937</v>
          </cell>
          <cell r="G441">
            <v>9496.837762184874</v>
          </cell>
          <cell r="H441"/>
          <cell r="I441" t="str">
            <v>15.300,00</v>
          </cell>
        </row>
        <row r="442">
          <cell r="A442" t="str">
            <v>SILICONA MULTIUSOS TUBO 300ML</v>
          </cell>
          <cell r="B442" t="str">
            <v>3,00</v>
          </cell>
          <cell r="C442" t="str">
            <v>UN</v>
          </cell>
          <cell r="D442" t="str">
            <v>9.500,00</v>
          </cell>
          <cell r="E442">
            <v>9861</v>
          </cell>
          <cell r="F442">
            <v>10019.7621</v>
          </cell>
          <cell r="G442">
            <v>8419.9681512605039</v>
          </cell>
          <cell r="H442"/>
          <cell r="I442" t="str">
            <v>27.200,00</v>
          </cell>
        </row>
        <row r="443">
          <cell r="A443" t="str">
            <v>SILICONA TRASPARENTE TUBO 300 ML</v>
          </cell>
          <cell r="B443" t="str">
            <v>2,00</v>
          </cell>
          <cell r="C443" t="str">
            <v>UN</v>
          </cell>
          <cell r="D443" t="str">
            <v>9.714,00</v>
          </cell>
          <cell r="E443">
            <v>10083.132</v>
          </cell>
          <cell r="F443">
            <v>10245.470425199999</v>
          </cell>
          <cell r="G443">
            <v>8609.6390127731083</v>
          </cell>
          <cell r="H443"/>
          <cell r="I443" t="str">
            <v>53.550,00</v>
          </cell>
        </row>
        <row r="444">
          <cell r="A444" t="str">
            <v>SOLDADURA BRONCE 3/32"</v>
          </cell>
          <cell r="B444" t="str">
            <v>1,00</v>
          </cell>
          <cell r="C444" t="str">
            <v>KG</v>
          </cell>
          <cell r="D444" t="str">
            <v>63.000,00</v>
          </cell>
          <cell r="E444">
            <v>65394</v>
          </cell>
          <cell r="F444">
            <v>66446.843399999998</v>
          </cell>
          <cell r="G444">
            <v>55837.683529411763</v>
          </cell>
          <cell r="H444"/>
          <cell r="I444" t="str">
            <v>72.295,00</v>
          </cell>
        </row>
        <row r="445">
          <cell r="A445" t="str">
            <v>SOLDADURA DOS COMPONENTES PARA ANCLAJES Y VARILLAS (TUBO 300 ML  )</v>
          </cell>
          <cell r="B445" t="str">
            <v>2,00</v>
          </cell>
          <cell r="C445" t="str">
            <v>UN</v>
          </cell>
          <cell r="D445" t="str">
            <v>72.898,00</v>
          </cell>
          <cell r="E445">
            <v>75668.123999999996</v>
          </cell>
          <cell r="F445">
            <v>76886.380796400001</v>
          </cell>
          <cell r="G445">
            <v>64610.404030588237</v>
          </cell>
          <cell r="H445"/>
          <cell r="I445" t="str">
            <v>20.400,00</v>
          </cell>
        </row>
        <row r="446">
          <cell r="A446" t="str">
            <v>SOLDADURA ELECTRICA 6013  1/8 "</v>
          </cell>
          <cell r="B446" t="str">
            <v>6,00</v>
          </cell>
          <cell r="C446" t="str">
            <v>KG</v>
          </cell>
          <cell r="D446" t="str">
            <v>11.770,00</v>
          </cell>
          <cell r="E446">
            <v>12217.26</v>
          </cell>
          <cell r="F446">
            <v>12413.957886</v>
          </cell>
          <cell r="G446">
            <v>10431.897383193278</v>
          </cell>
          <cell r="H446"/>
          <cell r="I446" t="str">
            <v>23.335,00</v>
          </cell>
        </row>
        <row r="447">
          <cell r="A447" t="str">
            <v>SOLDADURA ELECTRICA 6013  3/32 "</v>
          </cell>
          <cell r="B447" t="str">
            <v>6,00</v>
          </cell>
          <cell r="C447" t="str">
            <v>KG</v>
          </cell>
          <cell r="D447" t="str">
            <v>15.234,00</v>
          </cell>
          <cell r="E447">
            <v>15812.892</v>
          </cell>
          <cell r="F447">
            <v>16067.4795612</v>
          </cell>
          <cell r="G447">
            <v>13502.08366487395</v>
          </cell>
          <cell r="H447"/>
          <cell r="I447" t="str">
            <v>9.520,00</v>
          </cell>
        </row>
        <row r="448">
          <cell r="A448" t="str">
            <v>SOLDADURA ELÉCTRICA PARA ACERO INOXIDABLE WEST INOX 309 L 3/32 - 1/8</v>
          </cell>
          <cell r="B448" t="str">
            <v>1,00</v>
          </cell>
          <cell r="C448" t="str">
            <v>KG</v>
          </cell>
          <cell r="D448" t="str">
            <v>99.400,00</v>
          </cell>
          <cell r="E448">
            <v>103177.2</v>
          </cell>
          <cell r="F448">
            <v>104838.35291999999</v>
          </cell>
          <cell r="G448">
            <v>88099.456235294114</v>
          </cell>
          <cell r="H448"/>
          <cell r="I448" t="str">
            <v>31.366,00</v>
          </cell>
        </row>
        <row r="449">
          <cell r="A449" t="str">
            <v>SOLDADURA PVC (AZUL DURMAN) 1/4 GALON</v>
          </cell>
          <cell r="B449" t="str">
            <v>2,00</v>
          </cell>
          <cell r="C449" t="str">
            <v>UN</v>
          </cell>
          <cell r="D449" t="str">
            <v>57.031,00</v>
          </cell>
          <cell r="E449">
            <v>59198.178</v>
          </cell>
          <cell r="F449">
            <v>60151.268665800002</v>
          </cell>
          <cell r="G449">
            <v>50547.284593109245</v>
          </cell>
          <cell r="H449"/>
          <cell r="I449" t="str">
            <v>28.220,00</v>
          </cell>
        </row>
        <row r="450">
          <cell r="A450" t="str">
            <v>SONDA DE GUAYA ELECTRICA 15MTS - PARA CABLEAR</v>
          </cell>
          <cell r="B450" t="str">
            <v>1,00</v>
          </cell>
          <cell r="C450" t="str">
            <v>UN</v>
          </cell>
          <cell r="D450" t="str">
            <v>25.330,00</v>
          </cell>
          <cell r="E450">
            <v>26292.54</v>
          </cell>
          <cell r="F450">
            <v>26715.849894000003</v>
          </cell>
          <cell r="G450">
            <v>22450.294028571432</v>
          </cell>
          <cell r="H450"/>
          <cell r="I450" t="str">
            <v>28.458,00</v>
          </cell>
        </row>
        <row r="451">
          <cell r="A451" t="str">
            <v>SOPORTE PARA MARCO PERSIANA</v>
          </cell>
          <cell r="B451" t="str">
            <v>100,00</v>
          </cell>
          <cell r="C451" t="str">
            <v>UN</v>
          </cell>
          <cell r="D451" t="str">
            <v>13.600,00</v>
          </cell>
          <cell r="E451">
            <v>14116.8</v>
          </cell>
          <cell r="F451">
            <v>14344.080479999999</v>
          </cell>
          <cell r="G451">
            <v>12053.849142857143</v>
          </cell>
          <cell r="H451"/>
          <cell r="I451" t="str">
            <v>64.260,00</v>
          </cell>
        </row>
        <row r="452">
          <cell r="A452" t="str">
            <v>SUPERMASTICO  (CANECA X 5 GALONES)</v>
          </cell>
          <cell r="B452" t="str">
            <v>5,00</v>
          </cell>
          <cell r="C452" t="str">
            <v>UN</v>
          </cell>
          <cell r="D452" t="str">
            <v>35.952,00</v>
          </cell>
          <cell r="E452">
            <v>37318.175999999999</v>
          </cell>
          <cell r="F452">
            <v>37918.9986336</v>
          </cell>
          <cell r="G452">
            <v>31864.704734117644</v>
          </cell>
          <cell r="H452"/>
          <cell r="I452" t="str">
            <v>91.572,00</v>
          </cell>
        </row>
        <row r="453">
          <cell r="A453" t="str">
            <v>TAPA CIEGA PLÁSTICA   5800</v>
          </cell>
          <cell r="B453" t="str">
            <v>20,00</v>
          </cell>
          <cell r="C453" t="str">
            <v>UN</v>
          </cell>
          <cell r="D453" t="str">
            <v>706,00</v>
          </cell>
          <cell r="E453">
            <v>732.82799999999997</v>
          </cell>
          <cell r="F453">
            <v>744.62653079999995</v>
          </cell>
          <cell r="G453">
            <v>625.73658050420158</v>
          </cell>
          <cell r="H453"/>
          <cell r="I453" t="str">
            <v>265.200,00</v>
          </cell>
        </row>
        <row r="454">
          <cell r="A454" t="str">
            <v>TAPA CIEGA PLÁSTICA 10 X 10</v>
          </cell>
          <cell r="B454" t="str">
            <v>20,00</v>
          </cell>
          <cell r="C454" t="str">
            <v>UN</v>
          </cell>
          <cell r="D454" t="str">
            <v>1.224,00</v>
          </cell>
          <cell r="E454">
            <v>1270.5119999999999</v>
          </cell>
          <cell r="F454">
            <v>1290.9672432</v>
          </cell>
          <cell r="G454">
            <v>1084.8464228571429</v>
          </cell>
          <cell r="H454"/>
          <cell r="I454" t="str">
            <v>229.500,00</v>
          </cell>
        </row>
        <row r="455">
          <cell r="A455" t="str">
            <v>TAPA CIEGA PLÁSTICA 2400</v>
          </cell>
          <cell r="B455" t="str">
            <v>20,00</v>
          </cell>
          <cell r="C455" t="str">
            <v>UN</v>
          </cell>
          <cell r="D455" t="str">
            <v>1.224,00</v>
          </cell>
          <cell r="E455">
            <v>1270.5119999999999</v>
          </cell>
          <cell r="F455">
            <v>1290.9672432</v>
          </cell>
          <cell r="G455">
            <v>1084.8464228571429</v>
          </cell>
          <cell r="H455"/>
          <cell r="I455" t="str">
            <v>204.562,00</v>
          </cell>
        </row>
        <row r="456">
          <cell r="A456" t="str">
            <v>TAPA FINAL  CANALETA , BLANCA, 10X10</v>
          </cell>
          <cell r="B456" t="str">
            <v>5,00</v>
          </cell>
          <cell r="C456" t="str">
            <v>UN</v>
          </cell>
          <cell r="D456" t="str">
            <v>748,00</v>
          </cell>
          <cell r="E456">
            <v>776.42399999999998</v>
          </cell>
          <cell r="F456">
            <v>788.92442640000002</v>
          </cell>
          <cell r="G456">
            <v>662.96170285714288</v>
          </cell>
          <cell r="H456"/>
          <cell r="I456" t="str">
            <v>4.760,00</v>
          </cell>
        </row>
        <row r="457">
          <cell r="A457" t="str">
            <v>TAPA FINAL CANALETA BLANCA, 2X2</v>
          </cell>
          <cell r="B457" t="str">
            <v>5,00</v>
          </cell>
          <cell r="C457" t="str">
            <v>UN</v>
          </cell>
          <cell r="D457" t="str">
            <v>1.020,00</v>
          </cell>
          <cell r="E457">
            <v>1058.76</v>
          </cell>
          <cell r="F457">
            <v>1075.8060359999999</v>
          </cell>
          <cell r="G457">
            <v>904.03868571428575</v>
          </cell>
          <cell r="H457"/>
          <cell r="I457" t="str">
            <v>8.160,00</v>
          </cell>
        </row>
        <row r="458">
          <cell r="A458" t="str">
            <v>TAPA FINAL CANALETA, BLANCA, 20X20</v>
          </cell>
          <cell r="B458" t="str">
            <v>5,00</v>
          </cell>
          <cell r="C458" t="str">
            <v>UN</v>
          </cell>
          <cell r="D458" t="str">
            <v>1.020,00</v>
          </cell>
          <cell r="E458">
            <v>1058.76</v>
          </cell>
          <cell r="F458">
            <v>1075.8060359999999</v>
          </cell>
          <cell r="G458">
            <v>904.03868571428575</v>
          </cell>
          <cell r="H458"/>
          <cell r="I458" t="str">
            <v>16.320,00</v>
          </cell>
        </row>
        <row r="459">
          <cell r="A459" t="str">
            <v>TAPA FINAL CANALETA, BLANCA, 60X40</v>
          </cell>
          <cell r="B459" t="str">
            <v>5,00</v>
          </cell>
          <cell r="C459" t="str">
            <v>UN</v>
          </cell>
          <cell r="D459" t="str">
            <v>2.108,00</v>
          </cell>
          <cell r="E459">
            <v>2188.1039999999998</v>
          </cell>
          <cell r="F459">
            <v>2223.3324743999997</v>
          </cell>
          <cell r="G459">
            <v>1868.346617142857</v>
          </cell>
          <cell r="H459"/>
          <cell r="I459" t="str">
            <v>47.770,00</v>
          </cell>
        </row>
        <row r="460">
          <cell r="A460" t="str">
            <v>TAPÓN INSPECCIÓN 1 1/2"</v>
          </cell>
          <cell r="B460" t="str">
            <v>3,00</v>
          </cell>
          <cell r="C460" t="str">
            <v>UN</v>
          </cell>
          <cell r="D460" t="str">
            <v>4.910,00</v>
          </cell>
          <cell r="E460">
            <v>5096.58</v>
          </cell>
          <cell r="F460">
            <v>5178.6349380000001</v>
          </cell>
          <cell r="G460">
            <v>4351.794065546218</v>
          </cell>
          <cell r="H460"/>
          <cell r="I460" t="str">
            <v>42.908,00</v>
          </cell>
        </row>
        <row r="461">
          <cell r="A461" t="str">
            <v>TAPÓN INSPECCIÓN 2"</v>
          </cell>
          <cell r="B461" t="str">
            <v>3,00</v>
          </cell>
          <cell r="C461" t="str">
            <v>UN</v>
          </cell>
          <cell r="D461" t="str">
            <v>4.910,00</v>
          </cell>
          <cell r="E461">
            <v>5096.58</v>
          </cell>
          <cell r="F461">
            <v>5178.6349380000001</v>
          </cell>
          <cell r="G461">
            <v>4351.794065546218</v>
          </cell>
          <cell r="H461"/>
          <cell r="I461" t="str">
            <v>61.880,00</v>
          </cell>
        </row>
        <row r="462">
          <cell r="A462" t="str">
            <v>TAPÓN INSPECCIÓN 3"</v>
          </cell>
          <cell r="B462" t="str">
            <v>3,00</v>
          </cell>
          <cell r="C462" t="str">
            <v>UN</v>
          </cell>
          <cell r="D462" t="str">
            <v>10.615,00</v>
          </cell>
          <cell r="E462">
            <v>11018.37</v>
          </cell>
          <cell r="F462">
            <v>11195.765757000001</v>
          </cell>
          <cell r="G462">
            <v>9408.2065184873954</v>
          </cell>
          <cell r="H462"/>
          <cell r="I462" t="str">
            <v>121.614,00</v>
          </cell>
        </row>
        <row r="463">
          <cell r="A463" t="str">
            <v>TAPÓN INSPECCIÓN 4"</v>
          </cell>
          <cell r="B463" t="str">
            <v>3,00</v>
          </cell>
          <cell r="C463" t="str">
            <v>UN</v>
          </cell>
          <cell r="D463" t="str">
            <v>15.638,00</v>
          </cell>
          <cell r="E463">
            <v>16232.244000000001</v>
          </cell>
          <cell r="F463">
            <v>16493.583128400001</v>
          </cell>
          <cell r="G463">
            <v>13860.153889411768</v>
          </cell>
          <cell r="H463"/>
          <cell r="I463" t="str">
            <v>89.470,00</v>
          </cell>
        </row>
        <row r="464">
          <cell r="A464" t="str">
            <v>TAPÓN LISO  COBRE TIPO K PRESIÓN  DE 1/2"</v>
          </cell>
          <cell r="B464" t="str">
            <v>5,00</v>
          </cell>
          <cell r="C464" t="str">
            <v>UN</v>
          </cell>
          <cell r="D464" t="str">
            <v>1.530,00</v>
          </cell>
          <cell r="E464">
            <v>1588.14</v>
          </cell>
          <cell r="F464">
            <v>1613.7090540000002</v>
          </cell>
          <cell r="G464">
            <v>1356.0580285714286</v>
          </cell>
          <cell r="H464"/>
          <cell r="I464" t="str">
            <v>182.346,00</v>
          </cell>
        </row>
        <row r="465">
          <cell r="A465" t="str">
            <v>TAPÓN LISO  COBRE TIPO K PRESIÓN DE 1”</v>
          </cell>
          <cell r="B465" t="str">
            <v>5,00</v>
          </cell>
          <cell r="C465" t="str">
            <v>UN</v>
          </cell>
          <cell r="D465" t="str">
            <v>5.440,00</v>
          </cell>
          <cell r="E465">
            <v>5646.72</v>
          </cell>
          <cell r="F465">
            <v>5737.632192</v>
          </cell>
          <cell r="G465">
            <v>4821.5396571428573</v>
          </cell>
          <cell r="H465"/>
          <cell r="I465" t="str">
            <v>356.024,00</v>
          </cell>
        </row>
        <row r="466">
          <cell r="A466" t="str">
            <v>TAPÓN LISO COBRE TIPO K PRESIÓN DE 11/2”</v>
          </cell>
          <cell r="B466" t="str">
            <v>5,00</v>
          </cell>
          <cell r="C466" t="str">
            <v>UN</v>
          </cell>
          <cell r="D466" t="str">
            <v>10.710,00</v>
          </cell>
          <cell r="E466">
            <v>11116.98</v>
          </cell>
          <cell r="F466">
            <v>11295.963378</v>
          </cell>
          <cell r="G466">
            <v>9492.4062000000013</v>
          </cell>
          <cell r="H466"/>
          <cell r="I466" t="str">
            <v>257.600,00</v>
          </cell>
        </row>
        <row r="467">
          <cell r="A467" t="str">
            <v>TAPÓN LISO COBRE TIPO K PRESIÓN DE 2”</v>
          </cell>
          <cell r="B467" t="str">
            <v>5,00</v>
          </cell>
          <cell r="C467" t="str">
            <v>UN</v>
          </cell>
          <cell r="D467" t="str">
            <v>14.459,00</v>
          </cell>
          <cell r="E467">
            <v>15008.441999999999</v>
          </cell>
          <cell r="F467">
            <v>15250.0779162</v>
          </cell>
          <cell r="G467">
            <v>12815.191526218488</v>
          </cell>
          <cell r="H467"/>
          <cell r="I467" t="str">
            <v>19.428,00</v>
          </cell>
        </row>
        <row r="468">
          <cell r="A468" t="str">
            <v>TAPÓN LISO COBRE TIPO K PRESIÓN DE 3/4"</v>
          </cell>
          <cell r="B468" t="str">
            <v>5,00</v>
          </cell>
          <cell r="C468" t="str">
            <v>UN</v>
          </cell>
          <cell r="D468" t="str">
            <v>3.060,00</v>
          </cell>
          <cell r="E468">
            <v>3176.28</v>
          </cell>
          <cell r="F468">
            <v>3227.4181080000003</v>
          </cell>
          <cell r="G468">
            <v>2712.1160571428572</v>
          </cell>
          <cell r="H468"/>
          <cell r="I468" t="str">
            <v>114.062,00</v>
          </cell>
        </row>
        <row r="469">
          <cell r="A469" t="str">
            <v>TAPÓN LISO PVC SANITARIO 1½”</v>
          </cell>
          <cell r="B469" t="str">
            <v>3,00</v>
          </cell>
          <cell r="C469" t="str">
            <v>UN</v>
          </cell>
          <cell r="D469" t="str">
            <v>668,00</v>
          </cell>
          <cell r="E469">
            <v>693.38400000000001</v>
          </cell>
          <cell r="F469">
            <v>704.54748240000004</v>
          </cell>
          <cell r="G469">
            <v>592.05670789915962</v>
          </cell>
          <cell r="H469"/>
          <cell r="I469" t="str">
            <v>70.190,00</v>
          </cell>
        </row>
        <row r="470">
          <cell r="A470" t="str">
            <v>TAPÓN LISO PVC SANITARIO 11/4”</v>
          </cell>
          <cell r="B470" t="str">
            <v>3,00</v>
          </cell>
          <cell r="C470" t="str">
            <v>UN</v>
          </cell>
          <cell r="D470" t="str">
            <v>668,00</v>
          </cell>
          <cell r="E470">
            <v>693.38400000000001</v>
          </cell>
          <cell r="F470">
            <v>704.54748240000004</v>
          </cell>
          <cell r="G470">
            <v>592.05670789915962</v>
          </cell>
          <cell r="H470"/>
          <cell r="I470" t="str">
            <v>8.025,00</v>
          </cell>
        </row>
        <row r="471">
          <cell r="A471" t="str">
            <v>TAPÓN LISO PVC SANITARIO 2”</v>
          </cell>
          <cell r="B471" t="str">
            <v>3,00</v>
          </cell>
          <cell r="C471" t="str">
            <v>UN</v>
          </cell>
          <cell r="D471" t="str">
            <v>874,00</v>
          </cell>
          <cell r="E471">
            <v>907.21199999999999</v>
          </cell>
          <cell r="F471">
            <v>921.81811319999997</v>
          </cell>
          <cell r="G471">
            <v>774.63706991596632</v>
          </cell>
          <cell r="H471"/>
          <cell r="I471" t="str">
            <v>145.796,00</v>
          </cell>
        </row>
        <row r="472">
          <cell r="A472" t="str">
            <v>TAPÓN LISO PVC SANITARIO 3"</v>
          </cell>
          <cell r="B472" t="str">
            <v>3,00</v>
          </cell>
          <cell r="C472" t="str">
            <v>UN</v>
          </cell>
          <cell r="D472" t="str">
            <v>963,00</v>
          </cell>
          <cell r="E472">
            <v>999.59400000000005</v>
          </cell>
          <cell r="F472">
            <v>1015.6874634000001</v>
          </cell>
          <cell r="G472">
            <v>853.5188768067228</v>
          </cell>
          <cell r="H472"/>
          <cell r="I472" t="str">
            <v>319.289,00</v>
          </cell>
        </row>
        <row r="473">
          <cell r="A473" t="str">
            <v>TAPÓN LISO PVC SANITARIO 4"</v>
          </cell>
          <cell r="B473" t="str">
            <v>3,00</v>
          </cell>
          <cell r="C473" t="str">
            <v>UN</v>
          </cell>
          <cell r="D473" t="str">
            <v>2.033,00</v>
          </cell>
          <cell r="E473">
            <v>2110.2539999999999</v>
          </cell>
          <cell r="F473">
            <v>2144.2290893999998</v>
          </cell>
          <cell r="G473">
            <v>1801.8731843697478</v>
          </cell>
          <cell r="H473"/>
          <cell r="I473" t="str">
            <v>214.200,00</v>
          </cell>
        </row>
        <row r="474">
          <cell r="A474" t="str">
            <v>TAPONES HEMBRA DE CAUCHO PARA TUBO 1/4"</v>
          </cell>
          <cell r="B474" t="str">
            <v>45,00</v>
          </cell>
          <cell r="C474" t="str">
            <v>UN</v>
          </cell>
          <cell r="D474" t="str">
            <v>3.060,00</v>
          </cell>
          <cell r="E474">
            <v>3176.28</v>
          </cell>
          <cell r="F474">
            <v>3227.4181080000003</v>
          </cell>
          <cell r="G474">
            <v>2712.1160571428572</v>
          </cell>
          <cell r="H474"/>
          <cell r="I474" t="str">
            <v>241.720,00</v>
          </cell>
        </row>
        <row r="475">
          <cell r="A475" t="str">
            <v>TAPONES HEMBRA DE CAUCHO PARA VARILLA 1/2"</v>
          </cell>
          <cell r="B475" t="str">
            <v>80,00</v>
          </cell>
          <cell r="C475" t="str">
            <v>UN</v>
          </cell>
          <cell r="D475" t="str">
            <v>1.070,00</v>
          </cell>
          <cell r="E475">
            <v>1110.6600000000001</v>
          </cell>
          <cell r="F475">
            <v>1128.5416260000002</v>
          </cell>
          <cell r="G475">
            <v>948.35430756302526</v>
          </cell>
          <cell r="H475"/>
          <cell r="I475" t="str">
            <v>136.000,00</v>
          </cell>
        </row>
        <row r="476">
          <cell r="A476" t="str">
            <v>TAPONES HEMBRA DE CAUCHO PARA VARILLA 1/4"</v>
          </cell>
          <cell r="B476" t="str">
            <v>40,00</v>
          </cell>
          <cell r="C476" t="str">
            <v>UN</v>
          </cell>
          <cell r="D476" t="str">
            <v>1.020,00</v>
          </cell>
          <cell r="E476">
            <v>1058.76</v>
          </cell>
          <cell r="F476">
            <v>1075.8060359999999</v>
          </cell>
          <cell r="G476">
            <v>904.03868571428575</v>
          </cell>
          <cell r="H476"/>
          <cell r="I476" t="str">
            <v>771.432,00</v>
          </cell>
        </row>
        <row r="477">
          <cell r="A477" t="str">
            <v>TEJA ETERNIT N°8</v>
          </cell>
          <cell r="B477" t="str">
            <v>10,00</v>
          </cell>
          <cell r="C477" t="str">
            <v>UN</v>
          </cell>
          <cell r="D477" t="str">
            <v>31.672,00</v>
          </cell>
          <cell r="E477">
            <v>32875.536</v>
          </cell>
          <cell r="F477">
            <v>33404.832129599999</v>
          </cell>
          <cell r="G477">
            <v>28071.287503865547</v>
          </cell>
          <cell r="H477"/>
          <cell r="I477" t="str">
            <v>897.600,00</v>
          </cell>
        </row>
        <row r="478">
          <cell r="A478" t="str">
            <v>TENSOR TRABAJO PESADO 3/4"</v>
          </cell>
          <cell r="B478" t="str">
            <v>2,00</v>
          </cell>
          <cell r="C478" t="str">
            <v>UN</v>
          </cell>
          <cell r="D478" t="str">
            <v>53.500,00</v>
          </cell>
          <cell r="E478">
            <v>55533</v>
          </cell>
          <cell r="F478">
            <v>56427.081299999998</v>
          </cell>
          <cell r="G478">
            <v>47417.715378151261</v>
          </cell>
          <cell r="H478"/>
          <cell r="I478" t="str">
            <v>127.500,00</v>
          </cell>
        </row>
        <row r="479">
          <cell r="A479" t="str">
            <v>TOMA DOBLE LEVINTON  BLANCA POLO A TIERRA  120V</v>
          </cell>
          <cell r="B479" t="str">
            <v>50,00</v>
          </cell>
          <cell r="C479" t="str">
            <v>UN</v>
          </cell>
          <cell r="D479" t="str">
            <v>2.771,00</v>
          </cell>
          <cell r="E479">
            <v>2876.2979999999998</v>
          </cell>
          <cell r="F479">
            <v>2922.6063977999997</v>
          </cell>
          <cell r="G479">
            <v>2455.9717628571425</v>
          </cell>
          <cell r="H479"/>
          <cell r="I479" t="str">
            <v>181.935,00</v>
          </cell>
        </row>
        <row r="480">
          <cell r="A480" t="str">
            <v>TOMA DOBLE LEVINTON  BLANCA TIPO HOSPITAL 120V - 20 AMP</v>
          </cell>
          <cell r="B480" t="str">
            <v>50,00</v>
          </cell>
          <cell r="C480" t="str">
            <v>UN</v>
          </cell>
          <cell r="D480" t="str">
            <v>32.640,00</v>
          </cell>
          <cell r="E480">
            <v>33880.32</v>
          </cell>
          <cell r="F480">
            <v>34425.793151999998</v>
          </cell>
          <cell r="G480">
            <v>28929.237942857144</v>
          </cell>
          <cell r="H480"/>
          <cell r="I480" t="str">
            <v>386.406,00</v>
          </cell>
        </row>
        <row r="481">
          <cell r="A481" t="str">
            <v>TOMACORRIENTE REGULADA 120V - 15 AMP</v>
          </cell>
          <cell r="B481" t="str">
            <v>70,00</v>
          </cell>
          <cell r="C481" t="str">
            <v>UN</v>
          </cell>
          <cell r="D481" t="str">
            <v>16.986,00</v>
          </cell>
          <cell r="E481">
            <v>17631.468000000001</v>
          </cell>
          <cell r="F481">
            <v>17915.334634800001</v>
          </cell>
          <cell r="G481">
            <v>15054.903054453784</v>
          </cell>
          <cell r="H481"/>
          <cell r="I481" t="str">
            <v>231.870,00</v>
          </cell>
        </row>
        <row r="482">
          <cell r="A482" t="str">
            <v>TOMACORRIENTE ROJA 120V - 15 AMP (HOSPITALARIA)</v>
          </cell>
          <cell r="B482" t="str">
            <v>30,00</v>
          </cell>
          <cell r="C482" t="str">
            <v>UN</v>
          </cell>
          <cell r="D482" t="str">
            <v>16.986,00</v>
          </cell>
          <cell r="E482">
            <v>17631.468000000001</v>
          </cell>
          <cell r="F482">
            <v>17915.334634800001</v>
          </cell>
          <cell r="G482">
            <v>15054.903054453784</v>
          </cell>
          <cell r="H482"/>
          <cell r="I482" t="str">
            <v>282.485,00</v>
          </cell>
        </row>
        <row r="483">
          <cell r="A483" t="str">
            <v>TOPE MEDIA LUNA </v>
          </cell>
          <cell r="B483" t="str">
            <v>10,00</v>
          </cell>
          <cell r="C483" t="str">
            <v>UN</v>
          </cell>
          <cell r="D483" t="str">
            <v>7.857,00</v>
          </cell>
          <cell r="E483">
            <v>8155.5659999999998</v>
          </cell>
          <cell r="F483">
            <v>8286.8706125999997</v>
          </cell>
          <cell r="G483">
            <v>6963.7568173109239</v>
          </cell>
          <cell r="H483"/>
          <cell r="I483" t="str">
            <v>521.835,00</v>
          </cell>
        </row>
        <row r="484">
          <cell r="A484" t="str">
            <v>TOPE PUERTA RESORTE</v>
          </cell>
          <cell r="B484" t="str">
            <v>10,00</v>
          </cell>
          <cell r="C484" t="str">
            <v>UN</v>
          </cell>
          <cell r="D484" t="str">
            <v>2.858,00</v>
          </cell>
          <cell r="E484">
            <v>2966.6039999999998</v>
          </cell>
          <cell r="F484">
            <v>3014.3663243999999</v>
          </cell>
          <cell r="G484">
            <v>2533.0809448739496</v>
          </cell>
          <cell r="H484"/>
          <cell r="I484" t="str">
            <v>288.650,00</v>
          </cell>
        </row>
        <row r="485">
          <cell r="A485" t="str">
            <v>TORNILLO AUTOPERFORANTE  8X1 1/2" 100UN</v>
          </cell>
          <cell r="B485" t="str">
            <v>5,00</v>
          </cell>
          <cell r="C485" t="str">
            <v>LB</v>
          </cell>
          <cell r="D485" t="str">
            <v>10.486,00</v>
          </cell>
          <cell r="E485">
            <v>10884.468000000001</v>
          </cell>
          <cell r="F485">
            <v>11059.707934800001</v>
          </cell>
          <cell r="G485">
            <v>9293.8722141176477</v>
          </cell>
          <cell r="H485"/>
          <cell r="I485" t="str">
            <v>110.500,00</v>
          </cell>
        </row>
        <row r="486">
          <cell r="A486" t="str">
            <v>TORNILLO AUTOPERFORANTE  8X1" 100UN</v>
          </cell>
          <cell r="B486" t="str">
            <v>5,00</v>
          </cell>
          <cell r="C486" t="str">
            <v>LB</v>
          </cell>
          <cell r="D486" t="str">
            <v>8.453,00</v>
          </cell>
          <cell r="E486">
            <v>8774.2139999999999</v>
          </cell>
          <cell r="F486">
            <v>8915.4788454000009</v>
          </cell>
          <cell r="G486">
            <v>7491.9990297478998</v>
          </cell>
          <cell r="H486"/>
          <cell r="I486" t="str">
            <v>110.230,00</v>
          </cell>
        </row>
        <row r="487">
          <cell r="A487" t="str">
            <v>TORNILLO AUTOPERFORANTE  8X1/2" 100UN</v>
          </cell>
          <cell r="B487" t="str">
            <v>5,00</v>
          </cell>
          <cell r="C487" t="str">
            <v>LB</v>
          </cell>
          <cell r="D487" t="str">
            <v>6.420,00</v>
          </cell>
          <cell r="E487">
            <v>6663.96</v>
          </cell>
          <cell r="F487">
            <v>6771.2497560000002</v>
          </cell>
          <cell r="G487">
            <v>5690.1258453781511</v>
          </cell>
          <cell r="H487"/>
          <cell r="I487" t="str">
            <v>197.780,00</v>
          </cell>
        </row>
        <row r="488">
          <cell r="A488" t="str">
            <v>TORNILLO AUTOPERFORANTE  8X2" 100UN</v>
          </cell>
          <cell r="B488" t="str">
            <v>5,00</v>
          </cell>
          <cell r="C488" t="str">
            <v>LB</v>
          </cell>
          <cell r="D488" t="str">
            <v>11.663,00</v>
          </cell>
          <cell r="E488">
            <v>12106.194</v>
          </cell>
          <cell r="F488">
            <v>12301.1037234</v>
          </cell>
          <cell r="G488">
            <v>10337.061952436974</v>
          </cell>
          <cell r="H488"/>
          <cell r="I488" t="str">
            <v>66.138,00</v>
          </cell>
        </row>
        <row r="489">
          <cell r="A489" t="str">
            <v>TORNILLO AUTOPERFORANTE  8X21/2" 100UN</v>
          </cell>
          <cell r="B489" t="str">
            <v>5,00</v>
          </cell>
          <cell r="C489" t="str">
            <v>LB</v>
          </cell>
          <cell r="D489" t="str">
            <v>14.552,00</v>
          </cell>
          <cell r="E489">
            <v>15104.976000000001</v>
          </cell>
          <cell r="F489">
            <v>15348.1661136</v>
          </cell>
          <cell r="G489">
            <v>12897.618582857143</v>
          </cell>
          <cell r="H489"/>
          <cell r="I489" t="str">
            <v>956.300,00</v>
          </cell>
        </row>
        <row r="490">
          <cell r="A490" t="str">
            <v>TORNILLO PANEL DRYWALL PTA BROCA 7X1" 100UN</v>
          </cell>
          <cell r="B490" t="str">
            <v>5,00</v>
          </cell>
          <cell r="C490" t="str">
            <v>LB</v>
          </cell>
          <cell r="D490" t="str">
            <v>6.313,00</v>
          </cell>
          <cell r="E490">
            <v>6552.8940000000002</v>
          </cell>
          <cell r="F490">
            <v>6658.3955934000005</v>
          </cell>
          <cell r="G490">
            <v>5595.2904146218489</v>
          </cell>
          <cell r="H490"/>
          <cell r="I490" t="str">
            <v>136.000,00</v>
          </cell>
        </row>
        <row r="491">
          <cell r="A491" t="str">
            <v>TORNILLO PANEL DRYWALL PTA BROCA 7X1-1/4" 100UN</v>
          </cell>
          <cell r="B491" t="str">
            <v>5,00</v>
          </cell>
          <cell r="C491" t="str">
            <v>LB</v>
          </cell>
          <cell r="D491" t="str">
            <v>6.634,00</v>
          </cell>
          <cell r="E491">
            <v>6886.0919999999996</v>
          </cell>
          <cell r="F491">
            <v>6996.9580811999995</v>
          </cell>
          <cell r="G491">
            <v>5879.7967068907556</v>
          </cell>
          <cell r="H491"/>
          <cell r="I491" t="str">
            <v>138.565,00</v>
          </cell>
        </row>
        <row r="492">
          <cell r="A492" t="str">
            <v>TORNILLO PANEL DRYWALL PTA BROCA 7X3/4" 100UN</v>
          </cell>
          <cell r="B492" t="str">
            <v>5,00</v>
          </cell>
          <cell r="C492" t="str">
            <v>LB</v>
          </cell>
          <cell r="D492" t="str">
            <v>6.313,00</v>
          </cell>
          <cell r="E492">
            <v>6552.8940000000002</v>
          </cell>
          <cell r="F492">
            <v>6658.3955934000005</v>
          </cell>
          <cell r="G492">
            <v>5595.2904146218489</v>
          </cell>
          <cell r="H492"/>
          <cell r="I492" t="str">
            <v>128.400,00</v>
          </cell>
        </row>
        <row r="493">
          <cell r="A493" t="str">
            <v>TORNILLO PARA LAMINA GOLOSO  NO. 7</v>
          </cell>
          <cell r="B493" t="str">
            <v>5,00</v>
          </cell>
          <cell r="C493" t="str">
            <v>LB</v>
          </cell>
          <cell r="D493" t="str">
            <v>16.050,00</v>
          </cell>
          <cell r="E493">
            <v>16659.900000000001</v>
          </cell>
          <cell r="F493">
            <v>16928.124390000001</v>
          </cell>
          <cell r="G493">
            <v>14225.314613445378</v>
          </cell>
          <cell r="H493"/>
          <cell r="I493" t="str">
            <v>117.275,00</v>
          </cell>
        </row>
        <row r="494">
          <cell r="A494" t="str">
            <v>TORNILLO PARA LAMINA GOLOSO NO. 8</v>
          </cell>
          <cell r="B494" t="str">
            <v>5,00</v>
          </cell>
          <cell r="C494" t="str">
            <v>LB</v>
          </cell>
          <cell r="D494" t="str">
            <v>17.120,00</v>
          </cell>
          <cell r="E494">
            <v>17770.560000000001</v>
          </cell>
          <cell r="F494">
            <v>18056.666016000003</v>
          </cell>
          <cell r="G494">
            <v>15173.668921008404</v>
          </cell>
          <cell r="H494"/>
          <cell r="I494" t="str">
            <v>407.345,00</v>
          </cell>
        </row>
        <row r="495">
          <cell r="A495" t="str">
            <v>TORRE CENTRAL DUCHA</v>
          </cell>
          <cell r="B495" t="str">
            <v>10,00</v>
          </cell>
          <cell r="C495" t="str">
            <v>UN</v>
          </cell>
          <cell r="D495" t="str">
            <v>24.172,00</v>
          </cell>
          <cell r="E495">
            <v>25090.536</v>
          </cell>
          <cell r="F495">
            <v>25494.493629600001</v>
          </cell>
          <cell r="G495">
            <v>21423.944226554624</v>
          </cell>
          <cell r="H495"/>
          <cell r="I495" t="str">
            <v>407.345,00</v>
          </cell>
        </row>
        <row r="496">
          <cell r="A496" t="str">
            <v>TORRE MÚLTIPLE METALIZA HEXAGONAL MÓVIL</v>
          </cell>
          <cell r="B496" t="str">
            <v>10,00</v>
          </cell>
          <cell r="C496" t="str">
            <v>UN</v>
          </cell>
          <cell r="D496" t="str">
            <v>21.420,00</v>
          </cell>
          <cell r="E496">
            <v>22233.96</v>
          </cell>
          <cell r="F496">
            <v>22591.926756000001</v>
          </cell>
          <cell r="G496">
            <v>18984.812400000003</v>
          </cell>
          <cell r="H496"/>
          <cell r="I496" t="str">
            <v>65.315,00</v>
          </cell>
        </row>
        <row r="497">
          <cell r="A497" t="str">
            <v>TRABA ROSCA FUERZA ALTA * 1/4 GALON</v>
          </cell>
          <cell r="B497" t="str">
            <v>1,00</v>
          </cell>
          <cell r="C497" t="str">
            <v>UN</v>
          </cell>
          <cell r="D497" t="str">
            <v>319.289,00</v>
          </cell>
          <cell r="E497">
            <v>331421.98200000002</v>
          </cell>
          <cell r="F497">
            <v>336757.8759102</v>
          </cell>
          <cell r="G497">
            <v>282989.81168924371</v>
          </cell>
          <cell r="H497"/>
          <cell r="I497" t="str">
            <v>19.450,00</v>
          </cell>
        </row>
        <row r="498">
          <cell r="A498" t="str">
            <v>TUBERÍA CONDUIT METÁLICA DE 1 1/2" X 3 MTS</v>
          </cell>
          <cell r="B498" t="str">
            <v>15,00</v>
          </cell>
          <cell r="C498" t="str">
            <v>UN</v>
          </cell>
          <cell r="D498" t="str">
            <v>121.839,00</v>
          </cell>
          <cell r="E498">
            <v>126468.882</v>
          </cell>
          <cell r="F498">
            <v>128505.0310002</v>
          </cell>
          <cell r="G498">
            <v>107987.42100857143</v>
          </cell>
          <cell r="H498"/>
          <cell r="I498" t="str">
            <v>19.450,00</v>
          </cell>
        </row>
        <row r="499">
          <cell r="A499" t="str">
            <v>TUBERÍA CONDUIT METÁLICA DE 1"  X 3 MTS</v>
          </cell>
          <cell r="B499" t="str">
            <v>15,00</v>
          </cell>
          <cell r="C499" t="str">
            <v>UN</v>
          </cell>
          <cell r="D499" t="str">
            <v>75.766,00</v>
          </cell>
          <cell r="E499">
            <v>78645.107999999993</v>
          </cell>
          <cell r="F499">
            <v>79911.294238799994</v>
          </cell>
          <cell r="G499">
            <v>67152.348099831928</v>
          </cell>
          <cell r="H499"/>
          <cell r="I499" t="str">
            <v>232.825,00</v>
          </cell>
        </row>
        <row r="500">
          <cell r="A500" t="str">
            <v>TUBERÍA CONDUIT METÁLICA DE 1/2" X 3 MTS</v>
          </cell>
          <cell r="B500" t="str">
            <v>15,00</v>
          </cell>
          <cell r="C500" t="str">
            <v>UN</v>
          </cell>
          <cell r="D500" t="str">
            <v>43.835,00</v>
          </cell>
          <cell r="E500">
            <v>45500.73</v>
          </cell>
          <cell r="F500">
            <v>46233.291753000005</v>
          </cell>
          <cell r="G500">
            <v>38851.505674789914</v>
          </cell>
          <cell r="H500"/>
          <cell r="I500" t="str">
            <v>53.928,00</v>
          </cell>
        </row>
        <row r="501">
          <cell r="A501" t="str">
            <v>TUBERÍA CONDUIT METÁLICA DE 2" X 3 MTS</v>
          </cell>
          <cell r="B501" t="str">
            <v>15,00</v>
          </cell>
          <cell r="C501" t="str">
            <v>UN</v>
          </cell>
          <cell r="D501" t="str">
            <v>150.008,00</v>
          </cell>
          <cell r="E501">
            <v>155708.304</v>
          </cell>
          <cell r="F501">
            <v>158215.20769440001</v>
          </cell>
          <cell r="G501">
            <v>132953.95604571429</v>
          </cell>
          <cell r="H501"/>
          <cell r="I501" t="str">
            <v>64.200,00</v>
          </cell>
        </row>
        <row r="502">
          <cell r="A502" t="str">
            <v>TUBERÍA CONDUIT METÁLICA DE 3/4  X 3 MTS</v>
          </cell>
          <cell r="B502" t="str">
            <v>15,00</v>
          </cell>
          <cell r="C502" t="str">
            <v>UN</v>
          </cell>
          <cell r="D502" t="str">
            <v>53.176,00</v>
          </cell>
          <cell r="E502">
            <v>55196.688000000002</v>
          </cell>
          <cell r="F502">
            <v>56085.354676800001</v>
          </cell>
          <cell r="G502">
            <v>47130.550148571427</v>
          </cell>
          <cell r="H502"/>
          <cell r="I502" t="str">
            <v>115.472,00</v>
          </cell>
        </row>
        <row r="503">
          <cell r="A503" t="str">
            <v>TUBO COBRE TIPO K  PRESIÓN DE 1/2"  X 6 MTS</v>
          </cell>
          <cell r="B503" t="str">
            <v>3,00</v>
          </cell>
          <cell r="C503" t="str">
            <v>UN</v>
          </cell>
          <cell r="D503" t="str">
            <v>124.440,00</v>
          </cell>
          <cell r="E503">
            <v>129168.72</v>
          </cell>
          <cell r="F503">
            <v>131248.336392</v>
          </cell>
          <cell r="G503">
            <v>110292.71965714286</v>
          </cell>
          <cell r="H503"/>
          <cell r="I503" t="str">
            <v>356.250,00</v>
          </cell>
        </row>
        <row r="504">
          <cell r="A504" t="str">
            <v>TUBO COBRE TIPO K PRESIÓN DE 1”  X 6 MTS</v>
          </cell>
          <cell r="B504" t="str">
            <v>3,00</v>
          </cell>
          <cell r="C504" t="str">
            <v>UN</v>
          </cell>
          <cell r="D504" t="str">
            <v>253.800,00</v>
          </cell>
          <cell r="E504">
            <v>263444.40000000002</v>
          </cell>
          <cell r="F504">
            <v>267685.85484000004</v>
          </cell>
          <cell r="G504">
            <v>224946.09650420173</v>
          </cell>
          <cell r="H504"/>
          <cell r="I504" t="str">
            <v>383.362,00</v>
          </cell>
        </row>
        <row r="505">
          <cell r="A505" t="str">
            <v>TUBO COBRE TIPO K PRESIÓN DE 11/2”  X 6 MTS</v>
          </cell>
          <cell r="B505" t="str">
            <v>2,00</v>
          </cell>
          <cell r="C505" t="str">
            <v>UN</v>
          </cell>
          <cell r="D505" t="str">
            <v>482.503,00</v>
          </cell>
          <cell r="E505">
            <v>500838.114</v>
          </cell>
          <cell r="F505">
            <v>508901.60763540003</v>
          </cell>
          <cell r="G505">
            <v>427648.40977764706</v>
          </cell>
          <cell r="H505"/>
          <cell r="I505" t="str">
            <v>333.200,00</v>
          </cell>
        </row>
        <row r="506">
          <cell r="A506" t="str">
            <v>TUBO COBRE TIPO K PRESIÓN DE 11/4”  X 6 MTS</v>
          </cell>
          <cell r="B506" t="str">
            <v>3,00</v>
          </cell>
          <cell r="C506" t="str">
            <v>UN</v>
          </cell>
          <cell r="D506" t="str">
            <v>353.765,00</v>
          </cell>
          <cell r="E506">
            <v>367208.07</v>
          </cell>
          <cell r="F506">
            <v>373120.11992700002</v>
          </cell>
          <cell r="G506">
            <v>313546.31926638656</v>
          </cell>
          <cell r="H506"/>
          <cell r="I506" t="str">
            <v>939.995,00</v>
          </cell>
        </row>
        <row r="507">
          <cell r="A507" t="str">
            <v>TUBO COBRE TIPO K PRESION DE 2”  X 6 MTS</v>
          </cell>
          <cell r="B507" t="str">
            <v>2,00</v>
          </cell>
          <cell r="C507" t="str">
            <v>UN</v>
          </cell>
          <cell r="D507" t="str">
            <v>783.668,00</v>
          </cell>
          <cell r="E507">
            <v>813447.38399999996</v>
          </cell>
          <cell r="F507">
            <v>826543.88688239991</v>
          </cell>
          <cell r="G507">
            <v>694574.69485915964</v>
          </cell>
          <cell r="H507"/>
          <cell r="I507" t="str">
            <v>939.995,00</v>
          </cell>
        </row>
        <row r="508">
          <cell r="A508" t="str">
            <v>TUBO COBRE TIPO K PRESIÓN DE 3/4" X 6 MTS</v>
          </cell>
          <cell r="B508" t="str">
            <v>3,00</v>
          </cell>
          <cell r="C508" t="str">
            <v>UN</v>
          </cell>
          <cell r="D508" t="str">
            <v>200.733,00</v>
          </cell>
          <cell r="E508">
            <v>208360.85399999999</v>
          </cell>
          <cell r="F508">
            <v>211715.46374939999</v>
          </cell>
          <cell r="G508">
            <v>177912.1544112605</v>
          </cell>
          <cell r="H508"/>
          <cell r="I508" t="str">
            <v>167.433,00</v>
          </cell>
        </row>
        <row r="509">
          <cell r="A509" t="str">
            <v>TUBO CONDUIT 3/4"  X 3MTS</v>
          </cell>
          <cell r="B509" t="str">
            <v>16,00</v>
          </cell>
          <cell r="C509" t="str">
            <v>UN</v>
          </cell>
          <cell r="D509" t="str">
            <v>3.157,00</v>
          </cell>
          <cell r="E509">
            <v>3276.9659999999999</v>
          </cell>
          <cell r="F509">
            <v>3329.7251526</v>
          </cell>
          <cell r="G509">
            <v>2798.0883635294117</v>
          </cell>
          <cell r="H509"/>
          <cell r="I509" t="str">
            <v>578.000,00</v>
          </cell>
        </row>
        <row r="510">
          <cell r="A510" t="str">
            <v>TUBO CONDUIT EMT 1/2"  X 3MTS</v>
          </cell>
          <cell r="B510" t="str">
            <v>15,00</v>
          </cell>
          <cell r="C510" t="str">
            <v>UN</v>
          </cell>
          <cell r="D510" t="str">
            <v>13.481,00</v>
          </cell>
          <cell r="E510">
            <v>13993.278</v>
          </cell>
          <cell r="F510">
            <v>14218.569775800001</v>
          </cell>
          <cell r="G510">
            <v>11948.377962857143</v>
          </cell>
          <cell r="H510"/>
          <cell r="I510" t="str">
            <v>816.000,00</v>
          </cell>
        </row>
        <row r="511">
          <cell r="A511" t="str">
            <v>TUBO EN ALUMINIO CON ALETA 3"X 1" X 6MTS</v>
          </cell>
          <cell r="B511" t="str">
            <v>5,00</v>
          </cell>
          <cell r="C511" t="str">
            <v>UN</v>
          </cell>
          <cell r="D511" t="str">
            <v>139.400,00</v>
          </cell>
          <cell r="E511">
            <v>144697.20000000001</v>
          </cell>
          <cell r="F511">
            <v>147026.82492000001</v>
          </cell>
          <cell r="G511">
            <v>123551.95371428572</v>
          </cell>
          <cell r="H511"/>
          <cell r="I511" t="str">
            <v>210.000,00</v>
          </cell>
        </row>
        <row r="512">
          <cell r="A512" t="str">
            <v>TUBO EN ALUMINIO CON DOBLE ALETA 3"X 1" X 6MTS</v>
          </cell>
          <cell r="B512" t="str">
            <v>3,00</v>
          </cell>
          <cell r="C512" t="str">
            <v>UN</v>
          </cell>
          <cell r="D512" t="str">
            <v>158.100,00</v>
          </cell>
          <cell r="E512">
            <v>164107.79999999999</v>
          </cell>
          <cell r="F512">
            <v>166749.93557999999</v>
          </cell>
          <cell r="G512">
            <v>140125.99628571427</v>
          </cell>
          <cell r="H512"/>
          <cell r="I512" t="str">
            <v>236.604,00</v>
          </cell>
        </row>
        <row r="513">
          <cell r="A513" t="str">
            <v>TUBO EN ALUMINIO DE 2X1 LISO CON ALETA</v>
          </cell>
          <cell r="B513" t="str">
            <v>4,00</v>
          </cell>
          <cell r="C513" t="str">
            <v>UN</v>
          </cell>
          <cell r="D513" t="str">
            <v>122.400,00</v>
          </cell>
          <cell r="E513">
            <v>127051.2</v>
          </cell>
          <cell r="F513">
            <v>129096.72431999999</v>
          </cell>
          <cell r="G513">
            <v>108484.64228571429</v>
          </cell>
          <cell r="H513"/>
          <cell r="I513" t="str">
            <v>24.075,00</v>
          </cell>
        </row>
        <row r="514">
          <cell r="A514" t="str">
            <v>TUBO PVC SANITARIO DE 1½” X 6 MTS</v>
          </cell>
          <cell r="B514" t="str">
            <v>2,00</v>
          </cell>
          <cell r="C514" t="str">
            <v>UN</v>
          </cell>
          <cell r="D514" t="str">
            <v>37.343,00</v>
          </cell>
          <cell r="E514">
            <v>38762.034</v>
          </cell>
          <cell r="F514">
            <v>39386.1027474</v>
          </cell>
          <cell r="G514">
            <v>33097.565333949584</v>
          </cell>
          <cell r="H514"/>
          <cell r="I514" t="str">
            <v>40.650,00</v>
          </cell>
        </row>
        <row r="515">
          <cell r="A515" t="str">
            <v>TUBO PVC SANITARIO DE 2”  X 6 MTS</v>
          </cell>
          <cell r="B515" t="str">
            <v>2,00</v>
          </cell>
          <cell r="C515" t="str">
            <v>UN</v>
          </cell>
          <cell r="D515" t="str">
            <v>34.133,00</v>
          </cell>
          <cell r="E515">
            <v>35430.053999999996</v>
          </cell>
          <cell r="F515">
            <v>36000.477869399998</v>
          </cell>
          <cell r="G515">
            <v>30252.502411260506</v>
          </cell>
          <cell r="H515"/>
          <cell r="I515" t="str">
            <v>71.400,00</v>
          </cell>
        </row>
        <row r="516">
          <cell r="A516" t="str">
            <v>TUBO PVC SANITARIO DE 3” X 6 MTS</v>
          </cell>
          <cell r="B516" t="str">
            <v>3,00</v>
          </cell>
          <cell r="C516" t="str">
            <v>UN</v>
          </cell>
          <cell r="D516" t="str">
            <v>52.323,00</v>
          </cell>
          <cell r="E516">
            <v>54311.273999999998</v>
          </cell>
          <cell r="F516">
            <v>55185.685511399999</v>
          </cell>
          <cell r="G516">
            <v>46374.525639831932</v>
          </cell>
          <cell r="H516"/>
          <cell r="I516" t="str">
            <v>70.620,00</v>
          </cell>
        </row>
        <row r="517">
          <cell r="A517" t="str">
            <v>TUBO PVC SANITARIO DE 4” X 6 MTS</v>
          </cell>
          <cell r="B517" t="str">
            <v>4,00</v>
          </cell>
          <cell r="C517" t="str">
            <v>UN</v>
          </cell>
          <cell r="D517" t="str">
            <v>72.118,00</v>
          </cell>
          <cell r="E517">
            <v>74858.483999999997</v>
          </cell>
          <cell r="F517">
            <v>76063.705592400001</v>
          </cell>
          <cell r="G517">
            <v>63919.0803297479</v>
          </cell>
          <cell r="H517"/>
          <cell r="I517" t="str">
            <v>91.404,00</v>
          </cell>
        </row>
        <row r="518">
          <cell r="A518" t="str">
            <v>UNIÓN CANALETA , BLANCA, 10X10</v>
          </cell>
          <cell r="B518" t="str">
            <v>5,00</v>
          </cell>
          <cell r="C518" t="str">
            <v>UN</v>
          </cell>
          <cell r="D518" t="str">
            <v>748,00</v>
          </cell>
          <cell r="E518">
            <v>776.42399999999998</v>
          </cell>
          <cell r="F518">
            <v>788.92442640000002</v>
          </cell>
          <cell r="G518">
            <v>662.96170285714288</v>
          </cell>
          <cell r="H518"/>
          <cell r="I518" t="str">
            <v>99.400,00</v>
          </cell>
        </row>
        <row r="519">
          <cell r="A519" t="str">
            <v>UNIÓN CANALETA , BLANCA, 10X5</v>
          </cell>
          <cell r="B519" t="str">
            <v>5,00</v>
          </cell>
          <cell r="C519" t="str">
            <v>UN</v>
          </cell>
          <cell r="D519" t="str">
            <v>2.354,00</v>
          </cell>
          <cell r="E519">
            <v>2443.4519999999998</v>
          </cell>
          <cell r="F519">
            <v>2482.7915771999997</v>
          </cell>
          <cell r="G519">
            <v>2086.379476638655</v>
          </cell>
          <cell r="H519"/>
          <cell r="I519" t="str">
            <v>63.000,00</v>
          </cell>
        </row>
        <row r="520">
          <cell r="A520" t="str">
            <v>UNIÓN CANALETA , BLANCA, 2X2</v>
          </cell>
          <cell r="B520" t="str">
            <v>5,00</v>
          </cell>
          <cell r="C520" t="str">
            <v>UN</v>
          </cell>
          <cell r="D520" t="str">
            <v>1.020,00</v>
          </cell>
          <cell r="E520">
            <v>1058.76</v>
          </cell>
          <cell r="F520">
            <v>1075.8060359999999</v>
          </cell>
          <cell r="G520">
            <v>904.03868571428575</v>
          </cell>
          <cell r="H520"/>
          <cell r="I520" t="str">
            <v>37.400,00</v>
          </cell>
        </row>
        <row r="521">
          <cell r="A521" t="str">
            <v>UNIÓN CANALETA, BLANCA, 10X12</v>
          </cell>
          <cell r="B521" t="str">
            <v>5,00</v>
          </cell>
          <cell r="C521" t="str">
            <v>UN</v>
          </cell>
          <cell r="D521" t="str">
            <v>952,00</v>
          </cell>
          <cell r="E521">
            <v>988.17600000000004</v>
          </cell>
          <cell r="F521">
            <v>1004.0856336000001</v>
          </cell>
          <cell r="G521">
            <v>843.76944000000003</v>
          </cell>
          <cell r="H521"/>
          <cell r="I521" t="str">
            <v>697.000,00</v>
          </cell>
        </row>
        <row r="522">
          <cell r="A522" t="str">
            <v>UNIÓN CANALETA, BLANCA, 10X14</v>
          </cell>
          <cell r="B522" t="str">
            <v>5,00</v>
          </cell>
          <cell r="C522" t="str">
            <v>UN</v>
          </cell>
          <cell r="D522" t="str">
            <v>952,00</v>
          </cell>
          <cell r="E522">
            <v>988.17600000000004</v>
          </cell>
          <cell r="F522">
            <v>1004.0856336000001</v>
          </cell>
          <cell r="G522">
            <v>843.76944000000003</v>
          </cell>
          <cell r="H522"/>
          <cell r="I522" t="str">
            <v>474.300,00</v>
          </cell>
        </row>
        <row r="523">
          <cell r="A523" t="str">
            <v>UNIÓN CANALETA, BLANCA, 20X12</v>
          </cell>
          <cell r="B523" t="str">
            <v>5,00</v>
          </cell>
          <cell r="C523" t="str">
            <v>UN</v>
          </cell>
          <cell r="D523" t="str">
            <v>952,00</v>
          </cell>
          <cell r="E523">
            <v>988.17600000000004</v>
          </cell>
          <cell r="F523">
            <v>1004.0856336000001</v>
          </cell>
          <cell r="G523">
            <v>843.76944000000003</v>
          </cell>
          <cell r="H523"/>
          <cell r="I523" t="str">
            <v>489.600,00</v>
          </cell>
        </row>
        <row r="524">
          <cell r="A524" t="str">
            <v>UNIÓN CANALETA, BLANCA, 20X14</v>
          </cell>
          <cell r="B524" t="str">
            <v>5,00</v>
          </cell>
          <cell r="C524" t="str">
            <v>UN</v>
          </cell>
          <cell r="D524" t="str">
            <v>952,00</v>
          </cell>
          <cell r="E524">
            <v>988.17600000000004</v>
          </cell>
          <cell r="F524">
            <v>1004.0856336000001</v>
          </cell>
          <cell r="G524">
            <v>843.76944000000003</v>
          </cell>
          <cell r="H524"/>
          <cell r="I524" t="str">
            <v>85.600,00</v>
          </cell>
        </row>
        <row r="525">
          <cell r="A525" t="str">
            <v>UNIÓN CANALETA, BLANCA, 20X20</v>
          </cell>
          <cell r="B525" t="str">
            <v>5,00</v>
          </cell>
          <cell r="C525" t="str">
            <v>UN</v>
          </cell>
          <cell r="D525" t="str">
            <v>1.020,00</v>
          </cell>
          <cell r="E525">
            <v>1058.76</v>
          </cell>
          <cell r="F525">
            <v>1075.8060359999999</v>
          </cell>
          <cell r="G525">
            <v>904.03868571428575</v>
          </cell>
          <cell r="H525"/>
          <cell r="I525" t="str">
            <v>10.486,00</v>
          </cell>
        </row>
        <row r="526">
          <cell r="A526" t="str">
            <v>UNIÓN CANALETA, BLANCA, 40X12</v>
          </cell>
          <cell r="B526" t="str">
            <v>5,00</v>
          </cell>
          <cell r="C526" t="str">
            <v>UN</v>
          </cell>
          <cell r="D526" t="str">
            <v>1.292,00</v>
          </cell>
          <cell r="E526">
            <v>1341.096</v>
          </cell>
          <cell r="F526">
            <v>1362.6876456</v>
          </cell>
          <cell r="G526">
            <v>1145.1156685714286</v>
          </cell>
          <cell r="H526"/>
          <cell r="I526" t="str">
            <v>10.486,00</v>
          </cell>
        </row>
        <row r="527">
          <cell r="A527" t="str">
            <v>UNIÓN CANALETA, BLANCA, 40X14</v>
          </cell>
          <cell r="B527" t="str">
            <v>5,00</v>
          </cell>
          <cell r="C527" t="str">
            <v>UN</v>
          </cell>
          <cell r="D527" t="str">
            <v>1.292,00</v>
          </cell>
          <cell r="E527">
            <v>1341.096</v>
          </cell>
          <cell r="F527">
            <v>1362.6876456</v>
          </cell>
          <cell r="G527">
            <v>1145.1156685714286</v>
          </cell>
          <cell r="H527"/>
          <cell r="I527" t="str">
            <v>10.486,00</v>
          </cell>
        </row>
        <row r="528">
          <cell r="A528" t="str">
            <v>UNIÓN CANALETA, BLANCA, 60X14</v>
          </cell>
          <cell r="B528" t="str">
            <v>5,00</v>
          </cell>
          <cell r="C528" t="str">
            <v>UN</v>
          </cell>
          <cell r="D528" t="str">
            <v>2.108,00</v>
          </cell>
          <cell r="E528">
            <v>2188.1039999999998</v>
          </cell>
          <cell r="F528">
            <v>2223.3324743999997</v>
          </cell>
          <cell r="G528">
            <v>1868.346617142857</v>
          </cell>
          <cell r="H528"/>
          <cell r="I528" t="str">
            <v>77.040,00</v>
          </cell>
        </row>
        <row r="529">
          <cell r="A529" t="str">
            <v>UNIÓN CANALETA, BLANCA, 60X40</v>
          </cell>
          <cell r="B529" t="str">
            <v>5,00</v>
          </cell>
          <cell r="C529" t="str">
            <v>UN</v>
          </cell>
          <cell r="D529" t="str">
            <v>2.108,00</v>
          </cell>
          <cell r="E529">
            <v>2188.1039999999998</v>
          </cell>
          <cell r="F529">
            <v>2223.3324743999997</v>
          </cell>
          <cell r="G529">
            <v>1868.346617142857</v>
          </cell>
          <cell r="H529"/>
          <cell r="I529" t="str">
            <v>292.400,00</v>
          </cell>
        </row>
        <row r="530">
          <cell r="A530" t="str">
            <v>UNIÓN HEMBRA CABLE COAXIAL</v>
          </cell>
          <cell r="B530" t="str">
            <v>100,00</v>
          </cell>
          <cell r="C530" t="str">
            <v>UN</v>
          </cell>
          <cell r="D530" t="str">
            <v>2.247,00</v>
          </cell>
          <cell r="E530">
            <v>2332.386</v>
          </cell>
          <cell r="F530">
            <v>2369.9374146</v>
          </cell>
          <cell r="G530">
            <v>1991.5440458823527</v>
          </cell>
          <cell r="H530"/>
          <cell r="I530" t="str">
            <v>285.600,00</v>
          </cell>
        </row>
        <row r="531">
          <cell r="A531" t="str">
            <v>UNIÓN MACHO CABLE COAXIAL</v>
          </cell>
          <cell r="B531" t="str">
            <v>100,00</v>
          </cell>
          <cell r="C531" t="str">
            <v>UN</v>
          </cell>
          <cell r="D531" t="str">
            <v>3.745,00</v>
          </cell>
          <cell r="E531">
            <v>3887.31</v>
          </cell>
          <cell r="F531">
            <v>3949.8956910000002</v>
          </cell>
          <cell r="G531">
            <v>3319.2400764705885</v>
          </cell>
          <cell r="H531"/>
          <cell r="I531" t="str">
            <v>34.000,00</v>
          </cell>
        </row>
        <row r="532">
          <cell r="A532" t="str">
            <v>UNIÓN PVC PARA CIELO RAZO</v>
          </cell>
          <cell r="B532" t="str">
            <v>20,00</v>
          </cell>
          <cell r="C532" t="str">
            <v>UN</v>
          </cell>
          <cell r="D532" t="str">
            <v>20.001,00</v>
          </cell>
          <cell r="E532">
            <v>20761.038</v>
          </cell>
          <cell r="F532">
            <v>21095.2907118</v>
          </cell>
          <cell r="G532">
            <v>17727.135051932772</v>
          </cell>
          <cell r="H532"/>
          <cell r="I532" t="str">
            <v>90.440,00</v>
          </cell>
        </row>
        <row r="533">
          <cell r="A533" t="str">
            <v>UNIVERSAL EN COBRE TIPO K  1"</v>
          </cell>
          <cell r="B533" t="str">
            <v>3,00</v>
          </cell>
          <cell r="C533" t="str">
            <v>UN</v>
          </cell>
          <cell r="D533" t="str">
            <v>30.524,00</v>
          </cell>
          <cell r="E533">
            <v>31683.912</v>
          </cell>
          <cell r="F533">
            <v>32194.0229832</v>
          </cell>
          <cell r="G533">
            <v>27053.800826218489</v>
          </cell>
          <cell r="H533"/>
          <cell r="I533" t="str">
            <v>80.250,00</v>
          </cell>
        </row>
        <row r="534">
          <cell r="A534" t="str">
            <v>UNIVERSAL EN COBRE TIPO K  1/2"</v>
          </cell>
          <cell r="B534" t="str">
            <v>3,00</v>
          </cell>
          <cell r="C534" t="str">
            <v>UN</v>
          </cell>
          <cell r="D534" t="str">
            <v>9.486,00</v>
          </cell>
          <cell r="E534">
            <v>9846.4680000000008</v>
          </cell>
          <cell r="F534">
            <v>10004.996134800002</v>
          </cell>
          <cell r="G534">
            <v>8407.5597771428584</v>
          </cell>
          <cell r="H534"/>
          <cell r="I534" t="str">
            <v>235.000,00</v>
          </cell>
        </row>
        <row r="535">
          <cell r="A535" t="str">
            <v>UNIVERSAL EN COBRE TIPO K  11/2"</v>
          </cell>
          <cell r="B535" t="str">
            <v>3,00</v>
          </cell>
          <cell r="C535" t="str">
            <v>UN</v>
          </cell>
          <cell r="D535" t="str">
            <v>88.400,00</v>
          </cell>
          <cell r="E535">
            <v>91759.2</v>
          </cell>
          <cell r="F535">
            <v>93236.523119999998</v>
          </cell>
          <cell r="G535">
            <v>78350.019428571424</v>
          </cell>
          <cell r="H535"/>
          <cell r="I535" t="str">
            <v>1.360.000,00</v>
          </cell>
        </row>
        <row r="536">
          <cell r="A536" t="str">
            <v>UNIVERSAL EN COBRE TIPO K  11/4"</v>
          </cell>
          <cell r="B536" t="str">
            <v>3,00</v>
          </cell>
          <cell r="C536" t="str">
            <v>UN</v>
          </cell>
          <cell r="D536" t="str">
            <v>76.500,00</v>
          </cell>
          <cell r="E536">
            <v>79407</v>
          </cell>
          <cell r="F536">
            <v>80685.452699999994</v>
          </cell>
          <cell r="G536">
            <v>67802.901428571422</v>
          </cell>
          <cell r="H536"/>
          <cell r="I536" t="str">
            <v>203.300,00</v>
          </cell>
        </row>
        <row r="537">
          <cell r="A537" t="str">
            <v>UNIVERSAL EN COBRE TIPO K  2"</v>
          </cell>
          <cell r="B537" t="str">
            <v>2,00</v>
          </cell>
          <cell r="C537" t="str">
            <v>UN</v>
          </cell>
          <cell r="D537" t="str">
            <v>102.281,00</v>
          </cell>
          <cell r="E537">
            <v>106167.678</v>
          </cell>
          <cell r="F537">
            <v>107876.9776158</v>
          </cell>
          <cell r="G537">
            <v>90652.922366218481</v>
          </cell>
          <cell r="H537"/>
          <cell r="I537" t="str">
            <v>425.000,00</v>
          </cell>
        </row>
        <row r="538">
          <cell r="A538" t="str">
            <v>UNIVERSAL EN COBRE TIPO K  3/4"</v>
          </cell>
          <cell r="B538" t="str">
            <v>3,00</v>
          </cell>
          <cell r="C538" t="str">
            <v>UN</v>
          </cell>
          <cell r="D538" t="str">
            <v>21.420,00</v>
          </cell>
          <cell r="E538">
            <v>22233.96</v>
          </cell>
          <cell r="F538">
            <v>22591.926756000001</v>
          </cell>
          <cell r="G538">
            <v>18984.812400000003</v>
          </cell>
          <cell r="H538"/>
          <cell r="I538" t="str">
            <v>209.500,00</v>
          </cell>
        </row>
        <row r="539">
          <cell r="A539" t="str">
            <v>VÁLVULA DE CORTINA 1 1/2”</v>
          </cell>
          <cell r="B539" t="str">
            <v>2,00</v>
          </cell>
          <cell r="C539" t="str">
            <v>UN</v>
          </cell>
          <cell r="D539" t="str">
            <v>178.012,00</v>
          </cell>
          <cell r="E539">
            <v>184776.45600000001</v>
          </cell>
          <cell r="F539">
            <v>187751.35694160001</v>
          </cell>
          <cell r="G539">
            <v>157774.24953075629</v>
          </cell>
          <cell r="H539"/>
          <cell r="I539" t="str">
            <v>374.500,00</v>
          </cell>
        </row>
        <row r="540">
          <cell r="A540" t="str">
            <v>VÁLVULA DE CORTINA 1 1/4”</v>
          </cell>
          <cell r="B540" t="str">
            <v>2,00</v>
          </cell>
          <cell r="C540" t="str">
            <v>UN</v>
          </cell>
          <cell r="D540" t="str">
            <v>128.800,00</v>
          </cell>
          <cell r="E540">
            <v>133694.39999999999</v>
          </cell>
          <cell r="F540">
            <v>135846.87984000001</v>
          </cell>
          <cell r="G540">
            <v>114157.04188235295</v>
          </cell>
          <cell r="H540"/>
          <cell r="I540" t="str">
            <v>224.700,00</v>
          </cell>
        </row>
        <row r="541">
          <cell r="A541" t="str">
            <v>VÁLVULA DE CORTINA 1/2”</v>
          </cell>
          <cell r="B541" t="str">
            <v>2,00</v>
          </cell>
          <cell r="C541" t="str">
            <v>UN</v>
          </cell>
          <cell r="D541" t="str">
            <v>44.735,00</v>
          </cell>
          <cell r="E541">
            <v>46434.93</v>
          </cell>
          <cell r="F541">
            <v>47182.532373000002</v>
          </cell>
          <cell r="G541">
            <v>39649.186868067227</v>
          </cell>
          <cell r="H541"/>
          <cell r="I541" t="str">
            <v>34.000,00</v>
          </cell>
        </row>
        <row r="542">
          <cell r="A542" t="str">
            <v>VÁLVULA DE CORTINA 1”</v>
          </cell>
          <cell r="B542" t="str">
            <v>2,00</v>
          </cell>
          <cell r="C542" t="str">
            <v>UN</v>
          </cell>
          <cell r="D542" t="str">
            <v>91.173,00</v>
          </cell>
          <cell r="E542">
            <v>94637.573999999993</v>
          </cell>
          <cell r="F542">
            <v>96161.238941399992</v>
          </cell>
          <cell r="G542">
            <v>80807.763816302511</v>
          </cell>
          <cell r="H542"/>
          <cell r="I542" t="str">
            <v>76.719,00</v>
          </cell>
        </row>
        <row r="543">
          <cell r="A543" t="str">
            <v>VÁLVULA DE CORTINA 3/4”</v>
          </cell>
          <cell r="B543" t="str">
            <v>2,00</v>
          </cell>
          <cell r="C543" t="str">
            <v>UN</v>
          </cell>
          <cell r="D543" t="str">
            <v>60.807,00</v>
          </cell>
          <cell r="E543">
            <v>63117.665999999997</v>
          </cell>
          <cell r="F543">
            <v>64133.860422599995</v>
          </cell>
          <cell r="G543">
            <v>53894.000355126045</v>
          </cell>
          <cell r="H543"/>
          <cell r="I543" t="str">
            <v>222.560,00</v>
          </cell>
        </row>
        <row r="544">
          <cell r="A544" t="str">
            <v>VÁLVULAS DE PEDAL PARA AGUA FRÍA Y CALIENTE</v>
          </cell>
          <cell r="B544" t="str">
            <v>2,00</v>
          </cell>
          <cell r="C544" t="str">
            <v>UN</v>
          </cell>
          <cell r="D544" t="str">
            <v>478.150,00</v>
          </cell>
          <cell r="E544">
            <v>496319.7</v>
          </cell>
          <cell r="F544">
            <v>504310.44717</v>
          </cell>
          <cell r="G544">
            <v>423790.29173949582</v>
          </cell>
          <cell r="H544"/>
          <cell r="I544" t="str">
            <v>85.600,00</v>
          </cell>
        </row>
        <row r="545">
          <cell r="A545" t="str">
            <v>VARILLA  G-60 W 1/2PULG X6M CORRUGADA</v>
          </cell>
          <cell r="B545" t="str">
            <v>5,00</v>
          </cell>
          <cell r="C545" t="str">
            <v>UN</v>
          </cell>
          <cell r="D545" t="str">
            <v>16.371,00</v>
          </cell>
          <cell r="E545">
            <v>16993.097999999998</v>
          </cell>
          <cell r="F545">
            <v>17266.686877799999</v>
          </cell>
          <cell r="G545">
            <v>14509.820905714285</v>
          </cell>
          <cell r="H545"/>
          <cell r="I545" t="str">
            <v>40.800,00</v>
          </cell>
        </row>
        <row r="546">
          <cell r="A546" t="str">
            <v>VARILLA G-60 W 1/4PULG X6M CORRUGADA</v>
          </cell>
          <cell r="B546" t="str">
            <v>5,00</v>
          </cell>
          <cell r="C546" t="str">
            <v>UN</v>
          </cell>
          <cell r="D546" t="str">
            <v>4.548,00</v>
          </cell>
          <cell r="E546">
            <v>4720.8239999999996</v>
          </cell>
          <cell r="F546">
            <v>4796.8292664000001</v>
          </cell>
          <cell r="G546">
            <v>4030.9489633613448</v>
          </cell>
          <cell r="H546"/>
          <cell r="I546" t="str">
            <v>149.800,00</v>
          </cell>
        </row>
        <row r="547">
          <cell r="A547" t="str">
            <v>VARILLA LISA 1PG 6M G-40  (ROLLO POR 50 KILOS)</v>
          </cell>
          <cell r="B547" t="str">
            <v>1,00</v>
          </cell>
          <cell r="C547" t="str">
            <v>UN</v>
          </cell>
          <cell r="D547" t="str">
            <v>84.263,00</v>
          </cell>
          <cell r="E547">
            <v>87464.994000000006</v>
          </cell>
          <cell r="F547">
            <v>88873.180403400009</v>
          </cell>
          <cell r="G547">
            <v>74683.344876806732</v>
          </cell>
          <cell r="H547"/>
          <cell r="I547" t="str">
            <v>18.725,00</v>
          </cell>
        </row>
        <row r="548">
          <cell r="A548" t="str">
            <v>VIDRIO TRANSPARENTE DE 5MM LAMINA 2.40MTS A 9,6MTS</v>
          </cell>
          <cell r="B548" t="str">
            <v>2,00</v>
          </cell>
          <cell r="C548" t="str">
            <v>UN</v>
          </cell>
          <cell r="D548" t="str">
            <v>167.960,00</v>
          </cell>
          <cell r="E548">
            <v>174342.48</v>
          </cell>
          <cell r="F548">
            <v>177149.393928</v>
          </cell>
          <cell r="G548">
            <v>148865.03691428571</v>
          </cell>
          <cell r="H548"/>
          <cell r="I548" t="str">
            <v>58.850,00</v>
          </cell>
        </row>
        <row r="549">
          <cell r="A549" t="str">
            <v>VIDRIO TRANSPARENTE DE 6MM  LAMINA 2.40MTS A 9,6MTS</v>
          </cell>
          <cell r="B549" t="str">
            <v>1,00</v>
          </cell>
          <cell r="C549" t="str">
            <v>UN</v>
          </cell>
          <cell r="D549" t="str">
            <v>183.600,00</v>
          </cell>
          <cell r="E549">
            <v>190576.8</v>
          </cell>
          <cell r="F549">
            <v>193645.08648</v>
          </cell>
          <cell r="G549">
            <v>162726.96342857141</v>
          </cell>
          <cell r="H549"/>
          <cell r="I549" t="str">
            <v>642.600,00</v>
          </cell>
        </row>
        <row r="550">
          <cell r="A550" t="str">
            <v>VIGUETA 37 MM PARA ESTRUCTURA</v>
          </cell>
          <cell r="B550" t="str">
            <v>20,00</v>
          </cell>
          <cell r="C550" t="str">
            <v>UN</v>
          </cell>
          <cell r="D550" t="str">
            <v>3.745,00</v>
          </cell>
          <cell r="E550">
            <v>3887.31</v>
          </cell>
          <cell r="F550">
            <v>3949.8956910000002</v>
          </cell>
          <cell r="G550">
            <v>3319.2400764705885</v>
          </cell>
          <cell r="H550"/>
          <cell r="I550" t="str">
            <v>137.700,00</v>
          </cell>
        </row>
        <row r="551">
          <cell r="A551" t="str">
            <v>WIN EN ALUMINIO (TIRAS)</v>
          </cell>
          <cell r="B551" t="str">
            <v>20,00</v>
          </cell>
          <cell r="C551" t="str">
            <v>ML</v>
          </cell>
          <cell r="D551" t="str">
            <v>4.675,00</v>
          </cell>
          <cell r="E551">
            <v>4852.6499999999996</v>
          </cell>
          <cell r="F551">
            <v>4930.7776649999996</v>
          </cell>
          <cell r="G551">
            <v>4143.5106428571426</v>
          </cell>
          <cell r="H551"/>
          <cell r="I551" t="str">
            <v>320.465,00</v>
          </cell>
        </row>
        <row r="552">
          <cell r="A552" t="str">
            <v>WIN PARA GUARDA ESCOBA PLÁSTICO COLORES</v>
          </cell>
          <cell r="B552" t="str">
            <v>30,00</v>
          </cell>
          <cell r="C552" t="str">
            <v>ML</v>
          </cell>
          <cell r="D552" t="str">
            <v>5.714,00</v>
          </cell>
          <cell r="E552">
            <v>5931.1319999999996</v>
          </cell>
          <cell r="F552">
            <v>6026.6232252</v>
          </cell>
          <cell r="G552">
            <v>5064.3892648739502</v>
          </cell>
          <cell r="H552"/>
          <cell r="I552" t="str">
            <v>250.010,00</v>
          </cell>
        </row>
        <row r="553">
          <cell r="A553" t="str">
            <v>YESO BLANCO (BULTO X 25 KILOS)</v>
          </cell>
          <cell r="B553" t="str">
            <v>7,00</v>
          </cell>
          <cell r="C553" t="str">
            <v>UN</v>
          </cell>
          <cell r="D553" t="str">
            <v>30.923,00</v>
          </cell>
          <cell r="E553">
            <v>32098.074000000001</v>
          </cell>
          <cell r="F553">
            <v>32614.852991399999</v>
          </cell>
          <cell r="G553">
            <v>27407.439488571428</v>
          </cell>
          <cell r="H553"/>
          <cell r="I553" t="str">
            <v>833.209,00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AV512"/>
  <sheetViews>
    <sheetView topLeftCell="A52" zoomScaleNormal="100" workbookViewId="0">
      <selection activeCell="AA15" sqref="AA15"/>
    </sheetView>
  </sheetViews>
  <sheetFormatPr baseColWidth="10" defaultRowHeight="16.5" x14ac:dyDescent="0.3"/>
  <cols>
    <col min="1" max="1" width="11.42578125" style="1"/>
    <col min="2" max="2" width="12.140625" style="2" hidden="1" customWidth="1"/>
    <col min="3" max="3" width="11.42578125" style="3" hidden="1" customWidth="1"/>
    <col min="4" max="4" width="39.28515625" style="4" customWidth="1"/>
    <col min="5" max="5" width="14.42578125" style="5" bestFit="1" customWidth="1"/>
    <col min="6" max="6" width="38.140625" style="4" hidden="1" customWidth="1"/>
    <col min="7" max="7" width="18.85546875" style="22" hidden="1" customWidth="1"/>
    <col min="8" max="8" width="20.140625" style="22" hidden="1" customWidth="1"/>
    <col min="9" max="9" width="16.5703125" style="58" hidden="1" customWidth="1"/>
    <col min="10" max="10" width="16.5703125" style="30" hidden="1" customWidth="1"/>
    <col min="11" max="11" width="20.5703125" style="29" hidden="1" customWidth="1"/>
    <col min="12" max="12" width="14.42578125" style="29" hidden="1" customWidth="1"/>
    <col min="13" max="13" width="21.140625" style="22" hidden="1" customWidth="1"/>
    <col min="14" max="14" width="27.85546875" style="58" hidden="1" customWidth="1"/>
    <col min="15" max="15" width="28" style="22" hidden="1" customWidth="1"/>
    <col min="16" max="16" width="0" style="9" hidden="1" customWidth="1"/>
    <col min="17" max="17" width="18.85546875" style="22" hidden="1" customWidth="1"/>
    <col min="18" max="18" width="18.7109375" style="22" hidden="1" customWidth="1"/>
    <col min="19" max="19" width="15.85546875" style="22" hidden="1" customWidth="1"/>
    <col min="20" max="20" width="0" style="10" hidden="1" customWidth="1"/>
    <col min="21" max="16384" width="11.42578125" style="10"/>
  </cols>
  <sheetData>
    <row r="1" spans="1:23" ht="51.75" customHeight="1" x14ac:dyDescent="0.3">
      <c r="G1" s="6" t="s">
        <v>0</v>
      </c>
      <c r="H1" s="6" t="s">
        <v>1</v>
      </c>
      <c r="I1" s="7" t="s">
        <v>2</v>
      </c>
      <c r="J1" s="6" t="s">
        <v>3</v>
      </c>
      <c r="K1" s="8" t="s">
        <v>4</v>
      </c>
      <c r="L1" s="8" t="s">
        <v>5</v>
      </c>
      <c r="M1" s="8" t="s">
        <v>6</v>
      </c>
      <c r="N1" s="7" t="s">
        <v>7</v>
      </c>
      <c r="O1" s="7" t="s">
        <v>8</v>
      </c>
      <c r="Q1" s="171" t="s">
        <v>9</v>
      </c>
      <c r="R1" s="172"/>
      <c r="S1" s="173"/>
      <c r="U1" s="174" t="s">
        <v>9</v>
      </c>
      <c r="V1" s="174"/>
      <c r="W1" s="174"/>
    </row>
    <row r="2" spans="1:23" s="21" customFormat="1" ht="66" x14ac:dyDescent="0.3">
      <c r="A2" s="12" t="s">
        <v>10</v>
      </c>
      <c r="B2" s="13" t="s">
        <v>11</v>
      </c>
      <c r="C2" s="14" t="s">
        <v>12</v>
      </c>
      <c r="D2" s="15" t="s">
        <v>13</v>
      </c>
      <c r="E2" s="16" t="s">
        <v>14</v>
      </c>
      <c r="F2" s="15" t="s">
        <v>15</v>
      </c>
      <c r="G2" s="17" t="s">
        <v>16</v>
      </c>
      <c r="H2" s="17" t="s">
        <v>16</v>
      </c>
      <c r="I2" s="18" t="s">
        <v>16</v>
      </c>
      <c r="J2" s="19" t="s">
        <v>16</v>
      </c>
      <c r="K2" s="20" t="s">
        <v>16</v>
      </c>
      <c r="L2" s="8" t="s">
        <v>16</v>
      </c>
      <c r="M2" s="8" t="s">
        <v>16</v>
      </c>
      <c r="N2" s="7" t="s">
        <v>16</v>
      </c>
      <c r="O2" s="7" t="s">
        <v>16</v>
      </c>
      <c r="P2" s="9"/>
      <c r="Q2" s="8" t="s">
        <v>17</v>
      </c>
      <c r="R2" s="8" t="s">
        <v>18</v>
      </c>
      <c r="S2" s="8" t="s">
        <v>19</v>
      </c>
      <c r="U2" s="11" t="s">
        <v>17</v>
      </c>
      <c r="V2" s="11" t="s">
        <v>18</v>
      </c>
      <c r="W2" s="11" t="s">
        <v>19</v>
      </c>
    </row>
    <row r="3" spans="1:23" ht="33" x14ac:dyDescent="0.3">
      <c r="A3" s="22">
        <v>1</v>
      </c>
      <c r="B3" s="23">
        <v>1041099123</v>
      </c>
      <c r="C3" s="24" t="s">
        <v>20</v>
      </c>
      <c r="D3" s="25" t="s">
        <v>21</v>
      </c>
      <c r="E3" s="26" t="s">
        <v>22</v>
      </c>
      <c r="F3" s="27" t="s">
        <v>23</v>
      </c>
      <c r="G3" s="28">
        <v>240900</v>
      </c>
      <c r="H3" s="28" t="s">
        <v>24</v>
      </c>
      <c r="I3" s="28" t="s">
        <v>25</v>
      </c>
      <c r="J3" s="28" t="s">
        <v>25</v>
      </c>
      <c r="K3" s="29" t="s">
        <v>25</v>
      </c>
      <c r="L3" s="29" t="s">
        <v>25</v>
      </c>
      <c r="M3" s="29" t="s">
        <v>24</v>
      </c>
      <c r="N3" s="30" t="s">
        <v>24</v>
      </c>
      <c r="O3" s="30" t="s">
        <v>24</v>
      </c>
      <c r="Q3" s="30">
        <f>MIN(G3:O3)</f>
        <v>240900</v>
      </c>
      <c r="R3" s="30">
        <f>Q3*19/100</f>
        <v>45771</v>
      </c>
      <c r="S3" s="30">
        <f>Q3+R3</f>
        <v>286671</v>
      </c>
      <c r="U3" s="30">
        <v>240900</v>
      </c>
      <c r="V3" s="30">
        <v>45771</v>
      </c>
      <c r="W3" s="30">
        <v>286671</v>
      </c>
    </row>
    <row r="4" spans="1:23" x14ac:dyDescent="0.3">
      <c r="A4" s="22">
        <v>2</v>
      </c>
      <c r="B4" s="23">
        <v>1041099529</v>
      </c>
      <c r="C4" s="24" t="s">
        <v>20</v>
      </c>
      <c r="D4" s="25" t="s">
        <v>26</v>
      </c>
      <c r="E4" s="26" t="s">
        <v>22</v>
      </c>
      <c r="F4" s="27" t="s">
        <v>26</v>
      </c>
      <c r="G4" s="28">
        <v>2900</v>
      </c>
      <c r="H4" s="28">
        <v>4900</v>
      </c>
      <c r="I4" s="28">
        <v>3500</v>
      </c>
      <c r="J4" s="28" t="s">
        <v>25</v>
      </c>
      <c r="K4" s="29" t="s">
        <v>25</v>
      </c>
      <c r="L4" s="29" t="s">
        <v>25</v>
      </c>
      <c r="M4" s="29" t="s">
        <v>24</v>
      </c>
      <c r="N4" s="30" t="s">
        <v>24</v>
      </c>
      <c r="O4" s="30" t="s">
        <v>24</v>
      </c>
      <c r="Q4" s="30">
        <f t="shared" ref="Q4:Q64" si="0">MIN(G4:O4)</f>
        <v>2900</v>
      </c>
      <c r="R4" s="30">
        <f t="shared" ref="R4:R64" si="1">Q4*19/100</f>
        <v>551</v>
      </c>
      <c r="S4" s="30">
        <f t="shared" ref="S4:S64" si="2">Q4+R4</f>
        <v>3451</v>
      </c>
      <c r="U4" s="30">
        <v>3766.6666666666665</v>
      </c>
      <c r="V4" s="30">
        <v>715.66666666666652</v>
      </c>
      <c r="W4" s="30">
        <v>4482.333333333333</v>
      </c>
    </row>
    <row r="5" spans="1:23" x14ac:dyDescent="0.3">
      <c r="A5" s="22">
        <v>3</v>
      </c>
      <c r="B5" s="23">
        <v>1042099024</v>
      </c>
      <c r="C5" s="24" t="s">
        <v>20</v>
      </c>
      <c r="D5" s="25" t="s">
        <v>27</v>
      </c>
      <c r="E5" s="26" t="s">
        <v>22</v>
      </c>
      <c r="F5" s="27" t="s">
        <v>27</v>
      </c>
      <c r="G5" s="28">
        <v>15900</v>
      </c>
      <c r="H5" s="28">
        <v>8750</v>
      </c>
      <c r="I5" s="28">
        <v>4600</v>
      </c>
      <c r="J5" s="28" t="s">
        <v>25</v>
      </c>
      <c r="K5" s="29" t="s">
        <v>25</v>
      </c>
      <c r="L5" s="29" t="s">
        <v>25</v>
      </c>
      <c r="M5" s="29" t="s">
        <v>24</v>
      </c>
      <c r="N5" s="30" t="s">
        <v>24</v>
      </c>
      <c r="O5" s="30" t="s">
        <v>24</v>
      </c>
      <c r="Q5" s="30">
        <f t="shared" si="0"/>
        <v>4600</v>
      </c>
      <c r="R5" s="30">
        <f t="shared" si="1"/>
        <v>874</v>
      </c>
      <c r="S5" s="30">
        <f t="shared" si="2"/>
        <v>5474</v>
      </c>
      <c r="U5" s="30">
        <v>9750</v>
      </c>
      <c r="V5" s="30">
        <v>1852.5</v>
      </c>
      <c r="W5" s="30">
        <v>11602.5</v>
      </c>
    </row>
    <row r="6" spans="1:23" x14ac:dyDescent="0.3">
      <c r="A6" s="22">
        <v>4</v>
      </c>
      <c r="B6" s="31">
        <v>1041099530</v>
      </c>
      <c r="C6" s="32"/>
      <c r="D6" s="33" t="s">
        <v>28</v>
      </c>
      <c r="E6" s="26" t="s">
        <v>22</v>
      </c>
      <c r="F6" s="33" t="s">
        <v>28</v>
      </c>
      <c r="G6" s="28">
        <v>9600</v>
      </c>
      <c r="H6" s="28">
        <v>5900</v>
      </c>
      <c r="I6" s="28">
        <v>3650</v>
      </c>
      <c r="J6" s="28">
        <v>6900</v>
      </c>
      <c r="K6" s="29" t="s">
        <v>25</v>
      </c>
      <c r="L6" s="29" t="s">
        <v>25</v>
      </c>
      <c r="M6" s="29" t="s">
        <v>24</v>
      </c>
      <c r="N6" s="30" t="s">
        <v>24</v>
      </c>
      <c r="O6" s="30">
        <v>5544</v>
      </c>
      <c r="Q6" s="30">
        <f t="shared" si="0"/>
        <v>3650</v>
      </c>
      <c r="R6" s="30">
        <f t="shared" si="1"/>
        <v>693.5</v>
      </c>
      <c r="S6" s="30">
        <f t="shared" si="2"/>
        <v>4343.5</v>
      </c>
      <c r="U6" s="30">
        <v>6318.8</v>
      </c>
      <c r="V6" s="30">
        <v>1200.5719999999999</v>
      </c>
      <c r="W6" s="30">
        <v>7519.3720000000003</v>
      </c>
    </row>
    <row r="7" spans="1:23" x14ac:dyDescent="0.3">
      <c r="A7" s="22">
        <v>5</v>
      </c>
      <c r="B7" s="23">
        <v>1042099025</v>
      </c>
      <c r="C7" s="24" t="s">
        <v>20</v>
      </c>
      <c r="D7" s="25" t="s">
        <v>29</v>
      </c>
      <c r="E7" s="26" t="s">
        <v>22</v>
      </c>
      <c r="F7" s="27" t="s">
        <v>29</v>
      </c>
      <c r="G7" s="28">
        <v>2900</v>
      </c>
      <c r="H7" s="28">
        <v>4290</v>
      </c>
      <c r="I7" s="28">
        <v>2500</v>
      </c>
      <c r="J7" s="28" t="s">
        <v>25</v>
      </c>
      <c r="K7" s="29" t="s">
        <v>25</v>
      </c>
      <c r="L7" s="29" t="s">
        <v>25</v>
      </c>
      <c r="M7" s="29" t="s">
        <v>24</v>
      </c>
      <c r="N7" s="30" t="s">
        <v>24</v>
      </c>
      <c r="O7" s="30" t="s">
        <v>24</v>
      </c>
      <c r="Q7" s="30">
        <f t="shared" si="0"/>
        <v>2500</v>
      </c>
      <c r="R7" s="30">
        <f t="shared" si="1"/>
        <v>475</v>
      </c>
      <c r="S7" s="30">
        <f t="shared" si="2"/>
        <v>2975</v>
      </c>
      <c r="U7" s="30">
        <v>3230</v>
      </c>
      <c r="V7" s="30">
        <v>613.70000000000005</v>
      </c>
      <c r="W7" s="30">
        <v>3843.7</v>
      </c>
    </row>
    <row r="8" spans="1:23" x14ac:dyDescent="0.3">
      <c r="A8" s="22">
        <v>6</v>
      </c>
      <c r="B8" s="23">
        <v>1041099522</v>
      </c>
      <c r="C8" s="24" t="s">
        <v>20</v>
      </c>
      <c r="D8" s="25" t="s">
        <v>30</v>
      </c>
      <c r="E8" s="26" t="s">
        <v>22</v>
      </c>
      <c r="F8" s="27" t="s">
        <v>30</v>
      </c>
      <c r="G8" s="28">
        <v>4100</v>
      </c>
      <c r="H8" s="28">
        <v>14900</v>
      </c>
      <c r="I8" s="28">
        <v>1800</v>
      </c>
      <c r="J8" s="28">
        <v>3600</v>
      </c>
      <c r="K8" s="29" t="s">
        <v>25</v>
      </c>
      <c r="L8" s="29" t="s">
        <v>25</v>
      </c>
      <c r="M8" s="29" t="s">
        <v>24</v>
      </c>
      <c r="N8" s="30" t="s">
        <v>24</v>
      </c>
      <c r="O8" s="30" t="s">
        <v>24</v>
      </c>
      <c r="Q8" s="30">
        <f t="shared" si="0"/>
        <v>1800</v>
      </c>
      <c r="R8" s="30">
        <f t="shared" si="1"/>
        <v>342</v>
      </c>
      <c r="S8" s="30">
        <f t="shared" si="2"/>
        <v>2142</v>
      </c>
      <c r="U8" s="30">
        <v>6100</v>
      </c>
      <c r="V8" s="30">
        <v>1159</v>
      </c>
      <c r="W8" s="30">
        <v>7259</v>
      </c>
    </row>
    <row r="9" spans="1:23" x14ac:dyDescent="0.3">
      <c r="A9" s="22">
        <v>7</v>
      </c>
      <c r="B9" s="23">
        <v>1043267706</v>
      </c>
      <c r="C9" s="24" t="s">
        <v>20</v>
      </c>
      <c r="D9" s="25" t="s">
        <v>31</v>
      </c>
      <c r="E9" s="26" t="s">
        <v>32</v>
      </c>
      <c r="F9" s="27" t="s">
        <v>31</v>
      </c>
      <c r="G9" s="22" t="s">
        <v>24</v>
      </c>
      <c r="H9" s="22" t="s">
        <v>24</v>
      </c>
      <c r="I9" s="28">
        <v>13500</v>
      </c>
      <c r="J9" s="28" t="s">
        <v>25</v>
      </c>
      <c r="K9" s="29" t="s">
        <v>25</v>
      </c>
      <c r="L9" s="29" t="s">
        <v>25</v>
      </c>
      <c r="M9" s="29" t="s">
        <v>24</v>
      </c>
      <c r="N9" s="30">
        <v>359</v>
      </c>
      <c r="O9" s="30" t="s">
        <v>24</v>
      </c>
      <c r="Q9" s="30">
        <f t="shared" si="0"/>
        <v>359</v>
      </c>
      <c r="R9" s="30">
        <f t="shared" si="1"/>
        <v>68.209999999999994</v>
      </c>
      <c r="S9" s="30">
        <f t="shared" si="2"/>
        <v>427.21</v>
      </c>
      <c r="U9" s="30">
        <v>6929.5</v>
      </c>
      <c r="V9" s="30">
        <v>1316.605</v>
      </c>
      <c r="W9" s="30">
        <v>8246.1049999999996</v>
      </c>
    </row>
    <row r="10" spans="1:23" x14ac:dyDescent="0.3">
      <c r="A10" s="22">
        <v>8</v>
      </c>
      <c r="B10" s="23">
        <v>1043267707</v>
      </c>
      <c r="C10" s="24" t="s">
        <v>20</v>
      </c>
      <c r="D10" s="25" t="s">
        <v>33</v>
      </c>
      <c r="E10" s="26" t="s">
        <v>22</v>
      </c>
      <c r="F10" s="27" t="s">
        <v>33</v>
      </c>
      <c r="G10" s="22" t="s">
        <v>24</v>
      </c>
      <c r="H10" s="22" t="s">
        <v>24</v>
      </c>
      <c r="I10" s="28">
        <v>13500</v>
      </c>
      <c r="J10" s="28" t="s">
        <v>25</v>
      </c>
      <c r="K10" s="29" t="s">
        <v>25</v>
      </c>
      <c r="L10" s="29" t="s">
        <v>25</v>
      </c>
      <c r="M10" s="29" t="s">
        <v>24</v>
      </c>
      <c r="N10" s="30" t="s">
        <v>24</v>
      </c>
      <c r="O10" s="30" t="s">
        <v>24</v>
      </c>
      <c r="Q10" s="30">
        <f t="shared" si="0"/>
        <v>13500</v>
      </c>
      <c r="R10" s="30">
        <f t="shared" si="1"/>
        <v>2565</v>
      </c>
      <c r="S10" s="30">
        <f t="shared" si="2"/>
        <v>16065</v>
      </c>
      <c r="U10" s="30">
        <v>13500</v>
      </c>
      <c r="V10" s="30">
        <v>2565</v>
      </c>
      <c r="W10" s="30">
        <v>16065</v>
      </c>
    </row>
    <row r="11" spans="1:23" x14ac:dyDescent="0.3">
      <c r="A11" s="22">
        <v>9</v>
      </c>
      <c r="B11" s="23">
        <v>1043267708</v>
      </c>
      <c r="C11" s="24" t="s">
        <v>20</v>
      </c>
      <c r="D11" s="25" t="s">
        <v>34</v>
      </c>
      <c r="E11" s="26" t="s">
        <v>32</v>
      </c>
      <c r="F11" s="27" t="s">
        <v>34</v>
      </c>
      <c r="G11" s="22" t="s">
        <v>24</v>
      </c>
      <c r="H11" s="22" t="s">
        <v>24</v>
      </c>
      <c r="I11" s="28">
        <v>14100</v>
      </c>
      <c r="J11" s="28" t="s">
        <v>25</v>
      </c>
      <c r="K11" s="29" t="s">
        <v>25</v>
      </c>
      <c r="L11" s="29" t="s">
        <v>25</v>
      </c>
      <c r="M11" s="29" t="s">
        <v>24</v>
      </c>
      <c r="N11" s="30">
        <v>493</v>
      </c>
      <c r="O11" s="30" t="s">
        <v>24</v>
      </c>
      <c r="Q11" s="30">
        <f t="shared" si="0"/>
        <v>493</v>
      </c>
      <c r="R11" s="30">
        <f t="shared" si="1"/>
        <v>93.67</v>
      </c>
      <c r="S11" s="30">
        <f t="shared" si="2"/>
        <v>586.66999999999996</v>
      </c>
      <c r="U11" s="30">
        <v>7296.5</v>
      </c>
      <c r="V11" s="30">
        <v>1386.335</v>
      </c>
      <c r="W11" s="30">
        <v>8682.8349999999991</v>
      </c>
    </row>
    <row r="12" spans="1:23" x14ac:dyDescent="0.3">
      <c r="A12" s="22">
        <v>10</v>
      </c>
      <c r="B12" s="23">
        <v>1043267709</v>
      </c>
      <c r="C12" s="24" t="s">
        <v>20</v>
      </c>
      <c r="D12" s="25" t="s">
        <v>35</v>
      </c>
      <c r="E12" s="26" t="s">
        <v>32</v>
      </c>
      <c r="F12" s="27" t="s">
        <v>36</v>
      </c>
      <c r="G12" s="22" t="s">
        <v>24</v>
      </c>
      <c r="H12" s="22" t="s">
        <v>24</v>
      </c>
      <c r="I12" s="28">
        <v>14100</v>
      </c>
      <c r="J12" s="28" t="s">
        <v>25</v>
      </c>
      <c r="K12" s="29" t="s">
        <v>25</v>
      </c>
      <c r="L12" s="29" t="s">
        <v>25</v>
      </c>
      <c r="M12" s="29" t="s">
        <v>24</v>
      </c>
      <c r="N12" s="30" t="s">
        <v>37</v>
      </c>
      <c r="O12" s="30" t="s">
        <v>24</v>
      </c>
      <c r="Q12" s="30">
        <f t="shared" si="0"/>
        <v>14100</v>
      </c>
      <c r="R12" s="30">
        <f t="shared" si="1"/>
        <v>2679</v>
      </c>
      <c r="S12" s="30">
        <f t="shared" si="2"/>
        <v>16779</v>
      </c>
      <c r="U12" s="30">
        <v>14100</v>
      </c>
      <c r="V12" s="30">
        <v>2679</v>
      </c>
      <c r="W12" s="30">
        <v>16779</v>
      </c>
    </row>
    <row r="13" spans="1:23" x14ac:dyDescent="0.3">
      <c r="A13" s="22">
        <v>11</v>
      </c>
      <c r="B13" s="23">
        <v>1041099133</v>
      </c>
      <c r="C13" s="24" t="s">
        <v>20</v>
      </c>
      <c r="D13" s="25" t="s">
        <v>38</v>
      </c>
      <c r="E13" s="26" t="s">
        <v>22</v>
      </c>
      <c r="F13" s="27" t="s">
        <v>38</v>
      </c>
      <c r="G13" s="28">
        <v>24900</v>
      </c>
      <c r="H13" s="28">
        <v>23500</v>
      </c>
      <c r="I13" s="28">
        <v>10100</v>
      </c>
      <c r="J13" s="28">
        <v>10900</v>
      </c>
      <c r="K13" s="29" t="s">
        <v>25</v>
      </c>
      <c r="L13" s="29" t="s">
        <v>25</v>
      </c>
      <c r="M13" s="29" t="s">
        <v>24</v>
      </c>
      <c r="N13" s="30" t="s">
        <v>24</v>
      </c>
      <c r="O13" s="30" t="s">
        <v>24</v>
      </c>
      <c r="Q13" s="30">
        <f t="shared" si="0"/>
        <v>10100</v>
      </c>
      <c r="R13" s="30">
        <f t="shared" si="1"/>
        <v>1919</v>
      </c>
      <c r="S13" s="30">
        <f t="shared" si="2"/>
        <v>12019</v>
      </c>
      <c r="U13" s="30">
        <v>17350</v>
      </c>
      <c r="V13" s="30">
        <v>3296.5</v>
      </c>
      <c r="W13" s="30">
        <v>20646.5</v>
      </c>
    </row>
    <row r="14" spans="1:23" x14ac:dyDescent="0.3">
      <c r="A14" s="22">
        <v>12</v>
      </c>
      <c r="B14" s="23">
        <v>1041099134</v>
      </c>
      <c r="C14" s="24" t="s">
        <v>20</v>
      </c>
      <c r="D14" s="25" t="s">
        <v>39</v>
      </c>
      <c r="E14" s="26" t="s">
        <v>22</v>
      </c>
      <c r="F14" s="27" t="s">
        <v>39</v>
      </c>
      <c r="G14" s="28" t="s">
        <v>24</v>
      </c>
      <c r="H14" s="28">
        <v>20320</v>
      </c>
      <c r="I14" s="28">
        <v>14600</v>
      </c>
      <c r="J14" s="28" t="s">
        <v>25</v>
      </c>
      <c r="K14" s="29" t="s">
        <v>25</v>
      </c>
      <c r="L14" s="29" t="s">
        <v>25</v>
      </c>
      <c r="M14" s="29" t="s">
        <v>24</v>
      </c>
      <c r="N14" s="30" t="s">
        <v>24</v>
      </c>
      <c r="O14" s="30" t="s">
        <v>24</v>
      </c>
      <c r="Q14" s="30">
        <f t="shared" si="0"/>
        <v>14600</v>
      </c>
      <c r="R14" s="30">
        <f t="shared" si="1"/>
        <v>2774</v>
      </c>
      <c r="S14" s="30">
        <f t="shared" si="2"/>
        <v>17374</v>
      </c>
      <c r="U14" s="30">
        <v>17460</v>
      </c>
      <c r="V14" s="30">
        <v>3317.4</v>
      </c>
      <c r="W14" s="30">
        <v>20777.400000000001</v>
      </c>
    </row>
    <row r="15" spans="1:23" x14ac:dyDescent="0.3">
      <c r="A15" s="22">
        <v>13</v>
      </c>
      <c r="B15" s="23">
        <v>1041099120</v>
      </c>
      <c r="C15" s="24" t="s">
        <v>20</v>
      </c>
      <c r="D15" s="25" t="s">
        <v>40</v>
      </c>
      <c r="E15" s="26" t="s">
        <v>22</v>
      </c>
      <c r="F15" s="27" t="s">
        <v>41</v>
      </c>
      <c r="G15" s="28">
        <v>3900</v>
      </c>
      <c r="H15" s="28">
        <v>7800</v>
      </c>
      <c r="I15" s="28">
        <v>9840</v>
      </c>
      <c r="J15" s="28" t="s">
        <v>25</v>
      </c>
      <c r="K15" s="29" t="s">
        <v>25</v>
      </c>
      <c r="L15" s="29" t="s">
        <v>25</v>
      </c>
      <c r="M15" s="29" t="s">
        <v>24</v>
      </c>
      <c r="N15" s="30" t="s">
        <v>24</v>
      </c>
      <c r="O15" s="30" t="s">
        <v>24</v>
      </c>
      <c r="Q15" s="30">
        <f t="shared" si="0"/>
        <v>3900</v>
      </c>
      <c r="R15" s="30">
        <f t="shared" si="1"/>
        <v>741</v>
      </c>
      <c r="S15" s="30">
        <f t="shared" si="2"/>
        <v>4641</v>
      </c>
      <c r="U15" s="30">
        <v>7180</v>
      </c>
      <c r="V15" s="30">
        <v>1364.2</v>
      </c>
      <c r="W15" s="30">
        <v>8544.2000000000007</v>
      </c>
    </row>
    <row r="16" spans="1:23" x14ac:dyDescent="0.3">
      <c r="A16" s="22">
        <v>14</v>
      </c>
      <c r="B16" s="23">
        <v>1041099121</v>
      </c>
      <c r="C16" s="24" t="s">
        <v>20</v>
      </c>
      <c r="D16" s="25" t="s">
        <v>42</v>
      </c>
      <c r="E16" s="26" t="s">
        <v>22</v>
      </c>
      <c r="F16" s="27" t="s">
        <v>43</v>
      </c>
      <c r="G16" s="28">
        <v>5900</v>
      </c>
      <c r="H16" s="28">
        <v>14840</v>
      </c>
      <c r="I16" s="28">
        <v>10100</v>
      </c>
      <c r="J16" s="28">
        <v>6200</v>
      </c>
      <c r="K16" s="29" t="s">
        <v>25</v>
      </c>
      <c r="L16" s="29" t="s">
        <v>25</v>
      </c>
      <c r="M16" s="29" t="s">
        <v>24</v>
      </c>
      <c r="N16" s="30" t="s">
        <v>24</v>
      </c>
      <c r="O16" s="30" t="s">
        <v>24</v>
      </c>
      <c r="Q16" s="30">
        <f t="shared" si="0"/>
        <v>5900</v>
      </c>
      <c r="R16" s="30">
        <f t="shared" si="1"/>
        <v>1121</v>
      </c>
      <c r="S16" s="30">
        <f t="shared" si="2"/>
        <v>7021</v>
      </c>
      <c r="U16" s="30">
        <v>9260</v>
      </c>
      <c r="V16" s="30">
        <v>1759.4</v>
      </c>
      <c r="W16" s="30">
        <v>11019.4</v>
      </c>
    </row>
    <row r="17" spans="1:23" x14ac:dyDescent="0.3">
      <c r="A17" s="22">
        <v>15</v>
      </c>
      <c r="B17" s="23">
        <v>1123268110</v>
      </c>
      <c r="C17" s="24" t="s">
        <v>20</v>
      </c>
      <c r="D17" s="25" t="s">
        <v>44</v>
      </c>
      <c r="E17" s="26" t="s">
        <v>22</v>
      </c>
      <c r="F17" s="27" t="s">
        <v>44</v>
      </c>
      <c r="G17" s="22" t="s">
        <v>24</v>
      </c>
      <c r="H17" s="22" t="s">
        <v>24</v>
      </c>
      <c r="I17" s="28">
        <v>11350</v>
      </c>
      <c r="J17" s="28">
        <v>23900</v>
      </c>
      <c r="K17" s="29" t="s">
        <v>25</v>
      </c>
      <c r="L17" s="29" t="s">
        <v>25</v>
      </c>
      <c r="M17" s="29" t="s">
        <v>24</v>
      </c>
      <c r="N17" s="30" t="s">
        <v>24</v>
      </c>
      <c r="O17" s="30" t="s">
        <v>24</v>
      </c>
      <c r="Q17" s="30">
        <f t="shared" si="0"/>
        <v>11350</v>
      </c>
      <c r="R17" s="30">
        <f t="shared" si="1"/>
        <v>2156.5</v>
      </c>
      <c r="S17" s="30">
        <f t="shared" si="2"/>
        <v>13506.5</v>
      </c>
      <c r="U17" s="30">
        <v>17625</v>
      </c>
      <c r="V17" s="30">
        <v>3348.75</v>
      </c>
      <c r="W17" s="30">
        <v>20973.75</v>
      </c>
    </row>
    <row r="18" spans="1:23" x14ac:dyDescent="0.3">
      <c r="A18" s="22">
        <v>16</v>
      </c>
      <c r="B18" s="23">
        <v>1111000313</v>
      </c>
      <c r="C18" s="24" t="s">
        <v>20</v>
      </c>
      <c r="D18" s="25" t="s">
        <v>45</v>
      </c>
      <c r="E18" s="26" t="s">
        <v>22</v>
      </c>
      <c r="F18" s="27" t="s">
        <v>45</v>
      </c>
      <c r="G18" s="22" t="s">
        <v>24</v>
      </c>
      <c r="H18" s="22" t="s">
        <v>24</v>
      </c>
      <c r="I18" s="28">
        <v>28100</v>
      </c>
      <c r="J18" s="28" t="s">
        <v>25</v>
      </c>
      <c r="K18" s="29" t="s">
        <v>25</v>
      </c>
      <c r="L18" s="29" t="s">
        <v>25</v>
      </c>
      <c r="M18" s="29" t="s">
        <v>24</v>
      </c>
      <c r="N18" s="30" t="s">
        <v>24</v>
      </c>
      <c r="O18" s="30" t="s">
        <v>24</v>
      </c>
      <c r="Q18" s="30">
        <f t="shared" si="0"/>
        <v>28100</v>
      </c>
      <c r="R18" s="30">
        <f t="shared" si="1"/>
        <v>5339</v>
      </c>
      <c r="S18" s="30">
        <f t="shared" si="2"/>
        <v>33439</v>
      </c>
      <c r="U18" s="30">
        <v>28100</v>
      </c>
      <c r="V18" s="30">
        <v>5339</v>
      </c>
      <c r="W18" s="30">
        <v>33439</v>
      </c>
    </row>
    <row r="19" spans="1:23" ht="33" x14ac:dyDescent="0.3">
      <c r="A19" s="22">
        <v>17</v>
      </c>
      <c r="B19" s="23">
        <v>1043205045</v>
      </c>
      <c r="C19" s="24" t="s">
        <v>20</v>
      </c>
      <c r="D19" s="25" t="s">
        <v>46</v>
      </c>
      <c r="E19" s="26" t="s">
        <v>22</v>
      </c>
      <c r="F19" s="27" t="s">
        <v>47</v>
      </c>
      <c r="G19" s="22" t="s">
        <v>24</v>
      </c>
      <c r="H19" s="22" t="s">
        <v>24</v>
      </c>
      <c r="I19" s="28" t="s">
        <v>25</v>
      </c>
      <c r="J19" s="28" t="s">
        <v>25</v>
      </c>
      <c r="K19" s="29" t="s">
        <v>25</v>
      </c>
      <c r="L19" s="29" t="s">
        <v>25</v>
      </c>
      <c r="M19" s="29" t="s">
        <v>24</v>
      </c>
      <c r="N19" s="30">
        <v>170573</v>
      </c>
      <c r="O19" s="30" t="s">
        <v>24</v>
      </c>
      <c r="Q19" s="30">
        <f t="shared" si="0"/>
        <v>170573</v>
      </c>
      <c r="R19" s="30">
        <f t="shared" si="1"/>
        <v>32408.87</v>
      </c>
      <c r="S19" s="30">
        <f t="shared" si="2"/>
        <v>202981.87</v>
      </c>
      <c r="U19" s="30">
        <v>170573</v>
      </c>
      <c r="V19" s="30">
        <v>32408.87</v>
      </c>
      <c r="W19" s="30">
        <v>202981.87</v>
      </c>
    </row>
    <row r="20" spans="1:23" ht="33" x14ac:dyDescent="0.3">
      <c r="A20" s="22">
        <v>18</v>
      </c>
      <c r="B20" s="23">
        <v>1043205046</v>
      </c>
      <c r="C20" s="24" t="s">
        <v>20</v>
      </c>
      <c r="D20" s="25" t="s">
        <v>48</v>
      </c>
      <c r="E20" s="26" t="s">
        <v>22</v>
      </c>
      <c r="F20" s="27" t="s">
        <v>49</v>
      </c>
      <c r="G20" s="22" t="s">
        <v>24</v>
      </c>
      <c r="H20" s="22" t="s">
        <v>24</v>
      </c>
      <c r="I20" s="28" t="s">
        <v>25</v>
      </c>
      <c r="J20" s="28" t="s">
        <v>25</v>
      </c>
      <c r="K20" s="29" t="s">
        <v>25</v>
      </c>
      <c r="L20" s="29" t="s">
        <v>25</v>
      </c>
      <c r="M20" s="29" t="s">
        <v>24</v>
      </c>
      <c r="N20" s="30">
        <v>170573</v>
      </c>
      <c r="O20" s="30" t="s">
        <v>24</v>
      </c>
      <c r="Q20" s="30">
        <f t="shared" si="0"/>
        <v>170573</v>
      </c>
      <c r="R20" s="30">
        <f t="shared" si="1"/>
        <v>32408.87</v>
      </c>
      <c r="S20" s="30">
        <f t="shared" si="2"/>
        <v>202981.87</v>
      </c>
      <c r="U20" s="30">
        <v>170573</v>
      </c>
      <c r="V20" s="30">
        <v>32408.87</v>
      </c>
      <c r="W20" s="30">
        <v>202981.87</v>
      </c>
    </row>
    <row r="21" spans="1:23" ht="33" x14ac:dyDescent="0.3">
      <c r="A21" s="22">
        <v>19</v>
      </c>
      <c r="B21" s="23">
        <v>1043205219</v>
      </c>
      <c r="C21" s="24" t="s">
        <v>20</v>
      </c>
      <c r="D21" s="27" t="s">
        <v>50</v>
      </c>
      <c r="E21" s="26" t="s">
        <v>51</v>
      </c>
      <c r="F21" s="27" t="s">
        <v>52</v>
      </c>
      <c r="G21" s="22" t="s">
        <v>24</v>
      </c>
      <c r="H21" s="22" t="s">
        <v>24</v>
      </c>
      <c r="I21" s="28" t="s">
        <v>25</v>
      </c>
      <c r="J21" s="28" t="s">
        <v>25</v>
      </c>
      <c r="K21" s="29" t="s">
        <v>25</v>
      </c>
      <c r="L21" s="29" t="s">
        <v>25</v>
      </c>
      <c r="M21" s="29" t="s">
        <v>24</v>
      </c>
      <c r="N21" s="30">
        <v>170573</v>
      </c>
      <c r="O21" s="30" t="s">
        <v>24</v>
      </c>
      <c r="Q21" s="30">
        <f t="shared" si="0"/>
        <v>170573</v>
      </c>
      <c r="R21" s="30">
        <f t="shared" si="1"/>
        <v>32408.87</v>
      </c>
      <c r="S21" s="30">
        <f t="shared" si="2"/>
        <v>202981.87</v>
      </c>
      <c r="U21" s="30">
        <v>170573</v>
      </c>
      <c r="V21" s="30">
        <v>32408.87</v>
      </c>
      <c r="W21" s="30">
        <v>202981.87</v>
      </c>
    </row>
    <row r="22" spans="1:23" ht="33" x14ac:dyDescent="0.3">
      <c r="A22" s="22">
        <v>20</v>
      </c>
      <c r="B22" s="23">
        <v>1043205220</v>
      </c>
      <c r="C22" s="24" t="s">
        <v>20</v>
      </c>
      <c r="D22" s="27" t="s">
        <v>53</v>
      </c>
      <c r="E22" s="26" t="s">
        <v>51</v>
      </c>
      <c r="F22" s="27" t="s">
        <v>54</v>
      </c>
      <c r="G22" s="22" t="s">
        <v>24</v>
      </c>
      <c r="H22" s="22" t="s">
        <v>24</v>
      </c>
      <c r="I22" s="28" t="s">
        <v>25</v>
      </c>
      <c r="J22" s="28" t="s">
        <v>25</v>
      </c>
      <c r="K22" s="29" t="s">
        <v>25</v>
      </c>
      <c r="L22" s="29" t="s">
        <v>25</v>
      </c>
      <c r="M22" s="29" t="s">
        <v>24</v>
      </c>
      <c r="N22" s="30">
        <v>170573</v>
      </c>
      <c r="O22" s="30" t="s">
        <v>24</v>
      </c>
      <c r="Q22" s="30">
        <f t="shared" si="0"/>
        <v>170573</v>
      </c>
      <c r="R22" s="30">
        <f t="shared" si="1"/>
        <v>32408.87</v>
      </c>
      <c r="S22" s="30">
        <f t="shared" si="2"/>
        <v>202981.87</v>
      </c>
      <c r="U22" s="30">
        <v>170573</v>
      </c>
      <c r="V22" s="30">
        <v>32408.87</v>
      </c>
      <c r="W22" s="30">
        <v>202981.87</v>
      </c>
    </row>
    <row r="23" spans="1:23" ht="33" x14ac:dyDescent="0.3">
      <c r="A23" s="22">
        <v>21</v>
      </c>
      <c r="B23" s="23">
        <v>1043205225</v>
      </c>
      <c r="C23" s="24" t="s">
        <v>20</v>
      </c>
      <c r="D23" s="27" t="s">
        <v>55</v>
      </c>
      <c r="E23" s="26" t="s">
        <v>51</v>
      </c>
      <c r="F23" s="27" t="s">
        <v>56</v>
      </c>
      <c r="G23" s="22" t="s">
        <v>24</v>
      </c>
      <c r="H23" s="22" t="s">
        <v>24</v>
      </c>
      <c r="I23" s="28" t="s">
        <v>25</v>
      </c>
      <c r="J23" s="28" t="s">
        <v>25</v>
      </c>
      <c r="K23" s="29" t="s">
        <v>25</v>
      </c>
      <c r="L23" s="29" t="s">
        <v>25</v>
      </c>
      <c r="M23" s="29">
        <v>188599</v>
      </c>
      <c r="N23" s="30">
        <v>170573</v>
      </c>
      <c r="O23" s="30" t="s">
        <v>24</v>
      </c>
      <c r="Q23" s="30">
        <f t="shared" si="0"/>
        <v>170573</v>
      </c>
      <c r="R23" s="30">
        <f t="shared" si="1"/>
        <v>32408.87</v>
      </c>
      <c r="S23" s="30">
        <f t="shared" si="2"/>
        <v>202981.87</v>
      </c>
      <c r="U23" s="30">
        <v>179586</v>
      </c>
      <c r="V23" s="30">
        <v>34121.339999999997</v>
      </c>
      <c r="W23" s="30">
        <v>213707.34</v>
      </c>
    </row>
    <row r="24" spans="1:23" x14ac:dyDescent="0.3">
      <c r="A24" s="22">
        <v>22</v>
      </c>
      <c r="B24" s="23">
        <v>1043205226</v>
      </c>
      <c r="C24" s="24" t="s">
        <v>20</v>
      </c>
      <c r="D24" s="25" t="s">
        <v>57</v>
      </c>
      <c r="E24" s="26" t="s">
        <v>51</v>
      </c>
      <c r="F24" s="27" t="s">
        <v>58</v>
      </c>
      <c r="G24" s="22" t="s">
        <v>24</v>
      </c>
      <c r="H24" s="28">
        <v>20500</v>
      </c>
      <c r="I24" s="28" t="s">
        <v>25</v>
      </c>
      <c r="J24" s="28" t="s">
        <v>25</v>
      </c>
      <c r="K24" s="29" t="s">
        <v>25</v>
      </c>
      <c r="L24" s="29" t="s">
        <v>25</v>
      </c>
      <c r="M24" s="29">
        <v>113927</v>
      </c>
      <c r="N24" s="30" t="s">
        <v>37</v>
      </c>
      <c r="O24" s="30" t="s">
        <v>37</v>
      </c>
      <c r="Q24" s="30">
        <f t="shared" si="0"/>
        <v>20500</v>
      </c>
      <c r="R24" s="30">
        <f t="shared" si="1"/>
        <v>3895</v>
      </c>
      <c r="S24" s="30">
        <f t="shared" si="2"/>
        <v>24395</v>
      </c>
      <c r="U24" s="30">
        <v>67213.5</v>
      </c>
      <c r="V24" s="30">
        <v>12770.565000000001</v>
      </c>
      <c r="W24" s="30">
        <v>79984.065000000002</v>
      </c>
    </row>
    <row r="25" spans="1:23" x14ac:dyDescent="0.3">
      <c r="A25" s="22">
        <v>23</v>
      </c>
      <c r="B25" s="23">
        <v>1043205227</v>
      </c>
      <c r="C25" s="24" t="s">
        <v>20</v>
      </c>
      <c r="D25" s="25" t="s">
        <v>59</v>
      </c>
      <c r="E25" s="26" t="s">
        <v>51</v>
      </c>
      <c r="F25" s="27" t="s">
        <v>60</v>
      </c>
      <c r="G25" s="22" t="s">
        <v>24</v>
      </c>
      <c r="H25" s="28">
        <v>20500</v>
      </c>
      <c r="I25" s="29" t="s">
        <v>25</v>
      </c>
      <c r="J25" s="30">
        <v>111900</v>
      </c>
      <c r="K25" s="29" t="s">
        <v>25</v>
      </c>
      <c r="L25" s="29" t="s">
        <v>25</v>
      </c>
      <c r="M25" s="29">
        <v>130668</v>
      </c>
      <c r="N25" s="30" t="s">
        <v>37</v>
      </c>
      <c r="O25" s="30" t="s">
        <v>37</v>
      </c>
      <c r="Q25" s="30">
        <f t="shared" si="0"/>
        <v>20500</v>
      </c>
      <c r="R25" s="30">
        <f t="shared" si="1"/>
        <v>3895</v>
      </c>
      <c r="S25" s="30">
        <f t="shared" si="2"/>
        <v>24395</v>
      </c>
      <c r="U25" s="30">
        <v>87689.333333333328</v>
      </c>
      <c r="V25" s="30">
        <v>16660.973333333332</v>
      </c>
      <c r="W25" s="30">
        <v>104350.30666666666</v>
      </c>
    </row>
    <row r="26" spans="1:23" x14ac:dyDescent="0.3">
      <c r="A26" s="22">
        <v>24</v>
      </c>
      <c r="B26" s="23">
        <v>1043205228</v>
      </c>
      <c r="C26" s="24" t="s">
        <v>20</v>
      </c>
      <c r="D26" s="25" t="s">
        <v>61</v>
      </c>
      <c r="E26" s="26" t="s">
        <v>51</v>
      </c>
      <c r="F26" s="27" t="s">
        <v>62</v>
      </c>
      <c r="G26" s="22" t="s">
        <v>24</v>
      </c>
      <c r="H26" s="28">
        <v>20500</v>
      </c>
      <c r="I26" s="28" t="s">
        <v>25</v>
      </c>
      <c r="J26" s="28" t="s">
        <v>25</v>
      </c>
      <c r="K26" s="29" t="s">
        <v>25</v>
      </c>
      <c r="L26" s="29" t="s">
        <v>25</v>
      </c>
      <c r="M26" s="29">
        <v>147908</v>
      </c>
      <c r="N26" s="30" t="s">
        <v>37</v>
      </c>
      <c r="O26" s="30" t="s">
        <v>37</v>
      </c>
      <c r="Q26" s="30">
        <f t="shared" si="0"/>
        <v>20500</v>
      </c>
      <c r="R26" s="30">
        <f t="shared" si="1"/>
        <v>3895</v>
      </c>
      <c r="S26" s="30">
        <f t="shared" si="2"/>
        <v>24395</v>
      </c>
      <c r="U26" s="30">
        <v>84204</v>
      </c>
      <c r="V26" s="30">
        <v>15998.76</v>
      </c>
      <c r="W26" s="30">
        <v>100202.76</v>
      </c>
    </row>
    <row r="27" spans="1:23" x14ac:dyDescent="0.3">
      <c r="A27" s="22">
        <v>25</v>
      </c>
      <c r="B27" s="23">
        <v>1043205229</v>
      </c>
      <c r="C27" s="24" t="s">
        <v>20</v>
      </c>
      <c r="D27" s="25" t="s">
        <v>63</v>
      </c>
      <c r="E27" s="26" t="s">
        <v>51</v>
      </c>
      <c r="F27" s="27" t="s">
        <v>64</v>
      </c>
      <c r="G27" s="22" t="s">
        <v>24</v>
      </c>
      <c r="H27" s="28">
        <v>20500</v>
      </c>
      <c r="I27" s="28" t="s">
        <v>25</v>
      </c>
      <c r="J27" s="28" t="s">
        <v>25</v>
      </c>
      <c r="K27" s="29" t="s">
        <v>25</v>
      </c>
      <c r="L27" s="29" t="s">
        <v>25</v>
      </c>
      <c r="M27" s="29">
        <v>79042</v>
      </c>
      <c r="N27" s="30" t="s">
        <v>37</v>
      </c>
      <c r="O27" s="30" t="s">
        <v>37</v>
      </c>
      <c r="Q27" s="30">
        <f t="shared" si="0"/>
        <v>20500</v>
      </c>
      <c r="R27" s="30">
        <f t="shared" si="1"/>
        <v>3895</v>
      </c>
      <c r="S27" s="30">
        <f t="shared" si="2"/>
        <v>24395</v>
      </c>
      <c r="U27" s="30">
        <v>49771</v>
      </c>
      <c r="V27" s="30">
        <v>9456.49</v>
      </c>
      <c r="W27" s="30">
        <v>59227.49</v>
      </c>
    </row>
    <row r="28" spans="1:23" ht="33" x14ac:dyDescent="0.3">
      <c r="A28" s="22">
        <v>26</v>
      </c>
      <c r="B28" s="23">
        <v>1043205792</v>
      </c>
      <c r="C28" s="24" t="s">
        <v>20</v>
      </c>
      <c r="D28" s="25" t="s">
        <v>65</v>
      </c>
      <c r="E28" s="26" t="s">
        <v>66</v>
      </c>
      <c r="F28" s="27" t="s">
        <v>67</v>
      </c>
      <c r="G28" s="22" t="s">
        <v>24</v>
      </c>
      <c r="H28" s="30">
        <v>64990</v>
      </c>
      <c r="I28" s="28" t="s">
        <v>25</v>
      </c>
      <c r="J28" s="28" t="s">
        <v>25</v>
      </c>
      <c r="K28" s="29" t="s">
        <v>25</v>
      </c>
      <c r="L28" s="29" t="s">
        <v>25</v>
      </c>
      <c r="M28" s="29" t="s">
        <v>24</v>
      </c>
      <c r="N28" s="30" t="s">
        <v>24</v>
      </c>
      <c r="O28" s="30" t="s">
        <v>24</v>
      </c>
      <c r="Q28" s="30">
        <f t="shared" si="0"/>
        <v>64990</v>
      </c>
      <c r="R28" s="30">
        <f t="shared" si="1"/>
        <v>12348.1</v>
      </c>
      <c r="S28" s="30">
        <f t="shared" si="2"/>
        <v>77338.100000000006</v>
      </c>
      <c r="U28" s="30">
        <v>64990</v>
      </c>
      <c r="V28" s="30">
        <v>12348.1</v>
      </c>
      <c r="W28" s="30">
        <v>77338.100000000006</v>
      </c>
    </row>
    <row r="29" spans="1:23" ht="33" x14ac:dyDescent="0.3">
      <c r="A29" s="22">
        <v>27</v>
      </c>
      <c r="B29" s="23">
        <v>1043205793</v>
      </c>
      <c r="C29" s="24" t="s">
        <v>20</v>
      </c>
      <c r="D29" s="25" t="s">
        <v>68</v>
      </c>
      <c r="E29" s="26" t="s">
        <v>66</v>
      </c>
      <c r="F29" s="27" t="s">
        <v>69</v>
      </c>
      <c r="G29" s="22" t="s">
        <v>24</v>
      </c>
      <c r="H29" s="30">
        <v>64990</v>
      </c>
      <c r="I29" s="28" t="s">
        <v>25</v>
      </c>
      <c r="J29" s="28" t="s">
        <v>25</v>
      </c>
      <c r="K29" s="29" t="s">
        <v>25</v>
      </c>
      <c r="L29" s="29" t="s">
        <v>25</v>
      </c>
      <c r="M29" s="29" t="s">
        <v>24</v>
      </c>
      <c r="N29" s="30" t="s">
        <v>24</v>
      </c>
      <c r="O29" s="30" t="s">
        <v>24</v>
      </c>
      <c r="Q29" s="30">
        <f t="shared" si="0"/>
        <v>64990</v>
      </c>
      <c r="R29" s="30">
        <f t="shared" si="1"/>
        <v>12348.1</v>
      </c>
      <c r="S29" s="30">
        <f t="shared" si="2"/>
        <v>77338.100000000006</v>
      </c>
      <c r="U29" s="30">
        <v>64990</v>
      </c>
      <c r="V29" s="30">
        <v>12348.1</v>
      </c>
      <c r="W29" s="30">
        <v>77338.100000000006</v>
      </c>
    </row>
    <row r="30" spans="1:23" ht="33" x14ac:dyDescent="0.3">
      <c r="A30" s="22">
        <v>28</v>
      </c>
      <c r="B30" s="23">
        <v>1043205794</v>
      </c>
      <c r="C30" s="24" t="s">
        <v>20</v>
      </c>
      <c r="D30" s="25" t="s">
        <v>70</v>
      </c>
      <c r="E30" s="26" t="s">
        <v>66</v>
      </c>
      <c r="F30" s="27" t="s">
        <v>71</v>
      </c>
      <c r="G30" s="22" t="s">
        <v>24</v>
      </c>
      <c r="H30" s="30">
        <v>64990</v>
      </c>
      <c r="I30" s="28" t="s">
        <v>25</v>
      </c>
      <c r="J30" s="28" t="s">
        <v>25</v>
      </c>
      <c r="K30" s="29" t="s">
        <v>25</v>
      </c>
      <c r="L30" s="29" t="s">
        <v>25</v>
      </c>
      <c r="M30" s="29" t="s">
        <v>24</v>
      </c>
      <c r="N30" s="30" t="s">
        <v>24</v>
      </c>
      <c r="O30" s="30" t="s">
        <v>24</v>
      </c>
      <c r="Q30" s="30">
        <f t="shared" si="0"/>
        <v>64990</v>
      </c>
      <c r="R30" s="30">
        <f t="shared" si="1"/>
        <v>12348.1</v>
      </c>
      <c r="S30" s="30">
        <f t="shared" si="2"/>
        <v>77338.100000000006</v>
      </c>
      <c r="U30" s="30">
        <v>64990</v>
      </c>
      <c r="V30" s="30">
        <v>12348.1</v>
      </c>
      <c r="W30" s="30">
        <v>77338.100000000006</v>
      </c>
    </row>
    <row r="31" spans="1:23" ht="33" x14ac:dyDescent="0.3">
      <c r="A31" s="22">
        <v>29</v>
      </c>
      <c r="B31" s="23">
        <v>1043205110</v>
      </c>
      <c r="C31" s="24" t="s">
        <v>20</v>
      </c>
      <c r="D31" s="25" t="s">
        <v>72</v>
      </c>
      <c r="E31" s="26" t="s">
        <v>66</v>
      </c>
      <c r="F31" s="27" t="s">
        <v>73</v>
      </c>
      <c r="G31" s="22" t="s">
        <v>24</v>
      </c>
      <c r="H31" s="30">
        <v>64990</v>
      </c>
      <c r="I31" s="28" t="s">
        <v>25</v>
      </c>
      <c r="J31" s="28" t="s">
        <v>25</v>
      </c>
      <c r="K31" s="29" t="s">
        <v>25</v>
      </c>
      <c r="L31" s="29" t="s">
        <v>25</v>
      </c>
      <c r="M31" s="29" t="s">
        <v>24</v>
      </c>
      <c r="N31" s="30" t="s">
        <v>37</v>
      </c>
      <c r="O31" s="30" t="s">
        <v>24</v>
      </c>
      <c r="Q31" s="30">
        <f t="shared" si="0"/>
        <v>64990</v>
      </c>
      <c r="R31" s="30">
        <f t="shared" si="1"/>
        <v>12348.1</v>
      </c>
      <c r="S31" s="30">
        <f t="shared" si="2"/>
        <v>77338.100000000006</v>
      </c>
      <c r="U31" s="30">
        <v>64990</v>
      </c>
      <c r="V31" s="30">
        <v>12348.1</v>
      </c>
      <c r="W31" s="30">
        <v>77338.100000000006</v>
      </c>
    </row>
    <row r="32" spans="1:23" ht="33" x14ac:dyDescent="0.3">
      <c r="A32" s="22">
        <v>30</v>
      </c>
      <c r="B32" s="23">
        <v>1043205795</v>
      </c>
      <c r="C32" s="24" t="s">
        <v>20</v>
      </c>
      <c r="D32" s="25" t="s">
        <v>74</v>
      </c>
      <c r="E32" s="26" t="s">
        <v>66</v>
      </c>
      <c r="F32" s="27" t="s">
        <v>75</v>
      </c>
      <c r="G32" s="22" t="s">
        <v>24</v>
      </c>
      <c r="H32" s="30">
        <v>64990</v>
      </c>
      <c r="I32" s="28" t="s">
        <v>25</v>
      </c>
      <c r="J32" s="28" t="s">
        <v>25</v>
      </c>
      <c r="K32" s="29" t="s">
        <v>25</v>
      </c>
      <c r="L32" s="29" t="s">
        <v>25</v>
      </c>
      <c r="M32" s="29" t="s">
        <v>24</v>
      </c>
      <c r="N32" s="30" t="s">
        <v>24</v>
      </c>
      <c r="O32" s="30" t="s">
        <v>24</v>
      </c>
      <c r="Q32" s="30">
        <f t="shared" si="0"/>
        <v>64990</v>
      </c>
      <c r="R32" s="30">
        <f t="shared" si="1"/>
        <v>12348.1</v>
      </c>
      <c r="S32" s="30">
        <f t="shared" si="2"/>
        <v>77338.100000000006</v>
      </c>
      <c r="U32" s="30">
        <v>64990</v>
      </c>
      <c r="V32" s="30">
        <v>12348.1</v>
      </c>
      <c r="W32" s="30">
        <v>77338.100000000006</v>
      </c>
    </row>
    <row r="33" spans="1:23" ht="33" x14ac:dyDescent="0.3">
      <c r="A33" s="22">
        <v>31</v>
      </c>
      <c r="B33" s="23">
        <v>1043205796</v>
      </c>
      <c r="C33" s="24" t="s">
        <v>20</v>
      </c>
      <c r="D33" s="25" t="s">
        <v>76</v>
      </c>
      <c r="E33" s="26" t="s">
        <v>66</v>
      </c>
      <c r="F33" s="27" t="s">
        <v>77</v>
      </c>
      <c r="G33" s="22" t="s">
        <v>24</v>
      </c>
      <c r="H33" s="30">
        <v>64990</v>
      </c>
      <c r="I33" s="28" t="s">
        <v>25</v>
      </c>
      <c r="J33" s="28" t="s">
        <v>25</v>
      </c>
      <c r="K33" s="29" t="s">
        <v>25</v>
      </c>
      <c r="L33" s="29" t="s">
        <v>25</v>
      </c>
      <c r="M33" s="29" t="s">
        <v>24</v>
      </c>
      <c r="N33" s="30" t="s">
        <v>24</v>
      </c>
      <c r="O33" s="30" t="s">
        <v>24</v>
      </c>
      <c r="Q33" s="30">
        <f t="shared" si="0"/>
        <v>64990</v>
      </c>
      <c r="R33" s="30">
        <f t="shared" si="1"/>
        <v>12348.1</v>
      </c>
      <c r="S33" s="30">
        <f t="shared" si="2"/>
        <v>77338.100000000006</v>
      </c>
      <c r="U33" s="30">
        <v>64990</v>
      </c>
      <c r="V33" s="30">
        <v>12348.1</v>
      </c>
      <c r="W33" s="30">
        <v>77338.100000000006</v>
      </c>
    </row>
    <row r="34" spans="1:23" ht="33" x14ac:dyDescent="0.3">
      <c r="A34" s="22">
        <v>32</v>
      </c>
      <c r="B34" s="23">
        <v>1043205116</v>
      </c>
      <c r="C34" s="24" t="s">
        <v>20</v>
      </c>
      <c r="D34" s="25" t="s">
        <v>78</v>
      </c>
      <c r="E34" s="26" t="s">
        <v>66</v>
      </c>
      <c r="F34" s="27" t="s">
        <v>79</v>
      </c>
      <c r="G34" s="22" t="s">
        <v>24</v>
      </c>
      <c r="H34" s="30">
        <v>64990</v>
      </c>
      <c r="I34" s="28" t="s">
        <v>25</v>
      </c>
      <c r="J34" s="28" t="s">
        <v>25</v>
      </c>
      <c r="K34" s="29" t="s">
        <v>25</v>
      </c>
      <c r="L34" s="29" t="s">
        <v>25</v>
      </c>
      <c r="M34" s="29" t="s">
        <v>24</v>
      </c>
      <c r="N34" s="30" t="s">
        <v>37</v>
      </c>
      <c r="O34" s="30" t="s">
        <v>24</v>
      </c>
      <c r="Q34" s="30">
        <f t="shared" si="0"/>
        <v>64990</v>
      </c>
      <c r="R34" s="30">
        <f t="shared" si="1"/>
        <v>12348.1</v>
      </c>
      <c r="S34" s="30">
        <f t="shared" si="2"/>
        <v>77338.100000000006</v>
      </c>
      <c r="U34" s="30">
        <v>64990</v>
      </c>
      <c r="V34" s="30">
        <v>12348.1</v>
      </c>
      <c r="W34" s="30">
        <v>77338.100000000006</v>
      </c>
    </row>
    <row r="35" spans="1:23" ht="33" x14ac:dyDescent="0.3">
      <c r="A35" s="22">
        <v>33</v>
      </c>
      <c r="B35" s="23">
        <v>1043205120</v>
      </c>
      <c r="C35" s="24" t="s">
        <v>20</v>
      </c>
      <c r="D35" s="25" t="s">
        <v>80</v>
      </c>
      <c r="E35" s="26" t="s">
        <v>66</v>
      </c>
      <c r="F35" s="27" t="s">
        <v>81</v>
      </c>
      <c r="G35" s="22" t="s">
        <v>24</v>
      </c>
      <c r="H35" s="30">
        <v>64990</v>
      </c>
      <c r="I35" s="28" t="s">
        <v>25</v>
      </c>
      <c r="J35" s="28" t="s">
        <v>25</v>
      </c>
      <c r="K35" s="29" t="s">
        <v>25</v>
      </c>
      <c r="L35" s="29" t="s">
        <v>25</v>
      </c>
      <c r="M35" s="29" t="s">
        <v>24</v>
      </c>
      <c r="N35" s="30" t="s">
        <v>37</v>
      </c>
      <c r="O35" s="30" t="s">
        <v>24</v>
      </c>
      <c r="Q35" s="30">
        <f t="shared" si="0"/>
        <v>64990</v>
      </c>
      <c r="R35" s="30">
        <f t="shared" si="1"/>
        <v>12348.1</v>
      </c>
      <c r="S35" s="30">
        <f t="shared" si="2"/>
        <v>77338.100000000006</v>
      </c>
      <c r="U35" s="30">
        <v>64990</v>
      </c>
      <c r="V35" s="30">
        <v>12348.1</v>
      </c>
      <c r="W35" s="30">
        <v>77338.100000000006</v>
      </c>
    </row>
    <row r="36" spans="1:23" ht="33" x14ac:dyDescent="0.3">
      <c r="A36" s="22">
        <v>34</v>
      </c>
      <c r="B36" s="23">
        <v>1043205797</v>
      </c>
      <c r="C36" s="24" t="s">
        <v>20</v>
      </c>
      <c r="D36" s="25" t="s">
        <v>82</v>
      </c>
      <c r="E36" s="26" t="s">
        <v>66</v>
      </c>
      <c r="F36" s="27" t="s">
        <v>83</v>
      </c>
      <c r="G36" s="22" t="s">
        <v>24</v>
      </c>
      <c r="H36" s="30">
        <v>64990</v>
      </c>
      <c r="I36" s="28" t="s">
        <v>25</v>
      </c>
      <c r="J36" s="28" t="s">
        <v>25</v>
      </c>
      <c r="K36" s="29" t="s">
        <v>25</v>
      </c>
      <c r="L36" s="29" t="s">
        <v>25</v>
      </c>
      <c r="M36" s="29" t="s">
        <v>24</v>
      </c>
      <c r="N36" s="30" t="s">
        <v>24</v>
      </c>
      <c r="O36" s="30" t="s">
        <v>24</v>
      </c>
      <c r="Q36" s="30">
        <f t="shared" si="0"/>
        <v>64990</v>
      </c>
      <c r="R36" s="30">
        <f t="shared" si="1"/>
        <v>12348.1</v>
      </c>
      <c r="S36" s="30">
        <f t="shared" si="2"/>
        <v>77338.100000000006</v>
      </c>
      <c r="U36" s="30">
        <v>64990</v>
      </c>
      <c r="V36" s="30">
        <v>12348.1</v>
      </c>
      <c r="W36" s="30">
        <v>77338.100000000006</v>
      </c>
    </row>
    <row r="37" spans="1:23" x14ac:dyDescent="0.3">
      <c r="A37" s="22">
        <v>35</v>
      </c>
      <c r="B37" s="23">
        <v>1128599655</v>
      </c>
      <c r="C37" s="24" t="s">
        <v>20</v>
      </c>
      <c r="D37" s="25" t="s">
        <v>84</v>
      </c>
      <c r="E37" s="26" t="s">
        <v>22</v>
      </c>
      <c r="F37" s="27" t="s">
        <v>84</v>
      </c>
      <c r="G37" s="28">
        <v>3400</v>
      </c>
      <c r="H37" s="28">
        <v>3450</v>
      </c>
      <c r="I37" s="28">
        <v>2500</v>
      </c>
      <c r="J37" s="28" t="s">
        <v>25</v>
      </c>
      <c r="K37" s="29" t="s">
        <v>25</v>
      </c>
      <c r="L37" s="29" t="s">
        <v>25</v>
      </c>
      <c r="M37" s="29" t="s">
        <v>24</v>
      </c>
      <c r="N37" s="30" t="s">
        <v>24</v>
      </c>
      <c r="O37" s="30" t="s">
        <v>24</v>
      </c>
      <c r="Q37" s="30">
        <f t="shared" si="0"/>
        <v>2500</v>
      </c>
      <c r="R37" s="30">
        <f t="shared" si="1"/>
        <v>475</v>
      </c>
      <c r="S37" s="30">
        <f t="shared" si="2"/>
        <v>2975</v>
      </c>
      <c r="U37" s="30">
        <v>3116.6666666666665</v>
      </c>
      <c r="V37" s="30">
        <v>592.16666666666663</v>
      </c>
      <c r="W37" s="30">
        <v>3708.833333333333</v>
      </c>
    </row>
    <row r="38" spans="1:23" x14ac:dyDescent="0.3">
      <c r="A38" s="22">
        <v>36</v>
      </c>
      <c r="B38" s="23">
        <v>1128599656</v>
      </c>
      <c r="C38" s="24" t="s">
        <v>20</v>
      </c>
      <c r="D38" s="25" t="s">
        <v>85</v>
      </c>
      <c r="E38" s="26" t="s">
        <v>22</v>
      </c>
      <c r="F38" s="27" t="s">
        <v>85</v>
      </c>
      <c r="G38" s="28">
        <v>4500</v>
      </c>
      <c r="H38" s="28">
        <v>4000</v>
      </c>
      <c r="I38" s="28">
        <v>3100</v>
      </c>
      <c r="J38" s="28" t="s">
        <v>25</v>
      </c>
      <c r="K38" s="29" t="s">
        <v>25</v>
      </c>
      <c r="L38" s="29" t="s">
        <v>25</v>
      </c>
      <c r="M38" s="29" t="s">
        <v>24</v>
      </c>
      <c r="N38" s="30" t="s">
        <v>24</v>
      </c>
      <c r="O38" s="30" t="s">
        <v>24</v>
      </c>
      <c r="Q38" s="30">
        <f t="shared" si="0"/>
        <v>3100</v>
      </c>
      <c r="R38" s="30">
        <f t="shared" si="1"/>
        <v>589</v>
      </c>
      <c r="S38" s="30">
        <f t="shared" si="2"/>
        <v>3689</v>
      </c>
      <c r="U38" s="30">
        <v>3866.6666666666665</v>
      </c>
      <c r="V38" s="30">
        <v>734.66666666666652</v>
      </c>
      <c r="W38" s="30">
        <v>4601.333333333333</v>
      </c>
    </row>
    <row r="39" spans="1:23" ht="33" x14ac:dyDescent="0.3">
      <c r="A39" s="22">
        <v>37</v>
      </c>
      <c r="B39" s="23">
        <v>1043205063</v>
      </c>
      <c r="C39" s="24" t="s">
        <v>20</v>
      </c>
      <c r="D39" s="25" t="s">
        <v>86</v>
      </c>
      <c r="E39" s="26" t="s">
        <v>22</v>
      </c>
      <c r="F39" s="27" t="s">
        <v>86</v>
      </c>
      <c r="G39" s="28">
        <v>57900</v>
      </c>
      <c r="H39" s="22" t="s">
        <v>24</v>
      </c>
      <c r="I39" s="28" t="s">
        <v>25</v>
      </c>
      <c r="J39" s="28">
        <v>121900</v>
      </c>
      <c r="K39" s="29" t="s">
        <v>25</v>
      </c>
      <c r="L39" s="29" t="s">
        <v>25</v>
      </c>
      <c r="M39" s="29" t="s">
        <v>24</v>
      </c>
      <c r="N39" s="30" t="s">
        <v>24</v>
      </c>
      <c r="O39" s="30" t="s">
        <v>24</v>
      </c>
      <c r="Q39" s="30">
        <f t="shared" si="0"/>
        <v>57900</v>
      </c>
      <c r="R39" s="30">
        <f t="shared" si="1"/>
        <v>11001</v>
      </c>
      <c r="S39" s="30">
        <f t="shared" si="2"/>
        <v>68901</v>
      </c>
      <c r="U39" s="30">
        <v>89900</v>
      </c>
      <c r="V39" s="30">
        <v>17081</v>
      </c>
      <c r="W39" s="30">
        <v>106981</v>
      </c>
    </row>
    <row r="40" spans="1:23" ht="33" x14ac:dyDescent="0.3">
      <c r="A40" s="22">
        <v>38</v>
      </c>
      <c r="B40" s="23">
        <v>1043205086</v>
      </c>
      <c r="C40" s="24" t="s">
        <v>20</v>
      </c>
      <c r="D40" s="25" t="s">
        <v>87</v>
      </c>
      <c r="E40" s="26" t="s">
        <v>22</v>
      </c>
      <c r="F40" s="27" t="s">
        <v>88</v>
      </c>
      <c r="G40" s="30">
        <v>59900</v>
      </c>
      <c r="H40" s="22" t="s">
        <v>24</v>
      </c>
      <c r="I40" s="28" t="s">
        <v>25</v>
      </c>
      <c r="J40" s="28" t="s">
        <v>25</v>
      </c>
      <c r="K40" s="29" t="s">
        <v>25</v>
      </c>
      <c r="L40" s="29" t="s">
        <v>25</v>
      </c>
      <c r="M40" s="29" t="s">
        <v>24</v>
      </c>
      <c r="N40" s="30" t="s">
        <v>24</v>
      </c>
      <c r="O40" s="30" t="s">
        <v>24</v>
      </c>
      <c r="Q40" s="30">
        <f t="shared" si="0"/>
        <v>59900</v>
      </c>
      <c r="R40" s="30">
        <f t="shared" si="1"/>
        <v>11381</v>
      </c>
      <c r="S40" s="30">
        <f t="shared" si="2"/>
        <v>71281</v>
      </c>
      <c r="U40" s="30">
        <v>59900</v>
      </c>
      <c r="V40" s="30">
        <v>11381</v>
      </c>
      <c r="W40" s="30">
        <v>71281</v>
      </c>
    </row>
    <row r="41" spans="1:23" x14ac:dyDescent="0.3">
      <c r="A41" s="22">
        <v>39</v>
      </c>
      <c r="B41" s="23">
        <v>1041099122</v>
      </c>
      <c r="C41" s="24" t="s">
        <v>20</v>
      </c>
      <c r="D41" s="25" t="s">
        <v>89</v>
      </c>
      <c r="E41" s="26" t="s">
        <v>90</v>
      </c>
      <c r="F41" s="27" t="s">
        <v>89</v>
      </c>
      <c r="G41" s="28">
        <v>69900</v>
      </c>
      <c r="H41" s="28">
        <v>68000</v>
      </c>
      <c r="I41" s="28">
        <v>28200</v>
      </c>
      <c r="J41" s="28" t="s">
        <v>25</v>
      </c>
      <c r="K41" s="29" t="s">
        <v>25</v>
      </c>
      <c r="L41" s="29" t="s">
        <v>25</v>
      </c>
      <c r="M41" s="29" t="s">
        <v>24</v>
      </c>
      <c r="N41" s="30">
        <v>20530</v>
      </c>
      <c r="O41" s="30" t="s">
        <v>91</v>
      </c>
      <c r="Q41" s="30">
        <f t="shared" si="0"/>
        <v>20530</v>
      </c>
      <c r="R41" s="30">
        <f t="shared" si="1"/>
        <v>3900.7</v>
      </c>
      <c r="S41" s="30">
        <f t="shared" si="2"/>
        <v>24430.7</v>
      </c>
      <c r="U41" s="30">
        <v>46657.5</v>
      </c>
      <c r="V41" s="30">
        <v>8864.9249999999993</v>
      </c>
      <c r="W41" s="30">
        <v>55522.425000000003</v>
      </c>
    </row>
    <row r="42" spans="1:23" x14ac:dyDescent="0.3">
      <c r="A42" s="22">
        <v>40</v>
      </c>
      <c r="B42" s="23">
        <v>1043205537</v>
      </c>
      <c r="C42" s="24" t="s">
        <v>20</v>
      </c>
      <c r="D42" s="25" t="s">
        <v>92</v>
      </c>
      <c r="E42" s="26" t="s">
        <v>22</v>
      </c>
      <c r="F42" s="27" t="s">
        <v>93</v>
      </c>
      <c r="G42" s="28">
        <v>40900</v>
      </c>
      <c r="H42" s="28">
        <v>68000</v>
      </c>
      <c r="I42" s="28">
        <v>94900</v>
      </c>
      <c r="J42" s="28" t="s">
        <v>25</v>
      </c>
      <c r="K42" s="29" t="s">
        <v>25</v>
      </c>
      <c r="L42" s="29" t="s">
        <v>25</v>
      </c>
      <c r="M42" s="29">
        <v>96849</v>
      </c>
      <c r="N42" s="30" t="s">
        <v>24</v>
      </c>
      <c r="O42" s="30" t="s">
        <v>24</v>
      </c>
      <c r="Q42" s="30">
        <f t="shared" si="0"/>
        <v>40900</v>
      </c>
      <c r="R42" s="30">
        <f t="shared" si="1"/>
        <v>7771</v>
      </c>
      <c r="S42" s="30">
        <f t="shared" si="2"/>
        <v>48671</v>
      </c>
      <c r="U42" s="30">
        <v>75162.25</v>
      </c>
      <c r="V42" s="30">
        <v>14280.827499999999</v>
      </c>
      <c r="W42" s="30">
        <v>89443.077499999999</v>
      </c>
    </row>
    <row r="43" spans="1:23" x14ac:dyDescent="0.3">
      <c r="A43" s="22">
        <v>41</v>
      </c>
      <c r="B43" s="23">
        <v>104106324</v>
      </c>
      <c r="C43" s="24" t="s">
        <v>20</v>
      </c>
      <c r="D43" s="25" t="s">
        <v>94</v>
      </c>
      <c r="E43" s="26" t="s">
        <v>22</v>
      </c>
      <c r="F43" s="27" t="s">
        <v>94</v>
      </c>
      <c r="G43" s="28" t="s">
        <v>24</v>
      </c>
      <c r="H43" s="28">
        <v>7400</v>
      </c>
      <c r="I43" s="28">
        <v>4958</v>
      </c>
      <c r="J43" s="28" t="s">
        <v>25</v>
      </c>
      <c r="K43" s="29" t="s">
        <v>25</v>
      </c>
      <c r="L43" s="29" t="s">
        <v>25</v>
      </c>
      <c r="M43" s="29" t="s">
        <v>24</v>
      </c>
      <c r="N43" s="30" t="s">
        <v>24</v>
      </c>
      <c r="O43" s="30" t="s">
        <v>24</v>
      </c>
      <c r="Q43" s="30">
        <f t="shared" si="0"/>
        <v>4958</v>
      </c>
      <c r="R43" s="30">
        <f t="shared" si="1"/>
        <v>942.02</v>
      </c>
      <c r="S43" s="30">
        <f t="shared" si="2"/>
        <v>5900.02</v>
      </c>
      <c r="U43" s="30">
        <v>6179</v>
      </c>
      <c r="V43" s="30">
        <v>1174.01</v>
      </c>
      <c r="W43" s="30">
        <v>7353.01</v>
      </c>
    </row>
    <row r="44" spans="1:23" x14ac:dyDescent="0.3">
      <c r="A44" s="22">
        <v>42</v>
      </c>
      <c r="B44" s="23">
        <v>104106325</v>
      </c>
      <c r="C44" s="24" t="s">
        <v>20</v>
      </c>
      <c r="D44" s="25" t="s">
        <v>95</v>
      </c>
      <c r="E44" s="26" t="s">
        <v>22</v>
      </c>
      <c r="F44" s="27" t="s">
        <v>95</v>
      </c>
      <c r="G44" s="28" t="s">
        <v>24</v>
      </c>
      <c r="H44" s="28" t="s">
        <v>24</v>
      </c>
      <c r="I44" s="28">
        <v>4958</v>
      </c>
      <c r="J44" s="28" t="s">
        <v>25</v>
      </c>
      <c r="K44" s="29" t="s">
        <v>25</v>
      </c>
      <c r="L44" s="29" t="s">
        <v>25</v>
      </c>
      <c r="M44" s="29" t="s">
        <v>24</v>
      </c>
      <c r="N44" s="30" t="s">
        <v>24</v>
      </c>
      <c r="O44" s="30" t="s">
        <v>24</v>
      </c>
      <c r="Q44" s="30">
        <f t="shared" si="0"/>
        <v>4958</v>
      </c>
      <c r="R44" s="30">
        <f t="shared" si="1"/>
        <v>942.02</v>
      </c>
      <c r="S44" s="30">
        <f t="shared" si="2"/>
        <v>5900.02</v>
      </c>
      <c r="U44" s="30">
        <v>4958</v>
      </c>
      <c r="V44" s="30">
        <v>942.02</v>
      </c>
      <c r="W44" s="30">
        <v>5900.02</v>
      </c>
    </row>
    <row r="45" spans="1:23" x14ac:dyDescent="0.3">
      <c r="A45" s="22">
        <v>43</v>
      </c>
      <c r="B45" s="23">
        <v>1041063625</v>
      </c>
      <c r="C45" s="24" t="s">
        <v>20</v>
      </c>
      <c r="D45" s="25" t="s">
        <v>96</v>
      </c>
      <c r="E45" s="26" t="s">
        <v>97</v>
      </c>
      <c r="F45" s="27" t="s">
        <v>96</v>
      </c>
      <c r="G45" s="28">
        <v>3900</v>
      </c>
      <c r="H45" s="28" t="s">
        <v>98</v>
      </c>
      <c r="I45" s="28">
        <v>4286</v>
      </c>
      <c r="J45" s="28" t="s">
        <v>25</v>
      </c>
      <c r="K45" s="29" t="s">
        <v>25</v>
      </c>
      <c r="L45" s="29">
        <v>6800</v>
      </c>
      <c r="M45" s="29" t="s">
        <v>24</v>
      </c>
      <c r="N45" s="30">
        <v>4241</v>
      </c>
      <c r="O45" s="30">
        <v>4854</v>
      </c>
      <c r="Q45" s="30">
        <f t="shared" si="0"/>
        <v>3900</v>
      </c>
      <c r="R45" s="30">
        <f t="shared" si="1"/>
        <v>741</v>
      </c>
      <c r="S45" s="30">
        <f t="shared" si="2"/>
        <v>4641</v>
      </c>
      <c r="U45" s="30">
        <v>4816.2</v>
      </c>
      <c r="V45" s="30">
        <v>915.07799999999997</v>
      </c>
      <c r="W45" s="30">
        <v>5731.2780000000002</v>
      </c>
    </row>
    <row r="46" spans="1:23" x14ac:dyDescent="0.3">
      <c r="A46" s="22">
        <v>44</v>
      </c>
      <c r="B46" s="23">
        <v>1041063628</v>
      </c>
      <c r="C46" s="24" t="s">
        <v>20</v>
      </c>
      <c r="D46" s="25" t="s">
        <v>99</v>
      </c>
      <c r="E46" s="26" t="s">
        <v>97</v>
      </c>
      <c r="F46" s="27" t="s">
        <v>99</v>
      </c>
      <c r="G46" s="28">
        <v>4900</v>
      </c>
      <c r="H46" s="28" t="s">
        <v>98</v>
      </c>
      <c r="I46" s="28">
        <v>4286</v>
      </c>
      <c r="J46" s="28" t="s">
        <v>25</v>
      </c>
      <c r="K46" s="29" t="s">
        <v>25</v>
      </c>
      <c r="L46" s="29">
        <v>6800</v>
      </c>
      <c r="M46" s="29" t="s">
        <v>24</v>
      </c>
      <c r="N46" s="30" t="s">
        <v>24</v>
      </c>
      <c r="O46" s="30" t="s">
        <v>37</v>
      </c>
      <c r="Q46" s="30">
        <f t="shared" si="0"/>
        <v>4286</v>
      </c>
      <c r="R46" s="30">
        <f t="shared" si="1"/>
        <v>814.34</v>
      </c>
      <c r="S46" s="30">
        <f t="shared" si="2"/>
        <v>5100.34</v>
      </c>
      <c r="U46" s="30">
        <v>5328.666666666667</v>
      </c>
      <c r="V46" s="30">
        <v>1012.4466666666667</v>
      </c>
      <c r="W46" s="30">
        <v>6341.1133333333337</v>
      </c>
    </row>
    <row r="47" spans="1:23" x14ac:dyDescent="0.3">
      <c r="A47" s="22">
        <v>45</v>
      </c>
      <c r="B47" s="23">
        <v>1041063630</v>
      </c>
      <c r="C47" s="24" t="s">
        <v>20</v>
      </c>
      <c r="D47" s="25" t="s">
        <v>100</v>
      </c>
      <c r="E47" s="26" t="s">
        <v>97</v>
      </c>
      <c r="F47" s="27" t="s">
        <v>100</v>
      </c>
      <c r="G47" s="28">
        <v>3900</v>
      </c>
      <c r="H47" s="28" t="s">
        <v>98</v>
      </c>
      <c r="I47" s="28">
        <v>5210</v>
      </c>
      <c r="J47" s="28" t="s">
        <v>25</v>
      </c>
      <c r="K47" s="29" t="s">
        <v>25</v>
      </c>
      <c r="L47" s="29">
        <v>6800</v>
      </c>
      <c r="M47" s="29" t="s">
        <v>24</v>
      </c>
      <c r="N47" s="30" t="s">
        <v>24</v>
      </c>
      <c r="O47" s="30" t="s">
        <v>37</v>
      </c>
      <c r="Q47" s="30">
        <f t="shared" si="0"/>
        <v>3900</v>
      </c>
      <c r="R47" s="30">
        <f t="shared" si="1"/>
        <v>741</v>
      </c>
      <c r="S47" s="30">
        <f t="shared" si="2"/>
        <v>4641</v>
      </c>
      <c r="U47" s="30">
        <v>5303.333333333333</v>
      </c>
      <c r="V47" s="30">
        <v>1007.6333333333333</v>
      </c>
      <c r="W47" s="30">
        <v>6310.9666666666662</v>
      </c>
    </row>
    <row r="48" spans="1:23" x14ac:dyDescent="0.3">
      <c r="A48" s="22">
        <v>46</v>
      </c>
      <c r="B48" s="23">
        <v>1041063629</v>
      </c>
      <c r="C48" s="24" t="s">
        <v>20</v>
      </c>
      <c r="D48" s="25" t="s">
        <v>101</v>
      </c>
      <c r="E48" s="26" t="s">
        <v>97</v>
      </c>
      <c r="F48" s="27" t="s">
        <v>101</v>
      </c>
      <c r="G48" s="28">
        <v>4900</v>
      </c>
      <c r="H48" s="28" t="s">
        <v>98</v>
      </c>
      <c r="I48" s="28">
        <v>4118</v>
      </c>
      <c r="J48" s="28" t="s">
        <v>25</v>
      </c>
      <c r="K48" s="29" t="s">
        <v>25</v>
      </c>
      <c r="L48" s="29" t="s">
        <v>25</v>
      </c>
      <c r="M48" s="29" t="s">
        <v>24</v>
      </c>
      <c r="N48" s="30" t="s">
        <v>24</v>
      </c>
      <c r="O48" s="30" t="s">
        <v>37</v>
      </c>
      <c r="Q48" s="30">
        <f t="shared" si="0"/>
        <v>4118</v>
      </c>
      <c r="R48" s="30">
        <f t="shared" si="1"/>
        <v>782.42</v>
      </c>
      <c r="S48" s="30">
        <f t="shared" si="2"/>
        <v>4900.42</v>
      </c>
      <c r="U48" s="30">
        <v>4509</v>
      </c>
      <c r="V48" s="30">
        <v>856.71</v>
      </c>
      <c r="W48" s="30">
        <v>5365.71</v>
      </c>
    </row>
    <row r="49" spans="1:48" x14ac:dyDescent="0.3">
      <c r="A49" s="22">
        <v>47</v>
      </c>
      <c r="B49" s="23">
        <v>1041063612</v>
      </c>
      <c r="C49" s="24" t="s">
        <v>20</v>
      </c>
      <c r="D49" s="25" t="s">
        <v>102</v>
      </c>
      <c r="E49" s="26" t="s">
        <v>97</v>
      </c>
      <c r="F49" s="27" t="s">
        <v>102</v>
      </c>
      <c r="G49" s="28">
        <v>4200</v>
      </c>
      <c r="H49" s="28" t="s">
        <v>24</v>
      </c>
      <c r="I49" s="28">
        <v>4118</v>
      </c>
      <c r="J49" s="28">
        <v>4900</v>
      </c>
      <c r="K49" s="29" t="s">
        <v>25</v>
      </c>
      <c r="L49" s="29">
        <v>4100</v>
      </c>
      <c r="M49" s="29" t="s">
        <v>24</v>
      </c>
      <c r="N49" s="30" t="s">
        <v>24</v>
      </c>
      <c r="O49" s="30" t="s">
        <v>37</v>
      </c>
      <c r="Q49" s="30">
        <f t="shared" si="0"/>
        <v>4100</v>
      </c>
      <c r="R49" s="30">
        <f t="shared" si="1"/>
        <v>779</v>
      </c>
      <c r="S49" s="30">
        <f t="shared" si="2"/>
        <v>4879</v>
      </c>
      <c r="U49" s="30">
        <v>4329.5</v>
      </c>
      <c r="V49" s="30">
        <v>822.60500000000002</v>
      </c>
      <c r="W49" s="30">
        <v>5152.1049999999996</v>
      </c>
    </row>
    <row r="50" spans="1:48" x14ac:dyDescent="0.3">
      <c r="A50" s="22">
        <v>48</v>
      </c>
      <c r="B50" s="23">
        <v>1041063614</v>
      </c>
      <c r="C50" s="24" t="s">
        <v>20</v>
      </c>
      <c r="D50" s="25" t="s">
        <v>103</v>
      </c>
      <c r="E50" s="26" t="s">
        <v>97</v>
      </c>
      <c r="F50" s="27" t="s">
        <v>103</v>
      </c>
      <c r="G50" s="28">
        <v>3900</v>
      </c>
      <c r="H50" s="28" t="s">
        <v>104</v>
      </c>
      <c r="I50" s="28">
        <v>4328</v>
      </c>
      <c r="J50" s="28">
        <v>3900</v>
      </c>
      <c r="K50" s="29" t="s">
        <v>25</v>
      </c>
      <c r="L50" s="29">
        <v>3500</v>
      </c>
      <c r="M50" s="29" t="s">
        <v>24</v>
      </c>
      <c r="N50" s="30">
        <v>2827</v>
      </c>
      <c r="O50" s="30" t="s">
        <v>37</v>
      </c>
      <c r="Q50" s="30">
        <f t="shared" si="0"/>
        <v>2827</v>
      </c>
      <c r="R50" s="30">
        <f t="shared" si="1"/>
        <v>537.13</v>
      </c>
      <c r="S50" s="30">
        <f t="shared" si="2"/>
        <v>3364.13</v>
      </c>
      <c r="U50" s="30">
        <v>3691</v>
      </c>
      <c r="V50" s="30">
        <v>701.29</v>
      </c>
      <c r="W50" s="30">
        <v>4392.29</v>
      </c>
    </row>
    <row r="51" spans="1:48" x14ac:dyDescent="0.3">
      <c r="A51" s="22">
        <v>49</v>
      </c>
      <c r="B51" s="23">
        <v>1041063617</v>
      </c>
      <c r="C51" s="24" t="s">
        <v>20</v>
      </c>
      <c r="D51" s="25" t="s">
        <v>105</v>
      </c>
      <c r="E51" s="26" t="s">
        <v>97</v>
      </c>
      <c r="F51" s="27" t="s">
        <v>105</v>
      </c>
      <c r="G51" s="28">
        <v>3900</v>
      </c>
      <c r="H51" s="28" t="s">
        <v>104</v>
      </c>
      <c r="I51" s="28">
        <v>4706</v>
      </c>
      <c r="J51" s="28">
        <v>3900</v>
      </c>
      <c r="K51" s="29" t="s">
        <v>25</v>
      </c>
      <c r="L51" s="29">
        <v>3500</v>
      </c>
      <c r="M51" s="29" t="s">
        <v>24</v>
      </c>
      <c r="N51" s="30">
        <v>2827</v>
      </c>
      <c r="O51" s="30" t="s">
        <v>37</v>
      </c>
      <c r="Q51" s="30">
        <f t="shared" si="0"/>
        <v>2827</v>
      </c>
      <c r="R51" s="30">
        <f t="shared" si="1"/>
        <v>537.13</v>
      </c>
      <c r="S51" s="30">
        <f t="shared" si="2"/>
        <v>3364.13</v>
      </c>
      <c r="U51" s="30">
        <v>3766.6</v>
      </c>
      <c r="V51" s="30">
        <v>715.654</v>
      </c>
      <c r="W51" s="30">
        <v>4482.2539999999999</v>
      </c>
    </row>
    <row r="52" spans="1:48" x14ac:dyDescent="0.3">
      <c r="A52" s="22">
        <v>50</v>
      </c>
      <c r="B52" s="23">
        <v>1041063619</v>
      </c>
      <c r="C52" s="24" t="s">
        <v>20</v>
      </c>
      <c r="D52" s="25" t="s">
        <v>106</v>
      </c>
      <c r="E52" s="26" t="s">
        <v>97</v>
      </c>
      <c r="F52" s="27" t="s">
        <v>106</v>
      </c>
      <c r="G52" s="28">
        <v>3900</v>
      </c>
      <c r="H52" s="28" t="s">
        <v>24</v>
      </c>
      <c r="I52" s="28">
        <v>4370</v>
      </c>
      <c r="J52" s="28">
        <v>8400</v>
      </c>
      <c r="K52" s="29" t="s">
        <v>25</v>
      </c>
      <c r="L52" s="29" t="s">
        <v>25</v>
      </c>
      <c r="M52" s="29" t="s">
        <v>24</v>
      </c>
      <c r="N52" s="30" t="s">
        <v>24</v>
      </c>
      <c r="O52" s="30" t="s">
        <v>37</v>
      </c>
      <c r="Q52" s="30">
        <f t="shared" si="0"/>
        <v>3900</v>
      </c>
      <c r="R52" s="30">
        <f t="shared" si="1"/>
        <v>741</v>
      </c>
      <c r="S52" s="30">
        <f t="shared" si="2"/>
        <v>4641</v>
      </c>
      <c r="U52" s="30">
        <v>5556.666666666667</v>
      </c>
      <c r="V52" s="30">
        <v>1055.7666666666667</v>
      </c>
      <c r="W52" s="30">
        <v>6612.4333333333334</v>
      </c>
    </row>
    <row r="53" spans="1:48" x14ac:dyDescent="0.3">
      <c r="A53" s="22">
        <v>51</v>
      </c>
      <c r="B53" s="23">
        <v>1041063620</v>
      </c>
      <c r="C53" s="24" t="s">
        <v>20</v>
      </c>
      <c r="D53" s="25" t="s">
        <v>107</v>
      </c>
      <c r="E53" s="26" t="s">
        <v>97</v>
      </c>
      <c r="F53" s="27" t="s">
        <v>107</v>
      </c>
      <c r="G53" s="28">
        <v>3900</v>
      </c>
      <c r="H53" s="28" t="s">
        <v>104</v>
      </c>
      <c r="I53" s="28">
        <v>5210</v>
      </c>
      <c r="J53" s="28" t="s">
        <v>25</v>
      </c>
      <c r="K53" s="29" t="s">
        <v>25</v>
      </c>
      <c r="L53" s="29" t="s">
        <v>25</v>
      </c>
      <c r="M53" s="29" t="s">
        <v>24</v>
      </c>
      <c r="N53" s="30">
        <v>2827</v>
      </c>
      <c r="O53" s="30" t="s">
        <v>37</v>
      </c>
      <c r="Q53" s="30">
        <f t="shared" si="0"/>
        <v>2827</v>
      </c>
      <c r="R53" s="30">
        <f t="shared" si="1"/>
        <v>537.13</v>
      </c>
      <c r="S53" s="30">
        <f t="shared" si="2"/>
        <v>3364.13</v>
      </c>
      <c r="U53" s="30">
        <v>3979</v>
      </c>
      <c r="V53" s="30">
        <v>756.01</v>
      </c>
      <c r="W53" s="30">
        <v>4735.01</v>
      </c>
    </row>
    <row r="54" spans="1:48" x14ac:dyDescent="0.3">
      <c r="A54" s="22">
        <v>52</v>
      </c>
      <c r="B54" s="23">
        <v>1041063623</v>
      </c>
      <c r="C54" s="24" t="s">
        <v>20</v>
      </c>
      <c r="D54" s="25" t="s">
        <v>108</v>
      </c>
      <c r="E54" s="26" t="s">
        <v>97</v>
      </c>
      <c r="F54" s="27" t="s">
        <v>108</v>
      </c>
      <c r="G54" s="28">
        <v>4900</v>
      </c>
      <c r="H54" s="28" t="s">
        <v>104</v>
      </c>
      <c r="I54" s="28">
        <v>4118</v>
      </c>
      <c r="J54" s="28" t="s">
        <v>25</v>
      </c>
      <c r="K54" s="29" t="s">
        <v>25</v>
      </c>
      <c r="L54" s="29" t="s">
        <v>25</v>
      </c>
      <c r="M54" s="29" t="s">
        <v>24</v>
      </c>
      <c r="N54" s="30" t="s">
        <v>24</v>
      </c>
      <c r="O54" s="30" t="s">
        <v>37</v>
      </c>
      <c r="Q54" s="30">
        <f t="shared" si="0"/>
        <v>4118</v>
      </c>
      <c r="R54" s="30">
        <f t="shared" si="1"/>
        <v>782.42</v>
      </c>
      <c r="S54" s="30">
        <f t="shared" si="2"/>
        <v>4900.42</v>
      </c>
      <c r="U54" s="30">
        <v>4509</v>
      </c>
      <c r="V54" s="30">
        <v>856.71</v>
      </c>
      <c r="W54" s="30">
        <v>5365.71</v>
      </c>
    </row>
    <row r="55" spans="1:48" x14ac:dyDescent="0.3">
      <c r="A55" s="22">
        <v>53</v>
      </c>
      <c r="B55" s="23">
        <v>1041063606</v>
      </c>
      <c r="C55" s="24" t="s">
        <v>20</v>
      </c>
      <c r="D55" s="25" t="s">
        <v>109</v>
      </c>
      <c r="E55" s="26" t="s">
        <v>97</v>
      </c>
      <c r="F55" s="27" t="s">
        <v>109</v>
      </c>
      <c r="G55" s="28">
        <v>4900</v>
      </c>
      <c r="H55" s="28" t="s">
        <v>24</v>
      </c>
      <c r="I55" s="28">
        <v>4118</v>
      </c>
      <c r="J55" s="28">
        <v>4900</v>
      </c>
      <c r="K55" s="29" t="s">
        <v>25</v>
      </c>
      <c r="L55" s="29">
        <v>6300</v>
      </c>
      <c r="M55" s="29" t="s">
        <v>24</v>
      </c>
      <c r="N55" s="30" t="s">
        <v>24</v>
      </c>
      <c r="O55" s="30">
        <v>4898</v>
      </c>
      <c r="Q55" s="30">
        <f t="shared" si="0"/>
        <v>4118</v>
      </c>
      <c r="R55" s="30">
        <f t="shared" si="1"/>
        <v>782.42</v>
      </c>
      <c r="S55" s="30">
        <f t="shared" si="2"/>
        <v>4900.42</v>
      </c>
      <c r="U55" s="30">
        <v>5023.2</v>
      </c>
      <c r="V55" s="30">
        <v>954.40800000000002</v>
      </c>
      <c r="W55" s="30">
        <v>5977.6080000000002</v>
      </c>
    </row>
    <row r="56" spans="1:48" x14ac:dyDescent="0.3">
      <c r="A56" s="22">
        <v>54</v>
      </c>
      <c r="B56" s="23">
        <v>1041063609</v>
      </c>
      <c r="C56" s="24" t="s">
        <v>20</v>
      </c>
      <c r="D56" s="25" t="s">
        <v>110</v>
      </c>
      <c r="E56" s="26" t="s">
        <v>97</v>
      </c>
      <c r="F56" s="27" t="s">
        <v>111</v>
      </c>
      <c r="G56" s="28">
        <v>4900</v>
      </c>
      <c r="H56" s="28" t="s">
        <v>24</v>
      </c>
      <c r="I56" s="28">
        <v>4118</v>
      </c>
      <c r="J56" s="28" t="s">
        <v>25</v>
      </c>
      <c r="K56" s="29" t="s">
        <v>25</v>
      </c>
      <c r="L56" s="29">
        <v>6300</v>
      </c>
      <c r="M56" s="29" t="s">
        <v>24</v>
      </c>
      <c r="N56" s="30" t="s">
        <v>24</v>
      </c>
      <c r="O56" s="30" t="s">
        <v>37</v>
      </c>
      <c r="Q56" s="30">
        <f t="shared" si="0"/>
        <v>4118</v>
      </c>
      <c r="R56" s="30">
        <f t="shared" si="1"/>
        <v>782.42</v>
      </c>
      <c r="S56" s="30">
        <f t="shared" si="2"/>
        <v>4900.42</v>
      </c>
      <c r="U56" s="30">
        <v>5106</v>
      </c>
      <c r="V56" s="30">
        <v>970.14</v>
      </c>
      <c r="W56" s="30">
        <v>6076.14</v>
      </c>
    </row>
    <row r="57" spans="1:48" x14ac:dyDescent="0.3">
      <c r="A57" s="22">
        <v>55</v>
      </c>
      <c r="B57" s="23">
        <v>1041063605</v>
      </c>
      <c r="C57" s="24" t="s">
        <v>20</v>
      </c>
      <c r="D57" s="25" t="s">
        <v>112</v>
      </c>
      <c r="E57" s="26" t="s">
        <v>97</v>
      </c>
      <c r="F57" s="27" t="s">
        <v>112</v>
      </c>
      <c r="G57" s="28">
        <v>3900</v>
      </c>
      <c r="H57" s="28" t="s">
        <v>24</v>
      </c>
      <c r="I57" s="28">
        <v>4118</v>
      </c>
      <c r="J57" s="28" t="s">
        <v>25</v>
      </c>
      <c r="K57" s="29" t="s">
        <v>25</v>
      </c>
      <c r="L57" s="29">
        <v>6300</v>
      </c>
      <c r="M57" s="29" t="s">
        <v>24</v>
      </c>
      <c r="N57" s="30" t="s">
        <v>24</v>
      </c>
      <c r="O57" s="30" t="s">
        <v>37</v>
      </c>
      <c r="Q57" s="30">
        <f t="shared" si="0"/>
        <v>3900</v>
      </c>
      <c r="R57" s="30">
        <f t="shared" si="1"/>
        <v>741</v>
      </c>
      <c r="S57" s="30">
        <f t="shared" si="2"/>
        <v>4641</v>
      </c>
      <c r="U57" s="30">
        <v>4772.666666666667</v>
      </c>
      <c r="V57" s="30">
        <v>906.80666666666673</v>
      </c>
      <c r="W57" s="30">
        <v>5679.4733333333334</v>
      </c>
    </row>
    <row r="58" spans="1:48" x14ac:dyDescent="0.3">
      <c r="A58" s="22">
        <v>56</v>
      </c>
      <c r="B58" s="23">
        <v>1041063600</v>
      </c>
      <c r="C58" s="24" t="s">
        <v>20</v>
      </c>
      <c r="D58" s="25" t="s">
        <v>113</v>
      </c>
      <c r="E58" s="26" t="s">
        <v>97</v>
      </c>
      <c r="F58" s="27" t="s">
        <v>113</v>
      </c>
      <c r="G58" s="28">
        <v>3900</v>
      </c>
      <c r="H58" s="28" t="s">
        <v>24</v>
      </c>
      <c r="I58" s="28">
        <v>4328</v>
      </c>
      <c r="J58" s="28" t="s">
        <v>25</v>
      </c>
      <c r="K58" s="29" t="s">
        <v>25</v>
      </c>
      <c r="L58" s="29">
        <v>6300</v>
      </c>
      <c r="M58" s="29" t="s">
        <v>24</v>
      </c>
      <c r="N58" s="30" t="s">
        <v>24</v>
      </c>
      <c r="O58" s="30">
        <v>5148</v>
      </c>
      <c r="Q58" s="30">
        <f t="shared" si="0"/>
        <v>3900</v>
      </c>
      <c r="R58" s="30">
        <f t="shared" si="1"/>
        <v>741</v>
      </c>
      <c r="S58" s="30">
        <f t="shared" si="2"/>
        <v>4641</v>
      </c>
      <c r="U58" s="30">
        <v>4919</v>
      </c>
      <c r="V58" s="30">
        <v>934.61</v>
      </c>
      <c r="W58" s="30">
        <v>5853.61</v>
      </c>
    </row>
    <row r="59" spans="1:48" x14ac:dyDescent="0.3">
      <c r="A59" s="22">
        <v>57</v>
      </c>
      <c r="B59" s="23">
        <v>1043205088</v>
      </c>
      <c r="C59" s="24" t="s">
        <v>20</v>
      </c>
      <c r="D59" s="25" t="s">
        <v>114</v>
      </c>
      <c r="E59" s="26" t="s">
        <v>22</v>
      </c>
      <c r="F59" s="27" t="s">
        <v>115</v>
      </c>
      <c r="G59" s="22" t="s">
        <v>24</v>
      </c>
      <c r="H59" s="22" t="s">
        <v>24</v>
      </c>
      <c r="I59" s="28" t="s">
        <v>25</v>
      </c>
      <c r="J59" s="28" t="s">
        <v>25</v>
      </c>
      <c r="K59" s="29" t="s">
        <v>25</v>
      </c>
      <c r="L59" s="29" t="s">
        <v>25</v>
      </c>
      <c r="M59" s="29" t="s">
        <v>24</v>
      </c>
      <c r="N59" s="30" t="s">
        <v>24</v>
      </c>
      <c r="O59" s="30">
        <v>18701</v>
      </c>
      <c r="Q59" s="30">
        <f t="shared" si="0"/>
        <v>18701</v>
      </c>
      <c r="R59" s="30">
        <f t="shared" si="1"/>
        <v>3553.19</v>
      </c>
      <c r="S59" s="30">
        <f t="shared" si="2"/>
        <v>22254.19</v>
      </c>
      <c r="U59" s="30">
        <v>18701</v>
      </c>
      <c r="V59" s="30">
        <v>3553.19</v>
      </c>
      <c r="W59" s="30">
        <v>22254.19</v>
      </c>
    </row>
    <row r="60" spans="1:48" ht="33" x14ac:dyDescent="0.3">
      <c r="A60" s="22">
        <v>58</v>
      </c>
      <c r="B60" s="23">
        <v>1043288763</v>
      </c>
      <c r="C60" s="24" t="s">
        <v>20</v>
      </c>
      <c r="D60" s="25" t="s">
        <v>116</v>
      </c>
      <c r="E60" s="26" t="s">
        <v>97</v>
      </c>
      <c r="F60" s="27" t="s">
        <v>117</v>
      </c>
      <c r="G60" s="28">
        <v>10600</v>
      </c>
      <c r="H60" s="28">
        <v>7975</v>
      </c>
      <c r="I60" s="28">
        <v>2600</v>
      </c>
      <c r="J60" s="28">
        <v>6300</v>
      </c>
      <c r="K60" s="29" t="s">
        <v>25</v>
      </c>
      <c r="L60" s="29" t="s">
        <v>25</v>
      </c>
      <c r="M60" s="29">
        <v>5300</v>
      </c>
      <c r="N60" s="30">
        <v>4500</v>
      </c>
      <c r="O60" s="30" t="s">
        <v>24</v>
      </c>
      <c r="Q60" s="30">
        <f t="shared" si="0"/>
        <v>2600</v>
      </c>
      <c r="R60" s="30">
        <f t="shared" si="1"/>
        <v>494</v>
      </c>
      <c r="S60" s="30">
        <f t="shared" si="2"/>
        <v>3094</v>
      </c>
      <c r="U60" s="30">
        <v>6212.5</v>
      </c>
      <c r="V60" s="30">
        <v>1180.375</v>
      </c>
      <c r="W60" s="30">
        <v>7392.875</v>
      </c>
    </row>
    <row r="61" spans="1:48" ht="33" x14ac:dyDescent="0.3">
      <c r="A61" s="22">
        <v>59</v>
      </c>
      <c r="B61" s="23">
        <v>1043288767</v>
      </c>
      <c r="C61" s="24" t="s">
        <v>20</v>
      </c>
      <c r="D61" s="25" t="s">
        <v>118</v>
      </c>
      <c r="E61" s="26" t="s">
        <v>97</v>
      </c>
      <c r="F61" s="27" t="s">
        <v>119</v>
      </c>
      <c r="G61" s="22" t="s">
        <v>24</v>
      </c>
      <c r="H61" s="22" t="s">
        <v>24</v>
      </c>
      <c r="I61" s="28">
        <v>2200</v>
      </c>
      <c r="J61" s="28" t="s">
        <v>25</v>
      </c>
      <c r="K61" s="29" t="s">
        <v>25</v>
      </c>
      <c r="L61" s="29" t="s">
        <v>25</v>
      </c>
      <c r="M61" s="29" t="s">
        <v>24</v>
      </c>
      <c r="N61" s="30" t="s">
        <v>37</v>
      </c>
      <c r="O61" s="30" t="s">
        <v>24</v>
      </c>
      <c r="Q61" s="30">
        <f t="shared" si="0"/>
        <v>2200</v>
      </c>
      <c r="R61" s="30">
        <f t="shared" si="1"/>
        <v>418</v>
      </c>
      <c r="S61" s="30">
        <f t="shared" si="2"/>
        <v>2618</v>
      </c>
      <c r="U61" s="30">
        <v>2200</v>
      </c>
      <c r="V61" s="30">
        <v>418</v>
      </c>
      <c r="W61" s="30">
        <v>2618</v>
      </c>
    </row>
    <row r="62" spans="1:48" ht="33" x14ac:dyDescent="0.3">
      <c r="A62" s="22">
        <v>60</v>
      </c>
      <c r="B62" s="23">
        <v>1043288766</v>
      </c>
      <c r="C62" s="24" t="s">
        <v>20</v>
      </c>
      <c r="D62" s="25" t="s">
        <v>120</v>
      </c>
      <c r="E62" s="26" t="s">
        <v>97</v>
      </c>
      <c r="F62" s="27" t="s">
        <v>121</v>
      </c>
      <c r="G62" s="28">
        <v>6200</v>
      </c>
      <c r="H62" s="22" t="s">
        <v>24</v>
      </c>
      <c r="I62" s="28">
        <v>3200</v>
      </c>
      <c r="J62" s="28" t="s">
        <v>25</v>
      </c>
      <c r="K62" s="29" t="s">
        <v>25</v>
      </c>
      <c r="L62" s="29" t="s">
        <v>25</v>
      </c>
      <c r="M62" s="29" t="s">
        <v>24</v>
      </c>
      <c r="N62" s="30" t="s">
        <v>37</v>
      </c>
      <c r="O62" s="30" t="s">
        <v>24</v>
      </c>
      <c r="Q62" s="30">
        <f t="shared" si="0"/>
        <v>3200</v>
      </c>
      <c r="R62" s="30">
        <f t="shared" si="1"/>
        <v>608</v>
      </c>
      <c r="S62" s="30">
        <f t="shared" si="2"/>
        <v>3808</v>
      </c>
      <c r="U62" s="30">
        <v>4700</v>
      </c>
      <c r="V62" s="30">
        <v>893</v>
      </c>
      <c r="W62" s="30">
        <v>5593</v>
      </c>
    </row>
    <row r="63" spans="1:48" ht="36.75" customHeight="1" x14ac:dyDescent="0.3">
      <c r="A63" s="34">
        <v>61</v>
      </c>
      <c r="B63" s="35">
        <v>1043288764</v>
      </c>
      <c r="C63" s="36" t="s">
        <v>20</v>
      </c>
      <c r="D63" s="37" t="s">
        <v>122</v>
      </c>
      <c r="E63" s="38" t="s">
        <v>97</v>
      </c>
      <c r="F63" s="39" t="s">
        <v>123</v>
      </c>
      <c r="G63" s="40">
        <v>3800</v>
      </c>
      <c r="H63" s="40">
        <v>13900</v>
      </c>
      <c r="I63" s="40">
        <v>2400</v>
      </c>
      <c r="J63" s="40">
        <v>5300</v>
      </c>
      <c r="K63" s="41" t="s">
        <v>25</v>
      </c>
      <c r="L63" s="41" t="s">
        <v>25</v>
      </c>
      <c r="M63" s="41" t="s">
        <v>24</v>
      </c>
      <c r="N63" s="42" t="s">
        <v>37</v>
      </c>
      <c r="O63" s="42" t="s">
        <v>24</v>
      </c>
      <c r="Q63" s="42">
        <f t="shared" si="0"/>
        <v>2400</v>
      </c>
      <c r="R63" s="42">
        <f t="shared" si="1"/>
        <v>456</v>
      </c>
      <c r="S63" s="42">
        <f t="shared" si="2"/>
        <v>2856</v>
      </c>
      <c r="U63" s="30">
        <v>6350</v>
      </c>
      <c r="V63" s="30">
        <v>1206.5</v>
      </c>
      <c r="W63" s="30">
        <v>7556.5</v>
      </c>
    </row>
    <row r="64" spans="1:48" s="1" customFormat="1" x14ac:dyDescent="0.3">
      <c r="A64" s="22">
        <v>62</v>
      </c>
      <c r="B64" s="24">
        <v>1043205589</v>
      </c>
      <c r="C64" s="24" t="s">
        <v>20</v>
      </c>
      <c r="D64" s="25" t="s">
        <v>124</v>
      </c>
      <c r="E64" s="26" t="s">
        <v>90</v>
      </c>
      <c r="F64" s="27" t="s">
        <v>124</v>
      </c>
      <c r="G64" s="28">
        <v>33900</v>
      </c>
      <c r="H64" s="28">
        <v>25900</v>
      </c>
      <c r="I64" s="28">
        <v>31900</v>
      </c>
      <c r="J64" s="28">
        <v>19900</v>
      </c>
      <c r="K64" s="29" t="s">
        <v>25</v>
      </c>
      <c r="L64" s="29" t="s">
        <v>25</v>
      </c>
      <c r="M64" s="29" t="s">
        <v>24</v>
      </c>
      <c r="N64" s="30">
        <v>18664</v>
      </c>
      <c r="O64" s="30" t="s">
        <v>24</v>
      </c>
      <c r="P64" s="22"/>
      <c r="Q64" s="30">
        <f t="shared" si="0"/>
        <v>18664</v>
      </c>
      <c r="R64" s="30">
        <f t="shared" si="1"/>
        <v>3546.16</v>
      </c>
      <c r="S64" s="30">
        <f t="shared" si="2"/>
        <v>22210.16</v>
      </c>
      <c r="T64" s="43"/>
      <c r="U64" s="30">
        <v>26052.799999999999</v>
      </c>
      <c r="V64" s="30">
        <v>4950.0320000000002</v>
      </c>
      <c r="W64" s="30">
        <v>31002.831999999999</v>
      </c>
      <c r="X64" s="43"/>
      <c r="Y64" s="43"/>
      <c r="Z64" s="43"/>
      <c r="AA64" s="43"/>
      <c r="AB64" s="43"/>
      <c r="AC64" s="43"/>
      <c r="AD64" s="43"/>
      <c r="AE64" s="43"/>
      <c r="AF64" s="43"/>
      <c r="AG64" s="43"/>
      <c r="AH64" s="43"/>
      <c r="AI64" s="43"/>
      <c r="AJ64" s="43"/>
      <c r="AK64" s="43"/>
      <c r="AL64" s="43"/>
      <c r="AM64" s="43"/>
      <c r="AN64" s="43"/>
      <c r="AO64" s="43"/>
      <c r="AP64" s="43"/>
      <c r="AQ64" s="43"/>
      <c r="AR64" s="43"/>
      <c r="AS64" s="43"/>
      <c r="AT64" s="43"/>
      <c r="AU64" s="43"/>
      <c r="AV64" s="44"/>
    </row>
    <row r="65" spans="2:19" s="43" customFormat="1" x14ac:dyDescent="0.3">
      <c r="B65" s="45"/>
      <c r="C65" s="46"/>
      <c r="D65" s="47"/>
      <c r="E65" s="48"/>
      <c r="F65" s="47"/>
      <c r="G65" s="49"/>
      <c r="H65" s="49"/>
      <c r="I65" s="50"/>
      <c r="J65" s="51"/>
      <c r="K65" s="52"/>
      <c r="L65" s="52"/>
      <c r="M65" s="49"/>
      <c r="N65" s="50"/>
      <c r="O65" s="49"/>
      <c r="P65" s="49"/>
      <c r="Q65" s="51"/>
      <c r="R65" s="51"/>
      <c r="S65" s="51"/>
    </row>
    <row r="66" spans="2:19" s="43" customFormat="1" x14ac:dyDescent="0.3">
      <c r="B66" s="45"/>
      <c r="C66" s="46"/>
      <c r="D66" s="47"/>
      <c r="E66" s="48"/>
      <c r="F66" s="47"/>
      <c r="G66" s="49"/>
      <c r="H66" s="49"/>
      <c r="I66" s="50"/>
      <c r="J66" s="51"/>
      <c r="K66" s="52"/>
      <c r="L66" s="52"/>
      <c r="M66" s="49"/>
      <c r="N66" s="50"/>
      <c r="O66" s="49"/>
      <c r="P66" s="49"/>
      <c r="Q66" s="51"/>
      <c r="R66" s="51"/>
      <c r="S66" s="51"/>
    </row>
    <row r="67" spans="2:19" s="43" customFormat="1" x14ac:dyDescent="0.3">
      <c r="B67" s="45"/>
      <c r="C67" s="46"/>
      <c r="D67" s="47"/>
      <c r="E67" s="48"/>
      <c r="F67" s="47"/>
      <c r="G67" s="49"/>
      <c r="H67" s="49"/>
      <c r="I67" s="50"/>
      <c r="J67" s="51"/>
      <c r="K67" s="52"/>
      <c r="L67" s="52"/>
      <c r="M67" s="49"/>
      <c r="N67" s="50"/>
      <c r="O67" s="49"/>
      <c r="P67" s="49"/>
      <c r="Q67" s="51"/>
      <c r="R67" s="51"/>
      <c r="S67" s="51"/>
    </row>
    <row r="68" spans="2:19" s="43" customFormat="1" x14ac:dyDescent="0.3">
      <c r="B68" s="45"/>
      <c r="C68" s="46"/>
      <c r="D68" s="47"/>
      <c r="E68" s="48"/>
      <c r="F68" s="47"/>
      <c r="G68" s="49"/>
      <c r="H68" s="49"/>
      <c r="I68" s="50"/>
      <c r="J68" s="51"/>
      <c r="K68" s="52"/>
      <c r="L68" s="52"/>
      <c r="M68" s="49"/>
      <c r="N68" s="50"/>
      <c r="O68" s="49"/>
      <c r="P68" s="49"/>
      <c r="Q68" s="51"/>
      <c r="R68" s="51"/>
      <c r="S68" s="51"/>
    </row>
    <row r="69" spans="2:19" s="43" customFormat="1" x14ac:dyDescent="0.3">
      <c r="B69" s="45"/>
      <c r="C69" s="46"/>
      <c r="D69" s="47"/>
      <c r="E69" s="48"/>
      <c r="F69" s="47"/>
      <c r="G69" s="49"/>
      <c r="H69" s="49"/>
      <c r="I69" s="50"/>
      <c r="J69" s="51"/>
      <c r="K69" s="52"/>
      <c r="L69" s="52"/>
      <c r="M69" s="49"/>
      <c r="N69" s="50"/>
      <c r="O69" s="49"/>
      <c r="P69" s="49"/>
      <c r="Q69" s="51"/>
      <c r="R69" s="51"/>
      <c r="S69" s="51"/>
    </row>
    <row r="70" spans="2:19" s="43" customFormat="1" x14ac:dyDescent="0.3">
      <c r="B70" s="45"/>
      <c r="C70" s="46"/>
      <c r="D70" s="47"/>
      <c r="E70" s="48"/>
      <c r="F70" s="47"/>
      <c r="G70" s="49"/>
      <c r="H70" s="49"/>
      <c r="I70" s="50"/>
      <c r="J70" s="51"/>
      <c r="K70" s="52"/>
      <c r="L70" s="52"/>
      <c r="M70" s="49"/>
      <c r="N70" s="50"/>
      <c r="O70" s="49"/>
      <c r="P70" s="49"/>
      <c r="Q70" s="51"/>
      <c r="R70" s="51"/>
      <c r="S70" s="51"/>
    </row>
    <row r="71" spans="2:19" s="43" customFormat="1" x14ac:dyDescent="0.3">
      <c r="B71" s="45"/>
      <c r="C71" s="46"/>
      <c r="D71" s="47"/>
      <c r="E71" s="48"/>
      <c r="F71" s="47"/>
      <c r="G71" s="49"/>
      <c r="H71" s="49"/>
      <c r="I71" s="50"/>
      <c r="J71" s="51"/>
      <c r="K71" s="52"/>
      <c r="L71" s="52"/>
      <c r="M71" s="49"/>
      <c r="N71" s="50"/>
      <c r="O71" s="49"/>
      <c r="P71" s="49"/>
      <c r="Q71" s="51"/>
      <c r="R71" s="51"/>
      <c r="S71" s="51"/>
    </row>
    <row r="72" spans="2:19" s="43" customFormat="1" x14ac:dyDescent="0.3">
      <c r="B72" s="45"/>
      <c r="C72" s="46"/>
      <c r="D72" s="47"/>
      <c r="E72" s="48"/>
      <c r="F72" s="47"/>
      <c r="G72" s="49"/>
      <c r="H72" s="49"/>
      <c r="I72" s="50"/>
      <c r="J72" s="51"/>
      <c r="K72" s="52"/>
      <c r="L72" s="52"/>
      <c r="M72" s="49"/>
      <c r="N72" s="50"/>
      <c r="O72" s="49"/>
      <c r="P72" s="49"/>
      <c r="Q72" s="51"/>
      <c r="R72" s="51"/>
      <c r="S72" s="51"/>
    </row>
    <row r="73" spans="2:19" s="43" customFormat="1" x14ac:dyDescent="0.3">
      <c r="B73" s="45"/>
      <c r="C73" s="46"/>
      <c r="D73" s="47"/>
      <c r="E73" s="48"/>
      <c r="F73" s="47"/>
      <c r="G73" s="49"/>
      <c r="H73" s="49"/>
      <c r="I73" s="50"/>
      <c r="J73" s="51"/>
      <c r="K73" s="52"/>
      <c r="L73" s="52"/>
      <c r="M73" s="49"/>
      <c r="N73" s="50"/>
      <c r="O73" s="49"/>
      <c r="P73" s="49"/>
      <c r="Q73" s="51"/>
      <c r="R73" s="51"/>
      <c r="S73" s="51"/>
    </row>
    <row r="74" spans="2:19" s="43" customFormat="1" x14ac:dyDescent="0.3">
      <c r="B74" s="45"/>
      <c r="C74" s="46"/>
      <c r="D74" s="47"/>
      <c r="E74" s="48"/>
      <c r="F74" s="47"/>
      <c r="G74" s="49"/>
      <c r="H74" s="49"/>
      <c r="I74" s="50"/>
      <c r="J74" s="51"/>
      <c r="K74" s="52"/>
      <c r="L74" s="52"/>
      <c r="M74" s="49"/>
      <c r="N74" s="50"/>
      <c r="O74" s="49"/>
      <c r="P74" s="49"/>
      <c r="Q74" s="51"/>
      <c r="R74" s="51"/>
      <c r="S74" s="51"/>
    </row>
    <row r="75" spans="2:19" s="43" customFormat="1" x14ac:dyDescent="0.3">
      <c r="B75" s="45"/>
      <c r="C75" s="46"/>
      <c r="D75" s="47"/>
      <c r="E75" s="48"/>
      <c r="F75" s="47"/>
      <c r="G75" s="49"/>
      <c r="H75" s="49"/>
      <c r="I75" s="50"/>
      <c r="J75" s="51"/>
      <c r="K75" s="52"/>
      <c r="L75" s="52"/>
      <c r="M75" s="49"/>
      <c r="N75" s="50"/>
      <c r="O75" s="49"/>
      <c r="P75" s="49"/>
      <c r="Q75" s="51"/>
      <c r="R75" s="51"/>
      <c r="S75" s="51"/>
    </row>
    <row r="76" spans="2:19" s="43" customFormat="1" x14ac:dyDescent="0.3">
      <c r="B76" s="45"/>
      <c r="C76" s="46"/>
      <c r="D76" s="47"/>
      <c r="E76" s="48"/>
      <c r="F76" s="47"/>
      <c r="G76" s="49"/>
      <c r="H76" s="49"/>
      <c r="I76" s="50"/>
      <c r="J76" s="51"/>
      <c r="K76" s="52"/>
      <c r="L76" s="52"/>
      <c r="M76" s="49"/>
      <c r="N76" s="50"/>
      <c r="O76" s="49"/>
      <c r="P76" s="49"/>
      <c r="Q76" s="51"/>
      <c r="R76" s="51"/>
      <c r="S76" s="51"/>
    </row>
    <row r="77" spans="2:19" s="43" customFormat="1" x14ac:dyDescent="0.3">
      <c r="B77" s="45"/>
      <c r="C77" s="46"/>
      <c r="D77" s="47"/>
      <c r="E77" s="48"/>
      <c r="F77" s="47"/>
      <c r="G77" s="49"/>
      <c r="H77" s="49"/>
      <c r="I77" s="50"/>
      <c r="J77" s="51"/>
      <c r="K77" s="52"/>
      <c r="L77" s="52"/>
      <c r="M77" s="49"/>
      <c r="N77" s="50"/>
      <c r="O77" s="49"/>
      <c r="P77" s="49"/>
      <c r="Q77" s="51"/>
      <c r="R77" s="51"/>
      <c r="S77" s="51"/>
    </row>
    <row r="78" spans="2:19" s="43" customFormat="1" x14ac:dyDescent="0.3">
      <c r="B78" s="45"/>
      <c r="C78" s="46"/>
      <c r="D78" s="47"/>
      <c r="E78" s="48"/>
      <c r="F78" s="47"/>
      <c r="G78" s="49"/>
      <c r="H78" s="49"/>
      <c r="I78" s="50"/>
      <c r="J78" s="51"/>
      <c r="K78" s="52"/>
      <c r="L78" s="52"/>
      <c r="M78" s="49"/>
      <c r="N78" s="50"/>
      <c r="O78" s="49"/>
      <c r="P78" s="49"/>
      <c r="Q78" s="51"/>
      <c r="R78" s="51"/>
      <c r="S78" s="51"/>
    </row>
    <row r="79" spans="2:19" s="43" customFormat="1" x14ac:dyDescent="0.3">
      <c r="B79" s="45"/>
      <c r="C79" s="46"/>
      <c r="D79" s="47"/>
      <c r="E79" s="48"/>
      <c r="F79" s="47"/>
      <c r="G79" s="49"/>
      <c r="H79" s="49"/>
      <c r="I79" s="50"/>
      <c r="J79" s="51"/>
      <c r="K79" s="52"/>
      <c r="L79" s="52"/>
      <c r="M79" s="49"/>
      <c r="N79" s="50"/>
      <c r="O79" s="49"/>
      <c r="P79" s="49"/>
      <c r="Q79" s="51"/>
      <c r="R79" s="51"/>
      <c r="S79" s="51"/>
    </row>
    <row r="80" spans="2:19" s="43" customFormat="1" x14ac:dyDescent="0.3">
      <c r="B80" s="45"/>
      <c r="C80" s="46"/>
      <c r="D80" s="47"/>
      <c r="E80" s="48"/>
      <c r="F80" s="47"/>
      <c r="G80" s="49"/>
      <c r="H80" s="49"/>
      <c r="I80" s="50"/>
      <c r="J80" s="51"/>
      <c r="K80" s="52"/>
      <c r="L80" s="52"/>
      <c r="M80" s="49"/>
      <c r="N80" s="50"/>
      <c r="O80" s="49"/>
      <c r="P80" s="49"/>
      <c r="Q80" s="51"/>
      <c r="R80" s="51"/>
      <c r="S80" s="51"/>
    </row>
    <row r="81" spans="2:19" s="43" customFormat="1" x14ac:dyDescent="0.3">
      <c r="B81" s="45"/>
      <c r="C81" s="46"/>
      <c r="D81" s="47"/>
      <c r="E81" s="48"/>
      <c r="F81" s="47"/>
      <c r="G81" s="49"/>
      <c r="H81" s="49"/>
      <c r="I81" s="50"/>
      <c r="J81" s="51"/>
      <c r="K81" s="52"/>
      <c r="L81" s="52"/>
      <c r="M81" s="49"/>
      <c r="N81" s="50"/>
      <c r="O81" s="49"/>
      <c r="P81" s="49"/>
      <c r="Q81" s="51"/>
      <c r="R81" s="51"/>
      <c r="S81" s="51"/>
    </row>
    <row r="82" spans="2:19" s="43" customFormat="1" x14ac:dyDescent="0.3">
      <c r="B82" s="45"/>
      <c r="C82" s="46"/>
      <c r="D82" s="47"/>
      <c r="E82" s="48"/>
      <c r="F82" s="47"/>
      <c r="G82" s="49"/>
      <c r="H82" s="49"/>
      <c r="I82" s="50"/>
      <c r="J82" s="51"/>
      <c r="K82" s="52"/>
      <c r="L82" s="52"/>
      <c r="M82" s="49"/>
      <c r="N82" s="50"/>
      <c r="O82" s="49"/>
      <c r="P82" s="49"/>
      <c r="Q82" s="51"/>
      <c r="R82" s="51"/>
      <c r="S82" s="51"/>
    </row>
    <row r="83" spans="2:19" s="43" customFormat="1" x14ac:dyDescent="0.3">
      <c r="B83" s="45"/>
      <c r="C83" s="46"/>
      <c r="D83" s="47"/>
      <c r="E83" s="48"/>
      <c r="F83" s="47"/>
      <c r="G83" s="49"/>
      <c r="H83" s="49"/>
      <c r="I83" s="50"/>
      <c r="J83" s="51"/>
      <c r="K83" s="52"/>
      <c r="L83" s="52"/>
      <c r="M83" s="49"/>
      <c r="N83" s="50"/>
      <c r="O83" s="49"/>
      <c r="P83" s="49"/>
      <c r="Q83" s="51"/>
      <c r="R83" s="51"/>
      <c r="S83" s="51"/>
    </row>
    <row r="84" spans="2:19" s="43" customFormat="1" x14ac:dyDescent="0.3">
      <c r="B84" s="45"/>
      <c r="C84" s="46"/>
      <c r="D84" s="47"/>
      <c r="E84" s="48"/>
      <c r="F84" s="47"/>
      <c r="G84" s="49"/>
      <c r="H84" s="49"/>
      <c r="I84" s="50"/>
      <c r="J84" s="51"/>
      <c r="K84" s="52"/>
      <c r="L84" s="52"/>
      <c r="M84" s="49"/>
      <c r="N84" s="50"/>
      <c r="O84" s="49"/>
      <c r="P84" s="49"/>
      <c r="Q84" s="51"/>
      <c r="R84" s="51"/>
      <c r="S84" s="51"/>
    </row>
    <row r="85" spans="2:19" s="43" customFormat="1" x14ac:dyDescent="0.3">
      <c r="B85" s="45"/>
      <c r="C85" s="46"/>
      <c r="D85" s="47"/>
      <c r="E85" s="48"/>
      <c r="F85" s="47"/>
      <c r="G85" s="49"/>
      <c r="H85" s="49"/>
      <c r="I85" s="50"/>
      <c r="J85" s="51"/>
      <c r="K85" s="52"/>
      <c r="L85" s="52"/>
      <c r="M85" s="49"/>
      <c r="N85" s="50"/>
      <c r="O85" s="49"/>
      <c r="P85" s="49"/>
      <c r="Q85" s="51"/>
      <c r="R85" s="51"/>
      <c r="S85" s="51"/>
    </row>
    <row r="86" spans="2:19" s="43" customFormat="1" x14ac:dyDescent="0.3">
      <c r="B86" s="45"/>
      <c r="C86" s="46"/>
      <c r="D86" s="47"/>
      <c r="E86" s="48"/>
      <c r="F86" s="47"/>
      <c r="G86" s="49"/>
      <c r="H86" s="49"/>
      <c r="I86" s="50"/>
      <c r="J86" s="51"/>
      <c r="K86" s="52"/>
      <c r="L86" s="52"/>
      <c r="M86" s="49"/>
      <c r="N86" s="50"/>
      <c r="O86" s="49"/>
      <c r="P86" s="49"/>
      <c r="Q86" s="51"/>
      <c r="R86" s="51"/>
      <c r="S86" s="51"/>
    </row>
    <row r="87" spans="2:19" s="43" customFormat="1" x14ac:dyDescent="0.3">
      <c r="B87" s="45"/>
      <c r="C87" s="46"/>
      <c r="D87" s="47"/>
      <c r="E87" s="48"/>
      <c r="F87" s="47"/>
      <c r="G87" s="49"/>
      <c r="H87" s="49"/>
      <c r="I87" s="50"/>
      <c r="J87" s="51"/>
      <c r="K87" s="52"/>
      <c r="L87" s="52"/>
      <c r="M87" s="49"/>
      <c r="N87" s="50"/>
      <c r="O87" s="49"/>
      <c r="P87" s="49"/>
      <c r="Q87" s="51"/>
      <c r="R87" s="51"/>
      <c r="S87" s="51"/>
    </row>
    <row r="88" spans="2:19" s="43" customFormat="1" x14ac:dyDescent="0.3">
      <c r="B88" s="45"/>
      <c r="C88" s="46"/>
      <c r="D88" s="47"/>
      <c r="E88" s="48"/>
      <c r="F88" s="47"/>
      <c r="G88" s="49"/>
      <c r="H88" s="49"/>
      <c r="I88" s="50"/>
      <c r="J88" s="51"/>
      <c r="K88" s="52"/>
      <c r="L88" s="52"/>
      <c r="M88" s="49"/>
      <c r="N88" s="50"/>
      <c r="O88" s="49"/>
      <c r="P88" s="49"/>
      <c r="Q88" s="51"/>
      <c r="R88" s="51"/>
      <c r="S88" s="51"/>
    </row>
    <row r="89" spans="2:19" s="43" customFormat="1" x14ac:dyDescent="0.3">
      <c r="B89" s="45"/>
      <c r="C89" s="46"/>
      <c r="D89" s="47"/>
      <c r="E89" s="48"/>
      <c r="F89" s="47"/>
      <c r="G89" s="49"/>
      <c r="H89" s="49"/>
      <c r="I89" s="50"/>
      <c r="J89" s="51"/>
      <c r="K89" s="52"/>
      <c r="L89" s="52"/>
      <c r="M89" s="49"/>
      <c r="N89" s="50"/>
      <c r="O89" s="49"/>
      <c r="P89" s="49"/>
      <c r="Q89" s="51"/>
      <c r="R89" s="51"/>
      <c r="S89" s="51"/>
    </row>
    <row r="90" spans="2:19" s="43" customFormat="1" x14ac:dyDescent="0.3">
      <c r="B90" s="45"/>
      <c r="C90" s="46"/>
      <c r="D90" s="47"/>
      <c r="E90" s="48"/>
      <c r="F90" s="47"/>
      <c r="G90" s="49"/>
      <c r="H90" s="49"/>
      <c r="I90" s="50"/>
      <c r="J90" s="51"/>
      <c r="K90" s="52"/>
      <c r="L90" s="52"/>
      <c r="M90" s="49"/>
      <c r="N90" s="50"/>
      <c r="O90" s="49"/>
      <c r="P90" s="49"/>
      <c r="Q90" s="51"/>
      <c r="R90" s="51"/>
      <c r="S90" s="51"/>
    </row>
    <row r="91" spans="2:19" s="43" customFormat="1" x14ac:dyDescent="0.3">
      <c r="B91" s="45"/>
      <c r="C91" s="46"/>
      <c r="D91" s="47"/>
      <c r="E91" s="48"/>
      <c r="F91" s="47"/>
      <c r="G91" s="49"/>
      <c r="H91" s="49"/>
      <c r="I91" s="50"/>
      <c r="J91" s="51"/>
      <c r="K91" s="52"/>
      <c r="L91" s="52"/>
      <c r="M91" s="49"/>
      <c r="N91" s="50"/>
      <c r="O91" s="49"/>
      <c r="P91" s="49"/>
      <c r="Q91" s="51"/>
      <c r="R91" s="51"/>
      <c r="S91" s="51"/>
    </row>
    <row r="92" spans="2:19" s="43" customFormat="1" x14ac:dyDescent="0.3">
      <c r="B92" s="45"/>
      <c r="C92" s="46"/>
      <c r="D92" s="47"/>
      <c r="E92" s="48"/>
      <c r="F92" s="47"/>
      <c r="G92" s="49"/>
      <c r="H92" s="49"/>
      <c r="I92" s="50"/>
      <c r="J92" s="51"/>
      <c r="K92" s="52"/>
      <c r="L92" s="52"/>
      <c r="M92" s="49"/>
      <c r="N92" s="50"/>
      <c r="O92" s="49"/>
      <c r="P92" s="49"/>
      <c r="Q92" s="51"/>
      <c r="R92" s="51"/>
      <c r="S92" s="51"/>
    </row>
    <row r="93" spans="2:19" s="43" customFormat="1" x14ac:dyDescent="0.3">
      <c r="B93" s="45"/>
      <c r="C93" s="46"/>
      <c r="D93" s="47"/>
      <c r="E93" s="48"/>
      <c r="F93" s="47"/>
      <c r="G93" s="49"/>
      <c r="H93" s="49"/>
      <c r="I93" s="50"/>
      <c r="J93" s="51"/>
      <c r="K93" s="52"/>
      <c r="L93" s="52"/>
      <c r="M93" s="49"/>
      <c r="N93" s="50"/>
      <c r="O93" s="49"/>
      <c r="P93" s="49"/>
      <c r="Q93" s="51"/>
      <c r="R93" s="51"/>
      <c r="S93" s="51"/>
    </row>
    <row r="94" spans="2:19" s="43" customFormat="1" x14ac:dyDescent="0.3">
      <c r="B94" s="45"/>
      <c r="C94" s="46"/>
      <c r="D94" s="47"/>
      <c r="E94" s="48"/>
      <c r="F94" s="47"/>
      <c r="G94" s="49"/>
      <c r="H94" s="49"/>
      <c r="I94" s="50"/>
      <c r="J94" s="51"/>
      <c r="K94" s="52"/>
      <c r="L94" s="52"/>
      <c r="M94" s="49"/>
      <c r="N94" s="50"/>
      <c r="O94" s="49"/>
      <c r="P94" s="49"/>
      <c r="Q94" s="51"/>
      <c r="R94" s="51"/>
      <c r="S94" s="51"/>
    </row>
    <row r="95" spans="2:19" s="43" customFormat="1" x14ac:dyDescent="0.3">
      <c r="B95" s="45"/>
      <c r="C95" s="46"/>
      <c r="D95" s="47"/>
      <c r="E95" s="48"/>
      <c r="F95" s="47"/>
      <c r="G95" s="49"/>
      <c r="H95" s="49"/>
      <c r="I95" s="50"/>
      <c r="J95" s="51"/>
      <c r="K95" s="52"/>
      <c r="L95" s="52"/>
      <c r="M95" s="49"/>
      <c r="N95" s="50"/>
      <c r="O95" s="49"/>
      <c r="P95" s="49"/>
      <c r="Q95" s="51"/>
      <c r="R95" s="51"/>
      <c r="S95" s="51"/>
    </row>
    <row r="96" spans="2:19" s="43" customFormat="1" x14ac:dyDescent="0.3">
      <c r="B96" s="45"/>
      <c r="C96" s="46"/>
      <c r="D96" s="47"/>
      <c r="E96" s="48"/>
      <c r="F96" s="47"/>
      <c r="G96" s="49"/>
      <c r="H96" s="49"/>
      <c r="I96" s="50"/>
      <c r="J96" s="51"/>
      <c r="K96" s="52"/>
      <c r="L96" s="52"/>
      <c r="M96" s="49"/>
      <c r="N96" s="50"/>
      <c r="O96" s="49"/>
      <c r="P96" s="49"/>
      <c r="Q96" s="51"/>
      <c r="R96" s="51"/>
      <c r="S96" s="51"/>
    </row>
    <row r="97" spans="2:19" s="43" customFormat="1" x14ac:dyDescent="0.3">
      <c r="B97" s="45"/>
      <c r="C97" s="46"/>
      <c r="D97" s="47"/>
      <c r="E97" s="48"/>
      <c r="F97" s="47"/>
      <c r="G97" s="49"/>
      <c r="H97" s="49"/>
      <c r="I97" s="50"/>
      <c r="J97" s="51"/>
      <c r="K97" s="52"/>
      <c r="L97" s="52"/>
      <c r="M97" s="49"/>
      <c r="N97" s="50"/>
      <c r="O97" s="49"/>
      <c r="P97" s="49"/>
      <c r="Q97" s="51"/>
      <c r="R97" s="51"/>
      <c r="S97" s="51"/>
    </row>
    <row r="98" spans="2:19" s="43" customFormat="1" x14ac:dyDescent="0.3">
      <c r="B98" s="45"/>
      <c r="C98" s="46"/>
      <c r="D98" s="47"/>
      <c r="E98" s="48"/>
      <c r="F98" s="47"/>
      <c r="G98" s="49"/>
      <c r="H98" s="49"/>
      <c r="I98" s="50"/>
      <c r="J98" s="51"/>
      <c r="K98" s="52"/>
      <c r="L98" s="52"/>
      <c r="M98" s="49"/>
      <c r="N98" s="50"/>
      <c r="O98" s="49"/>
      <c r="P98" s="49"/>
      <c r="Q98" s="51"/>
      <c r="R98" s="51"/>
      <c r="S98" s="51"/>
    </row>
    <row r="99" spans="2:19" s="43" customFormat="1" x14ac:dyDescent="0.3">
      <c r="B99" s="45"/>
      <c r="C99" s="46"/>
      <c r="D99" s="47"/>
      <c r="E99" s="48"/>
      <c r="F99" s="47"/>
      <c r="G99" s="49"/>
      <c r="H99" s="49"/>
      <c r="I99" s="50"/>
      <c r="J99" s="51"/>
      <c r="K99" s="52"/>
      <c r="L99" s="52"/>
      <c r="M99" s="49"/>
      <c r="N99" s="50"/>
      <c r="O99" s="49"/>
      <c r="P99" s="49"/>
      <c r="Q99" s="51"/>
      <c r="R99" s="51"/>
      <c r="S99" s="51"/>
    </row>
    <row r="100" spans="2:19" s="43" customFormat="1" x14ac:dyDescent="0.3">
      <c r="B100" s="45"/>
      <c r="C100" s="46"/>
      <c r="D100" s="47"/>
      <c r="E100" s="48"/>
      <c r="F100" s="47"/>
      <c r="G100" s="49"/>
      <c r="H100" s="49"/>
      <c r="I100" s="50"/>
      <c r="J100" s="51"/>
      <c r="K100" s="52"/>
      <c r="L100" s="52"/>
      <c r="M100" s="49"/>
      <c r="N100" s="50"/>
      <c r="O100" s="49"/>
      <c r="P100" s="49"/>
      <c r="Q100" s="51"/>
      <c r="R100" s="51"/>
      <c r="S100" s="51"/>
    </row>
    <row r="101" spans="2:19" s="43" customFormat="1" x14ac:dyDescent="0.3">
      <c r="B101" s="45"/>
      <c r="C101" s="46"/>
      <c r="D101" s="47"/>
      <c r="E101" s="48"/>
      <c r="F101" s="47"/>
      <c r="G101" s="49"/>
      <c r="H101" s="49"/>
      <c r="I101" s="50"/>
      <c r="J101" s="51"/>
      <c r="K101" s="52"/>
      <c r="L101" s="52"/>
      <c r="M101" s="49"/>
      <c r="N101" s="50"/>
      <c r="O101" s="49"/>
      <c r="P101" s="49"/>
      <c r="Q101" s="51"/>
      <c r="R101" s="51"/>
      <c r="S101" s="51"/>
    </row>
    <row r="102" spans="2:19" s="43" customFormat="1" x14ac:dyDescent="0.3">
      <c r="B102" s="45"/>
      <c r="C102" s="46"/>
      <c r="D102" s="47"/>
      <c r="E102" s="48"/>
      <c r="F102" s="47"/>
      <c r="G102" s="49"/>
      <c r="H102" s="49"/>
      <c r="I102" s="50"/>
      <c r="J102" s="51"/>
      <c r="K102" s="52"/>
      <c r="L102" s="52"/>
      <c r="M102" s="49"/>
      <c r="N102" s="50"/>
      <c r="O102" s="49"/>
      <c r="P102" s="49"/>
      <c r="Q102" s="51"/>
      <c r="R102" s="51"/>
      <c r="S102" s="51"/>
    </row>
    <row r="103" spans="2:19" s="43" customFormat="1" x14ac:dyDescent="0.3">
      <c r="B103" s="45"/>
      <c r="C103" s="46"/>
      <c r="D103" s="47"/>
      <c r="E103" s="48"/>
      <c r="F103" s="47"/>
      <c r="G103" s="49"/>
      <c r="H103" s="49"/>
      <c r="I103" s="50"/>
      <c r="J103" s="51"/>
      <c r="K103" s="52"/>
      <c r="L103" s="52"/>
      <c r="M103" s="49"/>
      <c r="N103" s="50"/>
      <c r="O103" s="49"/>
      <c r="P103" s="49"/>
      <c r="Q103" s="51"/>
      <c r="R103" s="51"/>
      <c r="S103" s="51"/>
    </row>
    <row r="104" spans="2:19" s="43" customFormat="1" x14ac:dyDescent="0.3">
      <c r="B104" s="45"/>
      <c r="C104" s="46"/>
      <c r="D104" s="47"/>
      <c r="E104" s="48"/>
      <c r="F104" s="47"/>
      <c r="G104" s="49"/>
      <c r="H104" s="49"/>
      <c r="I104" s="50"/>
      <c r="J104" s="51"/>
      <c r="K104" s="52"/>
      <c r="L104" s="52"/>
      <c r="M104" s="49"/>
      <c r="N104" s="50"/>
      <c r="O104" s="49"/>
      <c r="P104" s="49"/>
      <c r="Q104" s="51"/>
      <c r="R104" s="51"/>
      <c r="S104" s="51"/>
    </row>
    <row r="105" spans="2:19" s="43" customFormat="1" x14ac:dyDescent="0.3">
      <c r="B105" s="45"/>
      <c r="C105" s="46"/>
      <c r="D105" s="47"/>
      <c r="E105" s="48"/>
      <c r="F105" s="47"/>
      <c r="G105" s="49"/>
      <c r="H105" s="49"/>
      <c r="I105" s="50"/>
      <c r="J105" s="51"/>
      <c r="K105" s="52"/>
      <c r="L105" s="52"/>
      <c r="M105" s="49"/>
      <c r="N105" s="50"/>
      <c r="O105" s="49"/>
      <c r="P105" s="49"/>
      <c r="Q105" s="51"/>
      <c r="R105" s="51"/>
      <c r="S105" s="51"/>
    </row>
    <row r="106" spans="2:19" s="43" customFormat="1" x14ac:dyDescent="0.3">
      <c r="B106" s="45"/>
      <c r="C106" s="46"/>
      <c r="D106" s="47"/>
      <c r="E106" s="48"/>
      <c r="F106" s="47"/>
      <c r="G106" s="49"/>
      <c r="H106" s="49"/>
      <c r="I106" s="50"/>
      <c r="J106" s="51"/>
      <c r="K106" s="52"/>
      <c r="L106" s="52"/>
      <c r="M106" s="49"/>
      <c r="N106" s="50"/>
      <c r="O106" s="49"/>
      <c r="P106" s="49"/>
      <c r="Q106" s="51"/>
      <c r="R106" s="51"/>
      <c r="S106" s="51"/>
    </row>
    <row r="107" spans="2:19" s="43" customFormat="1" x14ac:dyDescent="0.3">
      <c r="B107" s="45"/>
      <c r="C107" s="46"/>
      <c r="D107" s="47"/>
      <c r="E107" s="48"/>
      <c r="F107" s="47"/>
      <c r="G107" s="49"/>
      <c r="H107" s="49"/>
      <c r="I107" s="50"/>
      <c r="J107" s="51"/>
      <c r="K107" s="52"/>
      <c r="L107" s="52"/>
      <c r="M107" s="49"/>
      <c r="N107" s="50"/>
      <c r="O107" s="49"/>
      <c r="P107" s="49"/>
      <c r="Q107" s="51"/>
      <c r="R107" s="51"/>
      <c r="S107" s="51"/>
    </row>
    <row r="108" spans="2:19" s="43" customFormat="1" x14ac:dyDescent="0.3">
      <c r="B108" s="45"/>
      <c r="C108" s="46"/>
      <c r="D108" s="47"/>
      <c r="E108" s="48"/>
      <c r="F108" s="47"/>
      <c r="G108" s="49"/>
      <c r="H108" s="49"/>
      <c r="I108" s="50"/>
      <c r="J108" s="51"/>
      <c r="K108" s="52"/>
      <c r="L108" s="52"/>
      <c r="M108" s="49"/>
      <c r="N108" s="50"/>
      <c r="O108" s="49"/>
      <c r="P108" s="49"/>
      <c r="Q108" s="51"/>
      <c r="R108" s="51"/>
      <c r="S108" s="51"/>
    </row>
    <row r="109" spans="2:19" s="43" customFormat="1" x14ac:dyDescent="0.3">
      <c r="B109" s="45"/>
      <c r="C109" s="46"/>
      <c r="D109" s="47"/>
      <c r="E109" s="48"/>
      <c r="F109" s="47"/>
      <c r="G109" s="49"/>
      <c r="H109" s="49"/>
      <c r="I109" s="50"/>
      <c r="J109" s="51"/>
      <c r="K109" s="52"/>
      <c r="L109" s="52"/>
      <c r="M109" s="49"/>
      <c r="N109" s="50"/>
      <c r="O109" s="49"/>
      <c r="P109" s="49"/>
      <c r="Q109" s="51"/>
      <c r="R109" s="51"/>
      <c r="S109" s="51"/>
    </row>
    <row r="110" spans="2:19" s="43" customFormat="1" x14ac:dyDescent="0.3">
      <c r="B110" s="45"/>
      <c r="C110" s="46"/>
      <c r="D110" s="47"/>
      <c r="E110" s="48"/>
      <c r="F110" s="47"/>
      <c r="G110" s="49"/>
      <c r="H110" s="49"/>
      <c r="I110" s="50"/>
      <c r="J110" s="51"/>
      <c r="K110" s="52"/>
      <c r="L110" s="52"/>
      <c r="M110" s="49"/>
      <c r="N110" s="50"/>
      <c r="O110" s="49"/>
      <c r="P110" s="49"/>
      <c r="Q110" s="51"/>
      <c r="R110" s="51"/>
      <c r="S110" s="51"/>
    </row>
    <row r="111" spans="2:19" s="43" customFormat="1" x14ac:dyDescent="0.3">
      <c r="B111" s="45"/>
      <c r="C111" s="46"/>
      <c r="D111" s="47"/>
      <c r="E111" s="48"/>
      <c r="F111" s="47"/>
      <c r="G111" s="49"/>
      <c r="H111" s="49"/>
      <c r="I111" s="50"/>
      <c r="J111" s="51"/>
      <c r="K111" s="52"/>
      <c r="L111" s="52"/>
      <c r="M111" s="49"/>
      <c r="N111" s="50"/>
      <c r="O111" s="49"/>
      <c r="P111" s="49"/>
      <c r="Q111" s="51"/>
      <c r="R111" s="51"/>
      <c r="S111" s="51"/>
    </row>
    <row r="112" spans="2:19" s="43" customFormat="1" x14ac:dyDescent="0.3">
      <c r="B112" s="45"/>
      <c r="C112" s="46"/>
      <c r="D112" s="47"/>
      <c r="E112" s="48"/>
      <c r="F112" s="47"/>
      <c r="G112" s="49"/>
      <c r="H112" s="49"/>
      <c r="I112" s="50"/>
      <c r="J112" s="51"/>
      <c r="K112" s="52"/>
      <c r="L112" s="52"/>
      <c r="M112" s="49"/>
      <c r="N112" s="50"/>
      <c r="O112" s="49"/>
      <c r="P112" s="49"/>
      <c r="Q112" s="51"/>
      <c r="R112" s="51"/>
      <c r="S112" s="51"/>
    </row>
    <row r="113" spans="2:19" s="43" customFormat="1" x14ac:dyDescent="0.3">
      <c r="B113" s="45"/>
      <c r="C113" s="46"/>
      <c r="D113" s="47"/>
      <c r="E113" s="48"/>
      <c r="F113" s="47"/>
      <c r="G113" s="49"/>
      <c r="H113" s="49"/>
      <c r="I113" s="50"/>
      <c r="J113" s="51"/>
      <c r="K113" s="52"/>
      <c r="L113" s="52"/>
      <c r="M113" s="49"/>
      <c r="N113" s="50"/>
      <c r="O113" s="49"/>
      <c r="P113" s="49"/>
      <c r="Q113" s="51"/>
      <c r="R113" s="51"/>
      <c r="S113" s="51"/>
    </row>
    <row r="114" spans="2:19" s="43" customFormat="1" x14ac:dyDescent="0.3">
      <c r="B114" s="45"/>
      <c r="C114" s="46"/>
      <c r="D114" s="47"/>
      <c r="E114" s="48"/>
      <c r="F114" s="47"/>
      <c r="G114" s="49"/>
      <c r="H114" s="49"/>
      <c r="I114" s="50"/>
      <c r="J114" s="51"/>
      <c r="K114" s="52"/>
      <c r="L114" s="52"/>
      <c r="M114" s="49"/>
      <c r="N114" s="50"/>
      <c r="O114" s="49"/>
      <c r="P114" s="49"/>
      <c r="Q114" s="51"/>
      <c r="R114" s="51"/>
      <c r="S114" s="51"/>
    </row>
    <row r="115" spans="2:19" s="43" customFormat="1" x14ac:dyDescent="0.3">
      <c r="B115" s="45"/>
      <c r="C115" s="46"/>
      <c r="D115" s="47"/>
      <c r="E115" s="48"/>
      <c r="F115" s="47"/>
      <c r="G115" s="49"/>
      <c r="H115" s="49"/>
      <c r="I115" s="50"/>
      <c r="J115" s="51"/>
      <c r="K115" s="52"/>
      <c r="L115" s="52"/>
      <c r="M115" s="49"/>
      <c r="N115" s="50"/>
      <c r="O115" s="49"/>
      <c r="P115" s="49"/>
      <c r="Q115" s="51"/>
      <c r="R115" s="51"/>
      <c r="S115" s="51"/>
    </row>
    <row r="116" spans="2:19" s="43" customFormat="1" x14ac:dyDescent="0.3">
      <c r="B116" s="45"/>
      <c r="C116" s="46"/>
      <c r="D116" s="47"/>
      <c r="E116" s="48"/>
      <c r="F116" s="47"/>
      <c r="G116" s="49"/>
      <c r="H116" s="49"/>
      <c r="I116" s="50"/>
      <c r="J116" s="51"/>
      <c r="K116" s="52"/>
      <c r="L116" s="52"/>
      <c r="M116" s="49"/>
      <c r="N116" s="50"/>
      <c r="O116" s="49"/>
      <c r="P116" s="49"/>
      <c r="Q116" s="51"/>
      <c r="R116" s="51"/>
      <c r="S116" s="51"/>
    </row>
    <row r="117" spans="2:19" s="43" customFormat="1" x14ac:dyDescent="0.3">
      <c r="B117" s="45"/>
      <c r="C117" s="46"/>
      <c r="D117" s="47"/>
      <c r="E117" s="48"/>
      <c r="F117" s="47"/>
      <c r="G117" s="49"/>
      <c r="H117" s="49"/>
      <c r="I117" s="50"/>
      <c r="J117" s="51"/>
      <c r="K117" s="52"/>
      <c r="L117" s="52"/>
      <c r="M117" s="49"/>
      <c r="N117" s="50"/>
      <c r="O117" s="49"/>
      <c r="P117" s="49"/>
      <c r="Q117" s="51"/>
      <c r="R117" s="51"/>
      <c r="S117" s="51"/>
    </row>
    <row r="118" spans="2:19" s="43" customFormat="1" x14ac:dyDescent="0.3">
      <c r="B118" s="45"/>
      <c r="C118" s="46"/>
      <c r="D118" s="47"/>
      <c r="E118" s="48"/>
      <c r="F118" s="47"/>
      <c r="G118" s="49"/>
      <c r="H118" s="49"/>
      <c r="I118" s="50"/>
      <c r="J118" s="51"/>
      <c r="K118" s="52"/>
      <c r="L118" s="52"/>
      <c r="M118" s="49"/>
      <c r="N118" s="50"/>
      <c r="O118" s="49"/>
      <c r="P118" s="49"/>
      <c r="Q118" s="51"/>
      <c r="R118" s="51"/>
      <c r="S118" s="51"/>
    </row>
    <row r="119" spans="2:19" s="43" customFormat="1" x14ac:dyDescent="0.3">
      <c r="B119" s="45"/>
      <c r="C119" s="46"/>
      <c r="D119" s="47"/>
      <c r="E119" s="48"/>
      <c r="F119" s="47"/>
      <c r="G119" s="49"/>
      <c r="H119" s="49"/>
      <c r="I119" s="50"/>
      <c r="J119" s="51"/>
      <c r="K119" s="52"/>
      <c r="L119" s="52"/>
      <c r="M119" s="49"/>
      <c r="N119" s="50"/>
      <c r="O119" s="49"/>
      <c r="P119" s="49"/>
      <c r="Q119" s="51"/>
      <c r="R119" s="51"/>
      <c r="S119" s="51"/>
    </row>
    <row r="120" spans="2:19" s="43" customFormat="1" x14ac:dyDescent="0.3">
      <c r="B120" s="45"/>
      <c r="C120" s="46"/>
      <c r="D120" s="47"/>
      <c r="E120" s="48"/>
      <c r="F120" s="47"/>
      <c r="G120" s="49"/>
      <c r="H120" s="49"/>
      <c r="I120" s="50"/>
      <c r="J120" s="51"/>
      <c r="K120" s="52"/>
      <c r="L120" s="52"/>
      <c r="M120" s="49"/>
      <c r="N120" s="50"/>
      <c r="O120" s="49"/>
      <c r="P120" s="49"/>
      <c r="Q120" s="51"/>
      <c r="R120" s="51"/>
      <c r="S120" s="51"/>
    </row>
    <row r="121" spans="2:19" s="43" customFormat="1" x14ac:dyDescent="0.3">
      <c r="B121" s="45"/>
      <c r="C121" s="46"/>
      <c r="D121" s="47"/>
      <c r="E121" s="48"/>
      <c r="F121" s="47"/>
      <c r="G121" s="49"/>
      <c r="H121" s="49"/>
      <c r="I121" s="50"/>
      <c r="J121" s="51"/>
      <c r="K121" s="52"/>
      <c r="L121" s="52"/>
      <c r="M121" s="49"/>
      <c r="N121" s="50"/>
      <c r="O121" s="49"/>
      <c r="P121" s="49"/>
      <c r="Q121" s="51"/>
      <c r="R121" s="51"/>
      <c r="S121" s="51"/>
    </row>
    <row r="122" spans="2:19" s="43" customFormat="1" x14ac:dyDescent="0.3">
      <c r="B122" s="45"/>
      <c r="C122" s="46"/>
      <c r="D122" s="47"/>
      <c r="E122" s="48"/>
      <c r="F122" s="47"/>
      <c r="G122" s="49"/>
      <c r="H122" s="49"/>
      <c r="I122" s="50"/>
      <c r="J122" s="51"/>
      <c r="K122" s="52"/>
      <c r="L122" s="52"/>
      <c r="M122" s="49"/>
      <c r="N122" s="50"/>
      <c r="O122" s="49"/>
      <c r="P122" s="49"/>
      <c r="Q122" s="51"/>
      <c r="R122" s="51"/>
      <c r="S122" s="51"/>
    </row>
    <row r="123" spans="2:19" s="43" customFormat="1" x14ac:dyDescent="0.3">
      <c r="B123" s="45"/>
      <c r="C123" s="46"/>
      <c r="D123" s="47"/>
      <c r="E123" s="48"/>
      <c r="F123" s="47"/>
      <c r="G123" s="49"/>
      <c r="H123" s="49"/>
      <c r="I123" s="50"/>
      <c r="J123" s="51"/>
      <c r="K123" s="52"/>
      <c r="L123" s="52"/>
      <c r="M123" s="49"/>
      <c r="N123" s="50"/>
      <c r="O123" s="49"/>
      <c r="P123" s="49"/>
      <c r="Q123" s="51"/>
      <c r="R123" s="51"/>
      <c r="S123" s="51"/>
    </row>
    <row r="124" spans="2:19" s="43" customFormat="1" x14ac:dyDescent="0.3">
      <c r="B124" s="45"/>
      <c r="C124" s="46"/>
      <c r="D124" s="47"/>
      <c r="E124" s="48"/>
      <c r="F124" s="47"/>
      <c r="G124" s="49"/>
      <c r="H124" s="49"/>
      <c r="I124" s="50"/>
      <c r="J124" s="51"/>
      <c r="K124" s="52"/>
      <c r="L124" s="52"/>
      <c r="M124" s="49"/>
      <c r="N124" s="50"/>
      <c r="O124" s="49"/>
      <c r="P124" s="49"/>
      <c r="Q124" s="51"/>
      <c r="R124" s="51"/>
      <c r="S124" s="51"/>
    </row>
    <row r="125" spans="2:19" s="43" customFormat="1" x14ac:dyDescent="0.3">
      <c r="B125" s="45"/>
      <c r="C125" s="46"/>
      <c r="D125" s="47"/>
      <c r="E125" s="48"/>
      <c r="F125" s="47"/>
      <c r="G125" s="49"/>
      <c r="H125" s="49"/>
      <c r="I125" s="50"/>
      <c r="J125" s="51"/>
      <c r="K125" s="52"/>
      <c r="L125" s="52"/>
      <c r="M125" s="49"/>
      <c r="N125" s="50"/>
      <c r="O125" s="49"/>
      <c r="P125" s="49"/>
      <c r="Q125" s="51"/>
      <c r="R125" s="51"/>
      <c r="S125" s="51"/>
    </row>
    <row r="126" spans="2:19" s="43" customFormat="1" x14ac:dyDescent="0.3">
      <c r="B126" s="45"/>
      <c r="C126" s="46"/>
      <c r="D126" s="47"/>
      <c r="E126" s="48"/>
      <c r="F126" s="47"/>
      <c r="G126" s="49"/>
      <c r="H126" s="49"/>
      <c r="I126" s="50"/>
      <c r="J126" s="51"/>
      <c r="K126" s="52"/>
      <c r="L126" s="52"/>
      <c r="M126" s="49"/>
      <c r="N126" s="50"/>
      <c r="O126" s="49"/>
      <c r="P126" s="49"/>
      <c r="Q126" s="51"/>
      <c r="R126" s="51"/>
      <c r="S126" s="51"/>
    </row>
    <row r="127" spans="2:19" s="43" customFormat="1" x14ac:dyDescent="0.3">
      <c r="B127" s="45"/>
      <c r="C127" s="46"/>
      <c r="D127" s="47"/>
      <c r="E127" s="48"/>
      <c r="F127" s="47"/>
      <c r="G127" s="49"/>
      <c r="H127" s="49"/>
      <c r="I127" s="50"/>
      <c r="J127" s="51"/>
      <c r="K127" s="52"/>
      <c r="L127" s="52"/>
      <c r="M127" s="49"/>
      <c r="N127" s="50"/>
      <c r="O127" s="49"/>
      <c r="P127" s="49"/>
      <c r="Q127" s="51"/>
      <c r="R127" s="51"/>
      <c r="S127" s="51"/>
    </row>
    <row r="128" spans="2:19" s="43" customFormat="1" x14ac:dyDescent="0.3">
      <c r="B128" s="45"/>
      <c r="C128" s="46"/>
      <c r="D128" s="47"/>
      <c r="E128" s="48"/>
      <c r="F128" s="47"/>
      <c r="G128" s="49"/>
      <c r="H128" s="49"/>
      <c r="I128" s="50"/>
      <c r="J128" s="51"/>
      <c r="K128" s="52"/>
      <c r="L128" s="52"/>
      <c r="M128" s="49"/>
      <c r="N128" s="50"/>
      <c r="O128" s="49"/>
      <c r="P128" s="49"/>
      <c r="Q128" s="51"/>
      <c r="R128" s="51"/>
      <c r="S128" s="51"/>
    </row>
    <row r="129" spans="2:19" s="43" customFormat="1" x14ac:dyDescent="0.3">
      <c r="B129" s="45"/>
      <c r="C129" s="46"/>
      <c r="D129" s="47"/>
      <c r="E129" s="48"/>
      <c r="F129" s="47"/>
      <c r="G129" s="49"/>
      <c r="H129" s="49"/>
      <c r="I129" s="50"/>
      <c r="J129" s="51"/>
      <c r="K129" s="52"/>
      <c r="L129" s="52"/>
      <c r="M129" s="49"/>
      <c r="N129" s="50"/>
      <c r="O129" s="49"/>
      <c r="P129" s="49"/>
      <c r="Q129" s="51"/>
      <c r="R129" s="51"/>
      <c r="S129" s="51"/>
    </row>
    <row r="130" spans="2:19" s="43" customFormat="1" x14ac:dyDescent="0.3">
      <c r="B130" s="45"/>
      <c r="C130" s="46"/>
      <c r="D130" s="47"/>
      <c r="E130" s="48"/>
      <c r="F130" s="47"/>
      <c r="G130" s="49"/>
      <c r="H130" s="49"/>
      <c r="I130" s="50"/>
      <c r="J130" s="51"/>
      <c r="K130" s="52"/>
      <c r="L130" s="52"/>
      <c r="M130" s="49"/>
      <c r="N130" s="50"/>
      <c r="O130" s="49"/>
      <c r="P130" s="49"/>
      <c r="Q130" s="51"/>
      <c r="R130" s="51"/>
      <c r="S130" s="51"/>
    </row>
    <row r="131" spans="2:19" s="43" customFormat="1" x14ac:dyDescent="0.3">
      <c r="B131" s="45"/>
      <c r="C131" s="46"/>
      <c r="D131" s="47"/>
      <c r="E131" s="48"/>
      <c r="F131" s="47"/>
      <c r="G131" s="49"/>
      <c r="H131" s="49"/>
      <c r="I131" s="50"/>
      <c r="J131" s="51"/>
      <c r="K131" s="52"/>
      <c r="L131" s="52"/>
      <c r="M131" s="49"/>
      <c r="N131" s="50"/>
      <c r="O131" s="49"/>
      <c r="P131" s="49"/>
      <c r="Q131" s="51"/>
      <c r="R131" s="51"/>
      <c r="S131" s="51"/>
    </row>
    <row r="132" spans="2:19" s="43" customFormat="1" x14ac:dyDescent="0.3">
      <c r="B132" s="45"/>
      <c r="C132" s="46"/>
      <c r="D132" s="47"/>
      <c r="E132" s="48"/>
      <c r="F132" s="47"/>
      <c r="G132" s="49"/>
      <c r="H132" s="49"/>
      <c r="I132" s="50"/>
      <c r="J132" s="51"/>
      <c r="K132" s="52"/>
      <c r="L132" s="52"/>
      <c r="M132" s="49"/>
      <c r="N132" s="50"/>
      <c r="O132" s="49"/>
      <c r="P132" s="49"/>
      <c r="Q132" s="51"/>
      <c r="R132" s="51"/>
      <c r="S132" s="51"/>
    </row>
    <row r="133" spans="2:19" s="43" customFormat="1" x14ac:dyDescent="0.3">
      <c r="B133" s="45"/>
      <c r="C133" s="46"/>
      <c r="D133" s="47"/>
      <c r="E133" s="48"/>
      <c r="F133" s="47"/>
      <c r="G133" s="49"/>
      <c r="H133" s="49"/>
      <c r="I133" s="50"/>
      <c r="J133" s="51"/>
      <c r="K133" s="52"/>
      <c r="L133" s="52"/>
      <c r="M133" s="49"/>
      <c r="N133" s="50"/>
      <c r="O133" s="49"/>
      <c r="P133" s="49"/>
      <c r="Q133" s="51"/>
      <c r="R133" s="51"/>
      <c r="S133" s="51"/>
    </row>
    <row r="134" spans="2:19" s="43" customFormat="1" x14ac:dyDescent="0.3">
      <c r="B134" s="45"/>
      <c r="C134" s="46"/>
      <c r="D134" s="47"/>
      <c r="E134" s="48"/>
      <c r="F134" s="47"/>
      <c r="G134" s="49"/>
      <c r="H134" s="49"/>
      <c r="I134" s="50"/>
      <c r="J134" s="51"/>
      <c r="K134" s="52"/>
      <c r="L134" s="52"/>
      <c r="M134" s="49"/>
      <c r="N134" s="50"/>
      <c r="O134" s="49"/>
      <c r="P134" s="49"/>
      <c r="Q134" s="51"/>
      <c r="R134" s="51"/>
      <c r="S134" s="51"/>
    </row>
    <row r="135" spans="2:19" s="43" customFormat="1" x14ac:dyDescent="0.3">
      <c r="B135" s="45"/>
      <c r="C135" s="46"/>
      <c r="D135" s="47"/>
      <c r="E135" s="48"/>
      <c r="F135" s="47"/>
      <c r="G135" s="49"/>
      <c r="H135" s="49"/>
      <c r="I135" s="50"/>
      <c r="J135" s="51"/>
      <c r="K135" s="52"/>
      <c r="L135" s="52"/>
      <c r="M135" s="49"/>
      <c r="N135" s="50"/>
      <c r="O135" s="49"/>
      <c r="P135" s="49"/>
      <c r="Q135" s="51"/>
      <c r="R135" s="51"/>
      <c r="S135" s="51"/>
    </row>
    <row r="136" spans="2:19" s="43" customFormat="1" x14ac:dyDescent="0.3">
      <c r="B136" s="45"/>
      <c r="C136" s="46"/>
      <c r="D136" s="47"/>
      <c r="E136" s="48"/>
      <c r="F136" s="47"/>
      <c r="G136" s="49"/>
      <c r="H136" s="49"/>
      <c r="I136" s="50"/>
      <c r="J136" s="51"/>
      <c r="K136" s="52"/>
      <c r="L136" s="52"/>
      <c r="M136" s="49"/>
      <c r="N136" s="50"/>
      <c r="O136" s="49"/>
      <c r="P136" s="49"/>
      <c r="Q136" s="51"/>
      <c r="R136" s="51"/>
      <c r="S136" s="51"/>
    </row>
    <row r="137" spans="2:19" s="43" customFormat="1" x14ac:dyDescent="0.3">
      <c r="B137" s="45"/>
      <c r="C137" s="46"/>
      <c r="D137" s="47"/>
      <c r="E137" s="48"/>
      <c r="F137" s="47"/>
      <c r="G137" s="49"/>
      <c r="H137" s="49"/>
      <c r="I137" s="50"/>
      <c r="J137" s="51"/>
      <c r="K137" s="52"/>
      <c r="L137" s="52"/>
      <c r="M137" s="49"/>
      <c r="N137" s="50"/>
      <c r="O137" s="49"/>
      <c r="P137" s="49"/>
      <c r="Q137" s="51"/>
      <c r="R137" s="51"/>
      <c r="S137" s="51"/>
    </row>
    <row r="138" spans="2:19" s="43" customFormat="1" x14ac:dyDescent="0.3">
      <c r="B138" s="45"/>
      <c r="C138" s="46"/>
      <c r="D138" s="47"/>
      <c r="E138" s="48"/>
      <c r="F138" s="47"/>
      <c r="G138" s="49"/>
      <c r="H138" s="49"/>
      <c r="I138" s="50"/>
      <c r="J138" s="51"/>
      <c r="K138" s="52"/>
      <c r="L138" s="52"/>
      <c r="M138" s="49"/>
      <c r="N138" s="50"/>
      <c r="O138" s="49"/>
      <c r="P138" s="49"/>
      <c r="Q138" s="51"/>
      <c r="R138" s="51"/>
      <c r="S138" s="51"/>
    </row>
    <row r="139" spans="2:19" s="43" customFormat="1" x14ac:dyDescent="0.3">
      <c r="B139" s="45"/>
      <c r="C139" s="46"/>
      <c r="D139" s="47"/>
      <c r="E139" s="48"/>
      <c r="F139" s="47"/>
      <c r="G139" s="49"/>
      <c r="H139" s="49"/>
      <c r="I139" s="50"/>
      <c r="J139" s="51"/>
      <c r="K139" s="52"/>
      <c r="L139" s="52"/>
      <c r="M139" s="49"/>
      <c r="N139" s="50"/>
      <c r="O139" s="49"/>
      <c r="P139" s="49"/>
      <c r="Q139" s="51"/>
      <c r="R139" s="51"/>
      <c r="S139" s="51"/>
    </row>
    <row r="140" spans="2:19" s="43" customFormat="1" x14ac:dyDescent="0.3">
      <c r="B140" s="45"/>
      <c r="C140" s="46"/>
      <c r="D140" s="47"/>
      <c r="E140" s="48"/>
      <c r="F140" s="47"/>
      <c r="G140" s="49"/>
      <c r="H140" s="49"/>
      <c r="I140" s="50"/>
      <c r="J140" s="51"/>
      <c r="K140" s="52"/>
      <c r="L140" s="52"/>
      <c r="M140" s="49"/>
      <c r="N140" s="50"/>
      <c r="O140" s="49"/>
      <c r="P140" s="49"/>
      <c r="Q140" s="51"/>
      <c r="R140" s="51"/>
      <c r="S140" s="51"/>
    </row>
    <row r="141" spans="2:19" s="43" customFormat="1" x14ac:dyDescent="0.3">
      <c r="B141" s="45"/>
      <c r="C141" s="46"/>
      <c r="D141" s="47"/>
      <c r="E141" s="48"/>
      <c r="F141" s="47"/>
      <c r="G141" s="49"/>
      <c r="H141" s="49"/>
      <c r="I141" s="50"/>
      <c r="J141" s="51"/>
      <c r="K141" s="52"/>
      <c r="L141" s="52"/>
      <c r="M141" s="49"/>
      <c r="N141" s="50"/>
      <c r="O141" s="49"/>
      <c r="P141" s="49"/>
      <c r="Q141" s="51"/>
      <c r="R141" s="51"/>
      <c r="S141" s="51"/>
    </row>
    <row r="142" spans="2:19" s="43" customFormat="1" x14ac:dyDescent="0.3">
      <c r="B142" s="45"/>
      <c r="C142" s="46"/>
      <c r="D142" s="47"/>
      <c r="E142" s="48"/>
      <c r="F142" s="47"/>
      <c r="G142" s="49"/>
      <c r="H142" s="49"/>
      <c r="I142" s="50"/>
      <c r="J142" s="51"/>
      <c r="K142" s="52"/>
      <c r="L142" s="52"/>
      <c r="M142" s="49"/>
      <c r="N142" s="50"/>
      <c r="O142" s="49"/>
      <c r="P142" s="49"/>
      <c r="Q142" s="51"/>
      <c r="R142" s="51"/>
      <c r="S142" s="51"/>
    </row>
    <row r="143" spans="2:19" s="43" customFormat="1" x14ac:dyDescent="0.3">
      <c r="B143" s="45"/>
      <c r="C143" s="46"/>
      <c r="D143" s="47"/>
      <c r="E143" s="48"/>
      <c r="F143" s="47"/>
      <c r="G143" s="49"/>
      <c r="H143" s="49"/>
      <c r="I143" s="50"/>
      <c r="J143" s="51"/>
      <c r="K143" s="52"/>
      <c r="L143" s="52"/>
      <c r="M143" s="49"/>
      <c r="N143" s="50"/>
      <c r="O143" s="49"/>
      <c r="P143" s="49"/>
      <c r="Q143" s="51"/>
      <c r="R143" s="51"/>
      <c r="S143" s="51"/>
    </row>
    <row r="144" spans="2:19" s="43" customFormat="1" x14ac:dyDescent="0.3">
      <c r="B144" s="45"/>
      <c r="C144" s="46"/>
      <c r="D144" s="47"/>
      <c r="E144" s="48"/>
      <c r="F144" s="47"/>
      <c r="G144" s="49"/>
      <c r="H144" s="49"/>
      <c r="I144" s="50"/>
      <c r="J144" s="51"/>
      <c r="K144" s="52"/>
      <c r="L144" s="52"/>
      <c r="M144" s="49"/>
      <c r="N144" s="50"/>
      <c r="O144" s="49"/>
      <c r="P144" s="49"/>
      <c r="Q144" s="51"/>
      <c r="R144" s="51"/>
      <c r="S144" s="51"/>
    </row>
    <row r="145" spans="2:19" s="43" customFormat="1" x14ac:dyDescent="0.3">
      <c r="B145" s="45"/>
      <c r="C145" s="46"/>
      <c r="D145" s="47"/>
      <c r="E145" s="48"/>
      <c r="F145" s="47"/>
      <c r="G145" s="49"/>
      <c r="H145" s="49"/>
      <c r="I145" s="50"/>
      <c r="J145" s="51"/>
      <c r="K145" s="52"/>
      <c r="L145" s="52"/>
      <c r="M145" s="49"/>
      <c r="N145" s="50"/>
      <c r="O145" s="49"/>
      <c r="P145" s="49"/>
      <c r="Q145" s="51"/>
      <c r="R145" s="51"/>
      <c r="S145" s="51"/>
    </row>
    <row r="146" spans="2:19" s="43" customFormat="1" x14ac:dyDescent="0.3">
      <c r="B146" s="45"/>
      <c r="C146" s="46"/>
      <c r="D146" s="47"/>
      <c r="E146" s="48"/>
      <c r="F146" s="47"/>
      <c r="G146" s="49"/>
      <c r="H146" s="49"/>
      <c r="I146" s="50"/>
      <c r="J146" s="51"/>
      <c r="K146" s="52"/>
      <c r="L146" s="52"/>
      <c r="M146" s="49"/>
      <c r="N146" s="50"/>
      <c r="O146" s="49"/>
      <c r="P146" s="49"/>
      <c r="Q146" s="51"/>
      <c r="R146" s="51"/>
      <c r="S146" s="51"/>
    </row>
    <row r="147" spans="2:19" s="43" customFormat="1" x14ac:dyDescent="0.3">
      <c r="B147" s="45"/>
      <c r="C147" s="46"/>
      <c r="D147" s="47"/>
      <c r="E147" s="48"/>
      <c r="F147" s="47"/>
      <c r="G147" s="49"/>
      <c r="H147" s="49"/>
      <c r="I147" s="50"/>
      <c r="J147" s="51"/>
      <c r="K147" s="52"/>
      <c r="L147" s="52"/>
      <c r="M147" s="49"/>
      <c r="N147" s="50"/>
      <c r="O147" s="49"/>
      <c r="P147" s="49"/>
      <c r="Q147" s="51"/>
      <c r="R147" s="51"/>
      <c r="S147" s="51"/>
    </row>
    <row r="148" spans="2:19" s="43" customFormat="1" x14ac:dyDescent="0.3">
      <c r="B148" s="45"/>
      <c r="C148" s="46"/>
      <c r="D148" s="47"/>
      <c r="E148" s="48"/>
      <c r="F148" s="47"/>
      <c r="G148" s="49"/>
      <c r="H148" s="49"/>
      <c r="I148" s="50"/>
      <c r="J148" s="51"/>
      <c r="K148" s="52"/>
      <c r="L148" s="52"/>
      <c r="M148" s="49"/>
      <c r="N148" s="50"/>
      <c r="O148" s="49"/>
      <c r="P148" s="49"/>
      <c r="Q148" s="51"/>
      <c r="R148" s="51"/>
      <c r="S148" s="51"/>
    </row>
    <row r="149" spans="2:19" s="43" customFormat="1" x14ac:dyDescent="0.3">
      <c r="B149" s="45"/>
      <c r="C149" s="46"/>
      <c r="D149" s="47"/>
      <c r="E149" s="48"/>
      <c r="F149" s="47"/>
      <c r="G149" s="49"/>
      <c r="H149" s="49"/>
      <c r="I149" s="50"/>
      <c r="J149" s="51"/>
      <c r="K149" s="52"/>
      <c r="L149" s="52"/>
      <c r="M149" s="49"/>
      <c r="N149" s="50"/>
      <c r="O149" s="49"/>
      <c r="P149" s="49"/>
      <c r="Q149" s="51"/>
      <c r="R149" s="51"/>
      <c r="S149" s="51"/>
    </row>
    <row r="150" spans="2:19" s="43" customFormat="1" x14ac:dyDescent="0.3">
      <c r="B150" s="45"/>
      <c r="C150" s="46"/>
      <c r="D150" s="47"/>
      <c r="E150" s="48"/>
      <c r="F150" s="47"/>
      <c r="G150" s="49"/>
      <c r="H150" s="49"/>
      <c r="I150" s="50"/>
      <c r="J150" s="51"/>
      <c r="K150" s="52"/>
      <c r="L150" s="52"/>
      <c r="M150" s="49"/>
      <c r="N150" s="50"/>
      <c r="O150" s="49"/>
      <c r="P150" s="49"/>
      <c r="Q150" s="51">
        <f t="shared" ref="Q150:Q213" si="3">MIN(G150:L150)</f>
        <v>0</v>
      </c>
      <c r="R150" s="51"/>
      <c r="S150" s="51"/>
    </row>
    <row r="151" spans="2:19" s="43" customFormat="1" x14ac:dyDescent="0.3">
      <c r="B151" s="45"/>
      <c r="C151" s="46"/>
      <c r="D151" s="47"/>
      <c r="E151" s="48"/>
      <c r="F151" s="47"/>
      <c r="G151" s="49"/>
      <c r="H151" s="49"/>
      <c r="I151" s="50"/>
      <c r="J151" s="51"/>
      <c r="K151" s="52"/>
      <c r="L151" s="52"/>
      <c r="M151" s="49"/>
      <c r="N151" s="50"/>
      <c r="O151" s="49"/>
      <c r="P151" s="49"/>
      <c r="Q151" s="51">
        <f t="shared" si="3"/>
        <v>0</v>
      </c>
      <c r="R151" s="51"/>
      <c r="S151" s="51"/>
    </row>
    <row r="152" spans="2:19" s="43" customFormat="1" x14ac:dyDescent="0.3">
      <c r="B152" s="45"/>
      <c r="C152" s="46"/>
      <c r="D152" s="47"/>
      <c r="E152" s="48"/>
      <c r="F152" s="47"/>
      <c r="G152" s="49"/>
      <c r="H152" s="49"/>
      <c r="I152" s="50"/>
      <c r="J152" s="51"/>
      <c r="K152" s="52"/>
      <c r="L152" s="52"/>
      <c r="M152" s="49"/>
      <c r="N152" s="50"/>
      <c r="O152" s="49"/>
      <c r="P152" s="49"/>
      <c r="Q152" s="51">
        <f t="shared" si="3"/>
        <v>0</v>
      </c>
      <c r="R152" s="51"/>
      <c r="S152" s="51"/>
    </row>
    <row r="153" spans="2:19" s="43" customFormat="1" x14ac:dyDescent="0.3">
      <c r="B153" s="45"/>
      <c r="C153" s="46"/>
      <c r="D153" s="47"/>
      <c r="E153" s="48"/>
      <c r="F153" s="47"/>
      <c r="G153" s="49"/>
      <c r="H153" s="49"/>
      <c r="I153" s="50"/>
      <c r="J153" s="51"/>
      <c r="K153" s="52"/>
      <c r="L153" s="52"/>
      <c r="M153" s="49"/>
      <c r="N153" s="50"/>
      <c r="O153" s="49"/>
      <c r="P153" s="49"/>
      <c r="Q153" s="51">
        <f t="shared" si="3"/>
        <v>0</v>
      </c>
      <c r="R153" s="51"/>
      <c r="S153" s="51"/>
    </row>
    <row r="154" spans="2:19" s="43" customFormat="1" x14ac:dyDescent="0.3">
      <c r="B154" s="45"/>
      <c r="C154" s="46"/>
      <c r="D154" s="47"/>
      <c r="E154" s="48"/>
      <c r="F154" s="47"/>
      <c r="G154" s="49"/>
      <c r="H154" s="49"/>
      <c r="I154" s="50"/>
      <c r="J154" s="51"/>
      <c r="K154" s="52"/>
      <c r="L154" s="52"/>
      <c r="M154" s="49"/>
      <c r="N154" s="50"/>
      <c r="O154" s="49"/>
      <c r="P154" s="49"/>
      <c r="Q154" s="51">
        <f t="shared" si="3"/>
        <v>0</v>
      </c>
      <c r="R154" s="51"/>
      <c r="S154" s="51"/>
    </row>
    <row r="155" spans="2:19" s="43" customFormat="1" x14ac:dyDescent="0.3">
      <c r="B155" s="45"/>
      <c r="C155" s="46"/>
      <c r="D155" s="47"/>
      <c r="E155" s="48"/>
      <c r="F155" s="47"/>
      <c r="G155" s="49"/>
      <c r="H155" s="49"/>
      <c r="I155" s="50"/>
      <c r="J155" s="51"/>
      <c r="K155" s="52"/>
      <c r="L155" s="52"/>
      <c r="M155" s="49"/>
      <c r="N155" s="50"/>
      <c r="O155" s="49"/>
      <c r="P155" s="49"/>
      <c r="Q155" s="51">
        <f t="shared" si="3"/>
        <v>0</v>
      </c>
      <c r="R155" s="51"/>
      <c r="S155" s="51"/>
    </row>
    <row r="156" spans="2:19" s="43" customFormat="1" x14ac:dyDescent="0.3">
      <c r="B156" s="45"/>
      <c r="C156" s="46"/>
      <c r="D156" s="47"/>
      <c r="E156" s="48"/>
      <c r="F156" s="47"/>
      <c r="G156" s="49"/>
      <c r="H156" s="49"/>
      <c r="I156" s="50"/>
      <c r="J156" s="51"/>
      <c r="K156" s="52"/>
      <c r="L156" s="52"/>
      <c r="M156" s="49"/>
      <c r="N156" s="50"/>
      <c r="O156" s="49"/>
      <c r="P156" s="49"/>
      <c r="Q156" s="51">
        <f t="shared" si="3"/>
        <v>0</v>
      </c>
      <c r="R156" s="51"/>
      <c r="S156" s="51"/>
    </row>
    <row r="157" spans="2:19" s="43" customFormat="1" x14ac:dyDescent="0.3">
      <c r="B157" s="45"/>
      <c r="C157" s="46"/>
      <c r="D157" s="47"/>
      <c r="E157" s="48"/>
      <c r="F157" s="47"/>
      <c r="G157" s="49"/>
      <c r="H157" s="49"/>
      <c r="I157" s="50"/>
      <c r="J157" s="51"/>
      <c r="K157" s="52"/>
      <c r="L157" s="52"/>
      <c r="M157" s="49"/>
      <c r="N157" s="50"/>
      <c r="O157" s="49"/>
      <c r="P157" s="49"/>
      <c r="Q157" s="51">
        <f t="shared" si="3"/>
        <v>0</v>
      </c>
      <c r="R157" s="51"/>
      <c r="S157" s="51"/>
    </row>
    <row r="158" spans="2:19" s="43" customFormat="1" x14ac:dyDescent="0.3">
      <c r="B158" s="45"/>
      <c r="C158" s="46"/>
      <c r="D158" s="47"/>
      <c r="E158" s="48"/>
      <c r="F158" s="47"/>
      <c r="G158" s="49"/>
      <c r="H158" s="49"/>
      <c r="I158" s="50"/>
      <c r="J158" s="51"/>
      <c r="K158" s="52"/>
      <c r="L158" s="52"/>
      <c r="M158" s="49"/>
      <c r="N158" s="50"/>
      <c r="O158" s="49"/>
      <c r="P158" s="49"/>
      <c r="Q158" s="51">
        <f t="shared" si="3"/>
        <v>0</v>
      </c>
      <c r="R158" s="51"/>
      <c r="S158" s="51"/>
    </row>
    <row r="159" spans="2:19" s="43" customFormat="1" x14ac:dyDescent="0.3">
      <c r="B159" s="45"/>
      <c r="C159" s="46"/>
      <c r="D159" s="47"/>
      <c r="E159" s="48"/>
      <c r="F159" s="47"/>
      <c r="G159" s="49"/>
      <c r="H159" s="49"/>
      <c r="I159" s="50"/>
      <c r="J159" s="51"/>
      <c r="K159" s="52"/>
      <c r="L159" s="52"/>
      <c r="M159" s="49"/>
      <c r="N159" s="50"/>
      <c r="O159" s="49"/>
      <c r="P159" s="49"/>
      <c r="Q159" s="51">
        <f t="shared" si="3"/>
        <v>0</v>
      </c>
      <c r="R159" s="51"/>
      <c r="S159" s="51"/>
    </row>
    <row r="160" spans="2:19" s="43" customFormat="1" x14ac:dyDescent="0.3">
      <c r="B160" s="45"/>
      <c r="C160" s="46"/>
      <c r="D160" s="47"/>
      <c r="E160" s="48"/>
      <c r="F160" s="47"/>
      <c r="G160" s="49"/>
      <c r="H160" s="49"/>
      <c r="I160" s="50"/>
      <c r="J160" s="51"/>
      <c r="K160" s="52"/>
      <c r="L160" s="52"/>
      <c r="M160" s="49"/>
      <c r="N160" s="50"/>
      <c r="O160" s="49"/>
      <c r="P160" s="49"/>
      <c r="Q160" s="51">
        <f t="shared" si="3"/>
        <v>0</v>
      </c>
      <c r="R160" s="51"/>
      <c r="S160" s="51"/>
    </row>
    <row r="161" spans="2:19" s="43" customFormat="1" x14ac:dyDescent="0.3">
      <c r="B161" s="45"/>
      <c r="C161" s="46"/>
      <c r="D161" s="47"/>
      <c r="E161" s="48"/>
      <c r="F161" s="47"/>
      <c r="G161" s="49"/>
      <c r="H161" s="49"/>
      <c r="I161" s="50"/>
      <c r="J161" s="51"/>
      <c r="K161" s="52"/>
      <c r="L161" s="52"/>
      <c r="M161" s="49"/>
      <c r="N161" s="50"/>
      <c r="O161" s="49"/>
      <c r="P161" s="49"/>
      <c r="Q161" s="51">
        <f t="shared" si="3"/>
        <v>0</v>
      </c>
      <c r="R161" s="51"/>
      <c r="S161" s="51"/>
    </row>
    <row r="162" spans="2:19" s="43" customFormat="1" x14ac:dyDescent="0.3">
      <c r="B162" s="45"/>
      <c r="C162" s="46"/>
      <c r="D162" s="47"/>
      <c r="E162" s="48"/>
      <c r="F162" s="47"/>
      <c r="G162" s="49"/>
      <c r="H162" s="49"/>
      <c r="I162" s="50"/>
      <c r="J162" s="51"/>
      <c r="K162" s="52"/>
      <c r="L162" s="52"/>
      <c r="M162" s="49"/>
      <c r="N162" s="50"/>
      <c r="O162" s="49"/>
      <c r="P162" s="49"/>
      <c r="Q162" s="51">
        <f t="shared" si="3"/>
        <v>0</v>
      </c>
      <c r="R162" s="51"/>
      <c r="S162" s="51"/>
    </row>
    <row r="163" spans="2:19" s="43" customFormat="1" x14ac:dyDescent="0.3">
      <c r="B163" s="45"/>
      <c r="C163" s="46"/>
      <c r="D163" s="47"/>
      <c r="E163" s="48"/>
      <c r="F163" s="47"/>
      <c r="G163" s="49"/>
      <c r="H163" s="49"/>
      <c r="I163" s="50"/>
      <c r="J163" s="51"/>
      <c r="K163" s="52"/>
      <c r="L163" s="52"/>
      <c r="M163" s="49"/>
      <c r="N163" s="50"/>
      <c r="O163" s="49"/>
      <c r="P163" s="49"/>
      <c r="Q163" s="51">
        <f t="shared" si="3"/>
        <v>0</v>
      </c>
      <c r="R163" s="51"/>
      <c r="S163" s="51"/>
    </row>
    <row r="164" spans="2:19" s="43" customFormat="1" x14ac:dyDescent="0.3">
      <c r="B164" s="45"/>
      <c r="C164" s="46"/>
      <c r="D164" s="47"/>
      <c r="E164" s="48"/>
      <c r="F164" s="47"/>
      <c r="G164" s="49"/>
      <c r="H164" s="49"/>
      <c r="I164" s="50"/>
      <c r="J164" s="51"/>
      <c r="K164" s="52"/>
      <c r="L164" s="52"/>
      <c r="M164" s="49"/>
      <c r="N164" s="50"/>
      <c r="O164" s="49"/>
      <c r="P164" s="49"/>
      <c r="Q164" s="51">
        <f t="shared" si="3"/>
        <v>0</v>
      </c>
      <c r="R164" s="51"/>
      <c r="S164" s="51"/>
    </row>
    <row r="165" spans="2:19" s="43" customFormat="1" x14ac:dyDescent="0.3">
      <c r="B165" s="45"/>
      <c r="C165" s="46"/>
      <c r="D165" s="47"/>
      <c r="E165" s="48"/>
      <c r="F165" s="47"/>
      <c r="G165" s="49"/>
      <c r="H165" s="49"/>
      <c r="I165" s="50"/>
      <c r="J165" s="51"/>
      <c r="K165" s="52"/>
      <c r="L165" s="52"/>
      <c r="M165" s="49"/>
      <c r="N165" s="50"/>
      <c r="O165" s="49"/>
      <c r="P165" s="49"/>
      <c r="Q165" s="51">
        <f t="shared" si="3"/>
        <v>0</v>
      </c>
      <c r="R165" s="51"/>
      <c r="S165" s="51"/>
    </row>
    <row r="166" spans="2:19" s="43" customFormat="1" x14ac:dyDescent="0.3">
      <c r="B166" s="45"/>
      <c r="C166" s="46"/>
      <c r="D166" s="47"/>
      <c r="E166" s="48"/>
      <c r="F166" s="47"/>
      <c r="G166" s="49"/>
      <c r="H166" s="49"/>
      <c r="I166" s="50"/>
      <c r="J166" s="51"/>
      <c r="K166" s="52"/>
      <c r="L166" s="52"/>
      <c r="M166" s="49"/>
      <c r="N166" s="50"/>
      <c r="O166" s="49"/>
      <c r="P166" s="49"/>
      <c r="Q166" s="51">
        <f t="shared" si="3"/>
        <v>0</v>
      </c>
      <c r="R166" s="51"/>
      <c r="S166" s="51"/>
    </row>
    <row r="167" spans="2:19" s="43" customFormat="1" x14ac:dyDescent="0.3">
      <c r="B167" s="45"/>
      <c r="C167" s="46"/>
      <c r="D167" s="47"/>
      <c r="E167" s="48"/>
      <c r="F167" s="47"/>
      <c r="G167" s="49"/>
      <c r="H167" s="49"/>
      <c r="I167" s="50"/>
      <c r="J167" s="51"/>
      <c r="K167" s="52"/>
      <c r="L167" s="52"/>
      <c r="M167" s="49"/>
      <c r="N167" s="50"/>
      <c r="O167" s="49"/>
      <c r="P167" s="49"/>
      <c r="Q167" s="51">
        <f t="shared" si="3"/>
        <v>0</v>
      </c>
      <c r="R167" s="51"/>
      <c r="S167" s="51"/>
    </row>
    <row r="168" spans="2:19" s="43" customFormat="1" x14ac:dyDescent="0.3">
      <c r="B168" s="45"/>
      <c r="C168" s="46"/>
      <c r="D168" s="47"/>
      <c r="E168" s="48"/>
      <c r="F168" s="47"/>
      <c r="G168" s="49"/>
      <c r="H168" s="49"/>
      <c r="I168" s="50"/>
      <c r="J168" s="51"/>
      <c r="K168" s="52"/>
      <c r="L168" s="52"/>
      <c r="M168" s="49"/>
      <c r="N168" s="50"/>
      <c r="O168" s="49"/>
      <c r="P168" s="49"/>
      <c r="Q168" s="51">
        <f t="shared" si="3"/>
        <v>0</v>
      </c>
      <c r="R168" s="51"/>
      <c r="S168" s="51"/>
    </row>
    <row r="169" spans="2:19" s="43" customFormat="1" x14ac:dyDescent="0.3">
      <c r="B169" s="45"/>
      <c r="C169" s="46"/>
      <c r="D169" s="47"/>
      <c r="E169" s="48"/>
      <c r="F169" s="47"/>
      <c r="G169" s="49"/>
      <c r="H169" s="49"/>
      <c r="I169" s="50"/>
      <c r="J169" s="51"/>
      <c r="K169" s="52"/>
      <c r="L169" s="52"/>
      <c r="M169" s="49"/>
      <c r="N169" s="50"/>
      <c r="O169" s="49"/>
      <c r="P169" s="49"/>
      <c r="Q169" s="51">
        <f t="shared" si="3"/>
        <v>0</v>
      </c>
      <c r="R169" s="51"/>
      <c r="S169" s="51"/>
    </row>
    <row r="170" spans="2:19" s="43" customFormat="1" x14ac:dyDescent="0.3">
      <c r="B170" s="45"/>
      <c r="C170" s="46"/>
      <c r="D170" s="47"/>
      <c r="E170" s="48"/>
      <c r="F170" s="47"/>
      <c r="G170" s="49"/>
      <c r="H170" s="49"/>
      <c r="I170" s="50"/>
      <c r="J170" s="51"/>
      <c r="K170" s="52"/>
      <c r="L170" s="52"/>
      <c r="M170" s="49"/>
      <c r="N170" s="50"/>
      <c r="O170" s="49"/>
      <c r="P170" s="49"/>
      <c r="Q170" s="51">
        <f t="shared" si="3"/>
        <v>0</v>
      </c>
      <c r="R170" s="51"/>
      <c r="S170" s="51"/>
    </row>
    <row r="171" spans="2:19" s="43" customFormat="1" x14ac:dyDescent="0.3">
      <c r="B171" s="45"/>
      <c r="C171" s="46"/>
      <c r="D171" s="47"/>
      <c r="E171" s="48"/>
      <c r="F171" s="47"/>
      <c r="G171" s="49"/>
      <c r="H171" s="49"/>
      <c r="I171" s="50"/>
      <c r="J171" s="51"/>
      <c r="K171" s="52"/>
      <c r="L171" s="52"/>
      <c r="M171" s="49"/>
      <c r="N171" s="50"/>
      <c r="O171" s="49"/>
      <c r="P171" s="49"/>
      <c r="Q171" s="51">
        <f t="shared" si="3"/>
        <v>0</v>
      </c>
      <c r="R171" s="51"/>
      <c r="S171" s="51"/>
    </row>
    <row r="172" spans="2:19" s="43" customFormat="1" x14ac:dyDescent="0.3">
      <c r="B172" s="45"/>
      <c r="C172" s="46"/>
      <c r="D172" s="47"/>
      <c r="E172" s="48"/>
      <c r="F172" s="47"/>
      <c r="G172" s="49"/>
      <c r="H172" s="49"/>
      <c r="I172" s="50"/>
      <c r="J172" s="51"/>
      <c r="K172" s="52"/>
      <c r="L172" s="52"/>
      <c r="M172" s="49"/>
      <c r="N172" s="50"/>
      <c r="O172" s="49"/>
      <c r="P172" s="49"/>
      <c r="Q172" s="51">
        <f t="shared" si="3"/>
        <v>0</v>
      </c>
      <c r="R172" s="51"/>
      <c r="S172" s="51"/>
    </row>
    <row r="173" spans="2:19" s="43" customFormat="1" x14ac:dyDescent="0.3">
      <c r="B173" s="45"/>
      <c r="C173" s="46"/>
      <c r="D173" s="47"/>
      <c r="E173" s="48"/>
      <c r="F173" s="47"/>
      <c r="G173" s="49"/>
      <c r="H173" s="49"/>
      <c r="I173" s="50"/>
      <c r="J173" s="51"/>
      <c r="K173" s="52"/>
      <c r="L173" s="52"/>
      <c r="M173" s="49"/>
      <c r="N173" s="50"/>
      <c r="O173" s="49"/>
      <c r="P173" s="49"/>
      <c r="Q173" s="51">
        <f t="shared" si="3"/>
        <v>0</v>
      </c>
      <c r="R173" s="51"/>
      <c r="S173" s="51"/>
    </row>
    <row r="174" spans="2:19" s="43" customFormat="1" x14ac:dyDescent="0.3">
      <c r="B174" s="45"/>
      <c r="C174" s="46"/>
      <c r="D174" s="47"/>
      <c r="E174" s="48"/>
      <c r="F174" s="47"/>
      <c r="G174" s="49"/>
      <c r="H174" s="49"/>
      <c r="I174" s="50"/>
      <c r="J174" s="51"/>
      <c r="K174" s="52"/>
      <c r="L174" s="52"/>
      <c r="M174" s="49"/>
      <c r="N174" s="50"/>
      <c r="O174" s="49"/>
      <c r="P174" s="49"/>
      <c r="Q174" s="51">
        <f t="shared" si="3"/>
        <v>0</v>
      </c>
      <c r="R174" s="51"/>
      <c r="S174" s="51"/>
    </row>
    <row r="175" spans="2:19" s="43" customFormat="1" x14ac:dyDescent="0.3">
      <c r="B175" s="45"/>
      <c r="C175" s="46"/>
      <c r="D175" s="47"/>
      <c r="E175" s="48"/>
      <c r="F175" s="47"/>
      <c r="G175" s="49"/>
      <c r="H175" s="49"/>
      <c r="I175" s="50"/>
      <c r="J175" s="51"/>
      <c r="K175" s="52"/>
      <c r="L175" s="52"/>
      <c r="M175" s="49"/>
      <c r="N175" s="50"/>
      <c r="O175" s="49"/>
      <c r="P175" s="49"/>
      <c r="Q175" s="51">
        <f t="shared" si="3"/>
        <v>0</v>
      </c>
      <c r="R175" s="51"/>
      <c r="S175" s="51"/>
    </row>
    <row r="176" spans="2:19" s="43" customFormat="1" x14ac:dyDescent="0.3">
      <c r="B176" s="45"/>
      <c r="C176" s="46"/>
      <c r="D176" s="47"/>
      <c r="E176" s="48"/>
      <c r="F176" s="47"/>
      <c r="G176" s="49"/>
      <c r="H176" s="49"/>
      <c r="I176" s="50"/>
      <c r="J176" s="51"/>
      <c r="K176" s="52"/>
      <c r="L176" s="52"/>
      <c r="M176" s="49"/>
      <c r="N176" s="50"/>
      <c r="O176" s="49"/>
      <c r="P176" s="49"/>
      <c r="Q176" s="51">
        <f t="shared" si="3"/>
        <v>0</v>
      </c>
      <c r="R176" s="51"/>
      <c r="S176" s="51"/>
    </row>
    <row r="177" spans="2:19" s="43" customFormat="1" x14ac:dyDescent="0.3">
      <c r="B177" s="45"/>
      <c r="C177" s="46"/>
      <c r="D177" s="47"/>
      <c r="E177" s="48"/>
      <c r="F177" s="47"/>
      <c r="G177" s="49"/>
      <c r="H177" s="49"/>
      <c r="I177" s="50"/>
      <c r="J177" s="51"/>
      <c r="K177" s="52"/>
      <c r="L177" s="52"/>
      <c r="M177" s="49"/>
      <c r="N177" s="50"/>
      <c r="O177" s="49"/>
      <c r="P177" s="49"/>
      <c r="Q177" s="51">
        <f t="shared" si="3"/>
        <v>0</v>
      </c>
      <c r="R177" s="51"/>
      <c r="S177" s="51"/>
    </row>
    <row r="178" spans="2:19" s="43" customFormat="1" x14ac:dyDescent="0.3">
      <c r="B178" s="45"/>
      <c r="C178" s="46"/>
      <c r="D178" s="47"/>
      <c r="E178" s="48"/>
      <c r="F178" s="47"/>
      <c r="G178" s="49"/>
      <c r="H178" s="49"/>
      <c r="I178" s="50"/>
      <c r="J178" s="51"/>
      <c r="K178" s="52"/>
      <c r="L178" s="52"/>
      <c r="M178" s="49"/>
      <c r="N178" s="50"/>
      <c r="O178" s="49"/>
      <c r="P178" s="49"/>
      <c r="Q178" s="51">
        <f t="shared" si="3"/>
        <v>0</v>
      </c>
      <c r="R178" s="51"/>
      <c r="S178" s="51"/>
    </row>
    <row r="179" spans="2:19" s="43" customFormat="1" x14ac:dyDescent="0.3">
      <c r="B179" s="45"/>
      <c r="C179" s="46"/>
      <c r="D179" s="47"/>
      <c r="E179" s="48"/>
      <c r="F179" s="47"/>
      <c r="G179" s="49"/>
      <c r="H179" s="49"/>
      <c r="I179" s="50"/>
      <c r="J179" s="51"/>
      <c r="K179" s="52"/>
      <c r="L179" s="52"/>
      <c r="M179" s="49"/>
      <c r="N179" s="50"/>
      <c r="O179" s="49"/>
      <c r="P179" s="49"/>
      <c r="Q179" s="51">
        <f t="shared" si="3"/>
        <v>0</v>
      </c>
      <c r="R179" s="51"/>
      <c r="S179" s="51"/>
    </row>
    <row r="180" spans="2:19" s="43" customFormat="1" x14ac:dyDescent="0.3">
      <c r="B180" s="45"/>
      <c r="C180" s="46"/>
      <c r="D180" s="47"/>
      <c r="E180" s="48"/>
      <c r="F180" s="47"/>
      <c r="G180" s="49"/>
      <c r="H180" s="49"/>
      <c r="I180" s="50"/>
      <c r="J180" s="51"/>
      <c r="K180" s="52"/>
      <c r="L180" s="52"/>
      <c r="M180" s="49"/>
      <c r="N180" s="50"/>
      <c r="O180" s="49"/>
      <c r="P180" s="49"/>
      <c r="Q180" s="51">
        <f t="shared" si="3"/>
        <v>0</v>
      </c>
      <c r="R180" s="51"/>
      <c r="S180" s="51"/>
    </row>
    <row r="181" spans="2:19" s="43" customFormat="1" x14ac:dyDescent="0.3">
      <c r="B181" s="45"/>
      <c r="C181" s="46"/>
      <c r="D181" s="47"/>
      <c r="E181" s="48"/>
      <c r="F181" s="47"/>
      <c r="G181" s="49"/>
      <c r="H181" s="49"/>
      <c r="I181" s="50"/>
      <c r="J181" s="51"/>
      <c r="K181" s="52"/>
      <c r="L181" s="52"/>
      <c r="M181" s="49"/>
      <c r="N181" s="50"/>
      <c r="O181" s="49"/>
      <c r="P181" s="49"/>
      <c r="Q181" s="51">
        <f t="shared" si="3"/>
        <v>0</v>
      </c>
      <c r="R181" s="51"/>
      <c r="S181" s="51"/>
    </row>
    <row r="182" spans="2:19" s="43" customFormat="1" x14ac:dyDescent="0.3">
      <c r="B182" s="45"/>
      <c r="C182" s="46"/>
      <c r="D182" s="47"/>
      <c r="E182" s="48"/>
      <c r="F182" s="47"/>
      <c r="G182" s="49"/>
      <c r="H182" s="49"/>
      <c r="I182" s="50"/>
      <c r="J182" s="51"/>
      <c r="K182" s="52"/>
      <c r="L182" s="52"/>
      <c r="M182" s="49"/>
      <c r="N182" s="50"/>
      <c r="O182" s="49"/>
      <c r="P182" s="49"/>
      <c r="Q182" s="51">
        <f t="shared" si="3"/>
        <v>0</v>
      </c>
      <c r="R182" s="51"/>
      <c r="S182" s="51"/>
    </row>
    <row r="183" spans="2:19" s="43" customFormat="1" x14ac:dyDescent="0.3">
      <c r="B183" s="45"/>
      <c r="C183" s="46"/>
      <c r="D183" s="47"/>
      <c r="E183" s="48"/>
      <c r="F183" s="47"/>
      <c r="G183" s="49"/>
      <c r="H183" s="49"/>
      <c r="I183" s="50"/>
      <c r="J183" s="51"/>
      <c r="K183" s="52"/>
      <c r="L183" s="52"/>
      <c r="M183" s="49"/>
      <c r="N183" s="50"/>
      <c r="O183" s="49"/>
      <c r="P183" s="49"/>
      <c r="Q183" s="51">
        <f t="shared" si="3"/>
        <v>0</v>
      </c>
      <c r="R183" s="51"/>
      <c r="S183" s="51"/>
    </row>
    <row r="184" spans="2:19" s="43" customFormat="1" x14ac:dyDescent="0.3">
      <c r="B184" s="45"/>
      <c r="C184" s="46"/>
      <c r="D184" s="47"/>
      <c r="E184" s="48"/>
      <c r="F184" s="47"/>
      <c r="G184" s="49"/>
      <c r="H184" s="49"/>
      <c r="I184" s="50"/>
      <c r="J184" s="51"/>
      <c r="K184" s="52"/>
      <c r="L184" s="52"/>
      <c r="M184" s="49"/>
      <c r="N184" s="50"/>
      <c r="O184" s="49"/>
      <c r="P184" s="49"/>
      <c r="Q184" s="51">
        <f t="shared" si="3"/>
        <v>0</v>
      </c>
      <c r="R184" s="51"/>
      <c r="S184" s="51"/>
    </row>
    <row r="185" spans="2:19" s="43" customFormat="1" x14ac:dyDescent="0.3">
      <c r="B185" s="45"/>
      <c r="C185" s="46"/>
      <c r="D185" s="47"/>
      <c r="E185" s="48"/>
      <c r="F185" s="47"/>
      <c r="G185" s="49"/>
      <c r="H185" s="49"/>
      <c r="I185" s="50"/>
      <c r="J185" s="51"/>
      <c r="K185" s="52"/>
      <c r="L185" s="52"/>
      <c r="M185" s="49"/>
      <c r="N185" s="50"/>
      <c r="O185" s="49"/>
      <c r="P185" s="49"/>
      <c r="Q185" s="51">
        <f t="shared" si="3"/>
        <v>0</v>
      </c>
      <c r="R185" s="51"/>
      <c r="S185" s="51"/>
    </row>
    <row r="186" spans="2:19" s="43" customFormat="1" x14ac:dyDescent="0.3">
      <c r="B186" s="45"/>
      <c r="C186" s="46"/>
      <c r="D186" s="47"/>
      <c r="E186" s="48"/>
      <c r="F186" s="47"/>
      <c r="G186" s="49"/>
      <c r="H186" s="49"/>
      <c r="I186" s="50"/>
      <c r="J186" s="51"/>
      <c r="K186" s="52"/>
      <c r="L186" s="52"/>
      <c r="M186" s="49"/>
      <c r="N186" s="50"/>
      <c r="O186" s="49"/>
      <c r="P186" s="49"/>
      <c r="Q186" s="51">
        <f t="shared" si="3"/>
        <v>0</v>
      </c>
      <c r="R186" s="51"/>
      <c r="S186" s="51"/>
    </row>
    <row r="187" spans="2:19" s="43" customFormat="1" x14ac:dyDescent="0.3">
      <c r="B187" s="45"/>
      <c r="C187" s="46"/>
      <c r="D187" s="47"/>
      <c r="E187" s="48"/>
      <c r="F187" s="47"/>
      <c r="G187" s="49"/>
      <c r="H187" s="49"/>
      <c r="I187" s="50"/>
      <c r="J187" s="51"/>
      <c r="K187" s="52"/>
      <c r="L187" s="52"/>
      <c r="M187" s="49"/>
      <c r="N187" s="50"/>
      <c r="O187" s="49"/>
      <c r="P187" s="49"/>
      <c r="Q187" s="51">
        <f t="shared" si="3"/>
        <v>0</v>
      </c>
      <c r="R187" s="51"/>
      <c r="S187" s="51"/>
    </row>
    <row r="188" spans="2:19" s="43" customFormat="1" x14ac:dyDescent="0.3">
      <c r="B188" s="45"/>
      <c r="C188" s="46"/>
      <c r="D188" s="47"/>
      <c r="E188" s="48"/>
      <c r="F188" s="47"/>
      <c r="G188" s="49"/>
      <c r="H188" s="49"/>
      <c r="I188" s="50"/>
      <c r="J188" s="51"/>
      <c r="K188" s="52"/>
      <c r="L188" s="52"/>
      <c r="M188" s="49"/>
      <c r="N188" s="50"/>
      <c r="O188" s="49"/>
      <c r="P188" s="49"/>
      <c r="Q188" s="51">
        <f t="shared" si="3"/>
        <v>0</v>
      </c>
      <c r="R188" s="51"/>
      <c r="S188" s="51"/>
    </row>
    <row r="189" spans="2:19" s="43" customFormat="1" x14ac:dyDescent="0.3">
      <c r="B189" s="45"/>
      <c r="C189" s="46"/>
      <c r="D189" s="47"/>
      <c r="E189" s="48"/>
      <c r="F189" s="47"/>
      <c r="G189" s="49"/>
      <c r="H189" s="49"/>
      <c r="I189" s="50"/>
      <c r="J189" s="51"/>
      <c r="K189" s="52"/>
      <c r="L189" s="52"/>
      <c r="M189" s="49"/>
      <c r="N189" s="50"/>
      <c r="O189" s="49"/>
      <c r="P189" s="49"/>
      <c r="Q189" s="51">
        <f t="shared" si="3"/>
        <v>0</v>
      </c>
      <c r="R189" s="51"/>
      <c r="S189" s="51"/>
    </row>
    <row r="190" spans="2:19" s="43" customFormat="1" x14ac:dyDescent="0.3">
      <c r="B190" s="45"/>
      <c r="C190" s="46"/>
      <c r="D190" s="47"/>
      <c r="E190" s="48"/>
      <c r="F190" s="47"/>
      <c r="G190" s="49"/>
      <c r="H190" s="49"/>
      <c r="I190" s="50"/>
      <c r="J190" s="51"/>
      <c r="K190" s="52"/>
      <c r="L190" s="52"/>
      <c r="M190" s="49"/>
      <c r="N190" s="50"/>
      <c r="O190" s="49"/>
      <c r="P190" s="49"/>
      <c r="Q190" s="51">
        <f t="shared" si="3"/>
        <v>0</v>
      </c>
      <c r="R190" s="51"/>
      <c r="S190" s="51"/>
    </row>
    <row r="191" spans="2:19" s="43" customFormat="1" x14ac:dyDescent="0.3">
      <c r="B191" s="45"/>
      <c r="C191" s="46"/>
      <c r="D191" s="47"/>
      <c r="E191" s="48"/>
      <c r="F191" s="47"/>
      <c r="G191" s="49"/>
      <c r="H191" s="49"/>
      <c r="I191" s="50"/>
      <c r="J191" s="51"/>
      <c r="K191" s="52"/>
      <c r="L191" s="52"/>
      <c r="M191" s="49"/>
      <c r="N191" s="50"/>
      <c r="O191" s="49"/>
      <c r="P191" s="49"/>
      <c r="Q191" s="51">
        <f t="shared" si="3"/>
        <v>0</v>
      </c>
      <c r="R191" s="51"/>
      <c r="S191" s="51"/>
    </row>
    <row r="192" spans="2:19" s="43" customFormat="1" x14ac:dyDescent="0.3">
      <c r="B192" s="45"/>
      <c r="C192" s="46"/>
      <c r="D192" s="47"/>
      <c r="E192" s="48"/>
      <c r="F192" s="47"/>
      <c r="G192" s="49"/>
      <c r="H192" s="49"/>
      <c r="I192" s="50"/>
      <c r="J192" s="51"/>
      <c r="K192" s="52"/>
      <c r="L192" s="52"/>
      <c r="M192" s="49"/>
      <c r="N192" s="50"/>
      <c r="O192" s="49"/>
      <c r="P192" s="49"/>
      <c r="Q192" s="51">
        <f t="shared" si="3"/>
        <v>0</v>
      </c>
      <c r="R192" s="51"/>
      <c r="S192" s="51"/>
    </row>
    <row r="193" spans="2:19" s="43" customFormat="1" x14ac:dyDescent="0.3">
      <c r="B193" s="45"/>
      <c r="C193" s="46"/>
      <c r="D193" s="47"/>
      <c r="E193" s="48"/>
      <c r="F193" s="47"/>
      <c r="G193" s="49"/>
      <c r="H193" s="49"/>
      <c r="I193" s="50"/>
      <c r="J193" s="51"/>
      <c r="K193" s="52"/>
      <c r="L193" s="52"/>
      <c r="M193" s="49"/>
      <c r="N193" s="50"/>
      <c r="O193" s="49"/>
      <c r="P193" s="49"/>
      <c r="Q193" s="51">
        <f t="shared" si="3"/>
        <v>0</v>
      </c>
      <c r="R193" s="51"/>
      <c r="S193" s="51"/>
    </row>
    <row r="194" spans="2:19" s="43" customFormat="1" x14ac:dyDescent="0.3">
      <c r="B194" s="45"/>
      <c r="C194" s="46"/>
      <c r="D194" s="47"/>
      <c r="E194" s="48"/>
      <c r="F194" s="47"/>
      <c r="G194" s="49"/>
      <c r="H194" s="49"/>
      <c r="I194" s="50"/>
      <c r="J194" s="51"/>
      <c r="K194" s="52"/>
      <c r="L194" s="52"/>
      <c r="M194" s="49"/>
      <c r="N194" s="50"/>
      <c r="O194" s="49"/>
      <c r="P194" s="49"/>
      <c r="Q194" s="51">
        <f t="shared" si="3"/>
        <v>0</v>
      </c>
      <c r="R194" s="51"/>
      <c r="S194" s="51"/>
    </row>
    <row r="195" spans="2:19" s="43" customFormat="1" x14ac:dyDescent="0.3">
      <c r="B195" s="45"/>
      <c r="C195" s="46"/>
      <c r="D195" s="47"/>
      <c r="E195" s="48"/>
      <c r="F195" s="47"/>
      <c r="G195" s="49"/>
      <c r="H195" s="49"/>
      <c r="I195" s="50"/>
      <c r="J195" s="51"/>
      <c r="K195" s="52"/>
      <c r="L195" s="52"/>
      <c r="M195" s="49"/>
      <c r="N195" s="50"/>
      <c r="O195" s="49"/>
      <c r="P195" s="49"/>
      <c r="Q195" s="51">
        <f t="shared" si="3"/>
        <v>0</v>
      </c>
      <c r="R195" s="51"/>
      <c r="S195" s="51"/>
    </row>
    <row r="196" spans="2:19" s="43" customFormat="1" x14ac:dyDescent="0.3">
      <c r="B196" s="45"/>
      <c r="C196" s="46"/>
      <c r="D196" s="47"/>
      <c r="E196" s="48"/>
      <c r="F196" s="47"/>
      <c r="G196" s="49"/>
      <c r="H196" s="49"/>
      <c r="I196" s="50"/>
      <c r="J196" s="51"/>
      <c r="K196" s="52"/>
      <c r="L196" s="52"/>
      <c r="M196" s="49"/>
      <c r="N196" s="50"/>
      <c r="O196" s="49"/>
      <c r="P196" s="49"/>
      <c r="Q196" s="51">
        <f t="shared" si="3"/>
        <v>0</v>
      </c>
      <c r="R196" s="51"/>
      <c r="S196" s="51"/>
    </row>
    <row r="197" spans="2:19" s="43" customFormat="1" x14ac:dyDescent="0.3">
      <c r="B197" s="45"/>
      <c r="C197" s="46"/>
      <c r="D197" s="47"/>
      <c r="E197" s="48"/>
      <c r="F197" s="47"/>
      <c r="G197" s="49"/>
      <c r="H197" s="49"/>
      <c r="I197" s="50"/>
      <c r="J197" s="51"/>
      <c r="K197" s="52"/>
      <c r="L197" s="52"/>
      <c r="M197" s="49"/>
      <c r="N197" s="50"/>
      <c r="O197" s="49"/>
      <c r="P197" s="49"/>
      <c r="Q197" s="51">
        <f t="shared" si="3"/>
        <v>0</v>
      </c>
      <c r="R197" s="51"/>
      <c r="S197" s="51"/>
    </row>
    <row r="198" spans="2:19" s="43" customFormat="1" x14ac:dyDescent="0.3">
      <c r="B198" s="45"/>
      <c r="C198" s="46"/>
      <c r="D198" s="47"/>
      <c r="E198" s="48"/>
      <c r="F198" s="47"/>
      <c r="G198" s="49"/>
      <c r="H198" s="49"/>
      <c r="I198" s="50"/>
      <c r="J198" s="51"/>
      <c r="K198" s="52"/>
      <c r="L198" s="52"/>
      <c r="M198" s="49"/>
      <c r="N198" s="50"/>
      <c r="O198" s="49"/>
      <c r="P198" s="49"/>
      <c r="Q198" s="51">
        <f t="shared" si="3"/>
        <v>0</v>
      </c>
      <c r="R198" s="51"/>
      <c r="S198" s="51"/>
    </row>
    <row r="199" spans="2:19" s="43" customFormat="1" x14ac:dyDescent="0.3">
      <c r="B199" s="45"/>
      <c r="C199" s="46"/>
      <c r="D199" s="47"/>
      <c r="E199" s="48"/>
      <c r="F199" s="47"/>
      <c r="G199" s="49"/>
      <c r="H199" s="49"/>
      <c r="I199" s="50"/>
      <c r="J199" s="51"/>
      <c r="K199" s="52"/>
      <c r="L199" s="52"/>
      <c r="M199" s="49"/>
      <c r="N199" s="50"/>
      <c r="O199" s="49"/>
      <c r="P199" s="49"/>
      <c r="Q199" s="51">
        <f t="shared" si="3"/>
        <v>0</v>
      </c>
      <c r="R199" s="51"/>
      <c r="S199" s="51"/>
    </row>
    <row r="200" spans="2:19" s="43" customFormat="1" x14ac:dyDescent="0.3">
      <c r="B200" s="45"/>
      <c r="C200" s="46"/>
      <c r="D200" s="47"/>
      <c r="E200" s="48"/>
      <c r="F200" s="47"/>
      <c r="G200" s="49"/>
      <c r="H200" s="49"/>
      <c r="I200" s="50"/>
      <c r="J200" s="51"/>
      <c r="K200" s="52"/>
      <c r="L200" s="52"/>
      <c r="M200" s="49"/>
      <c r="N200" s="50"/>
      <c r="O200" s="49"/>
      <c r="P200" s="49"/>
      <c r="Q200" s="51">
        <f t="shared" si="3"/>
        <v>0</v>
      </c>
      <c r="R200" s="51"/>
      <c r="S200" s="51"/>
    </row>
    <row r="201" spans="2:19" s="43" customFormat="1" x14ac:dyDescent="0.3">
      <c r="B201" s="45"/>
      <c r="C201" s="46"/>
      <c r="D201" s="47"/>
      <c r="E201" s="48"/>
      <c r="F201" s="47"/>
      <c r="G201" s="49"/>
      <c r="H201" s="49"/>
      <c r="I201" s="50"/>
      <c r="J201" s="51"/>
      <c r="K201" s="52"/>
      <c r="L201" s="52"/>
      <c r="M201" s="49"/>
      <c r="N201" s="50"/>
      <c r="O201" s="49"/>
      <c r="P201" s="49"/>
      <c r="Q201" s="51">
        <f t="shared" si="3"/>
        <v>0</v>
      </c>
      <c r="R201" s="51"/>
      <c r="S201" s="51"/>
    </row>
    <row r="202" spans="2:19" s="43" customFormat="1" x14ac:dyDescent="0.3">
      <c r="B202" s="45"/>
      <c r="C202" s="46"/>
      <c r="D202" s="47"/>
      <c r="E202" s="48"/>
      <c r="F202" s="47"/>
      <c r="G202" s="49"/>
      <c r="H202" s="49"/>
      <c r="I202" s="50"/>
      <c r="J202" s="51"/>
      <c r="K202" s="52"/>
      <c r="L202" s="52"/>
      <c r="M202" s="49"/>
      <c r="N202" s="50"/>
      <c r="O202" s="49"/>
      <c r="P202" s="49"/>
      <c r="Q202" s="51">
        <f t="shared" si="3"/>
        <v>0</v>
      </c>
      <c r="R202" s="51"/>
      <c r="S202" s="51"/>
    </row>
    <row r="203" spans="2:19" s="43" customFormat="1" x14ac:dyDescent="0.3">
      <c r="B203" s="45"/>
      <c r="C203" s="46"/>
      <c r="D203" s="47"/>
      <c r="E203" s="48"/>
      <c r="F203" s="47"/>
      <c r="G203" s="49"/>
      <c r="H203" s="49"/>
      <c r="I203" s="50"/>
      <c r="J203" s="51"/>
      <c r="K203" s="52"/>
      <c r="L203" s="52"/>
      <c r="M203" s="49"/>
      <c r="N203" s="50"/>
      <c r="O203" s="49"/>
      <c r="P203" s="49"/>
      <c r="Q203" s="51">
        <f t="shared" si="3"/>
        <v>0</v>
      </c>
      <c r="R203" s="51"/>
      <c r="S203" s="51"/>
    </row>
    <row r="204" spans="2:19" s="43" customFormat="1" x14ac:dyDescent="0.3">
      <c r="B204" s="45"/>
      <c r="C204" s="46"/>
      <c r="D204" s="47"/>
      <c r="E204" s="48"/>
      <c r="F204" s="47"/>
      <c r="G204" s="49"/>
      <c r="H204" s="49"/>
      <c r="I204" s="50"/>
      <c r="J204" s="51"/>
      <c r="K204" s="52"/>
      <c r="L204" s="52"/>
      <c r="M204" s="49"/>
      <c r="N204" s="50"/>
      <c r="O204" s="49"/>
      <c r="P204" s="49"/>
      <c r="Q204" s="51">
        <f t="shared" si="3"/>
        <v>0</v>
      </c>
      <c r="R204" s="51"/>
      <c r="S204" s="51"/>
    </row>
    <row r="205" spans="2:19" s="43" customFormat="1" x14ac:dyDescent="0.3">
      <c r="B205" s="45"/>
      <c r="C205" s="46"/>
      <c r="D205" s="47"/>
      <c r="E205" s="48"/>
      <c r="F205" s="47"/>
      <c r="G205" s="49"/>
      <c r="H205" s="49"/>
      <c r="I205" s="50"/>
      <c r="J205" s="51"/>
      <c r="K205" s="52"/>
      <c r="L205" s="52"/>
      <c r="M205" s="49"/>
      <c r="N205" s="50"/>
      <c r="O205" s="49"/>
      <c r="P205" s="49"/>
      <c r="Q205" s="51">
        <f t="shared" si="3"/>
        <v>0</v>
      </c>
      <c r="R205" s="51"/>
      <c r="S205" s="51"/>
    </row>
    <row r="206" spans="2:19" s="43" customFormat="1" x14ac:dyDescent="0.3">
      <c r="B206" s="45"/>
      <c r="C206" s="46"/>
      <c r="D206" s="47"/>
      <c r="E206" s="48"/>
      <c r="F206" s="47"/>
      <c r="G206" s="49"/>
      <c r="H206" s="49"/>
      <c r="I206" s="50"/>
      <c r="J206" s="51"/>
      <c r="K206" s="52"/>
      <c r="L206" s="52"/>
      <c r="M206" s="49"/>
      <c r="N206" s="50"/>
      <c r="O206" s="49"/>
      <c r="P206" s="49"/>
      <c r="Q206" s="51">
        <f t="shared" si="3"/>
        <v>0</v>
      </c>
      <c r="R206" s="51"/>
      <c r="S206" s="51"/>
    </row>
    <row r="207" spans="2:19" s="43" customFormat="1" x14ac:dyDescent="0.3">
      <c r="B207" s="45"/>
      <c r="C207" s="46"/>
      <c r="D207" s="47"/>
      <c r="E207" s="48"/>
      <c r="F207" s="47"/>
      <c r="G207" s="49"/>
      <c r="H207" s="49"/>
      <c r="I207" s="50"/>
      <c r="J207" s="51"/>
      <c r="K207" s="52"/>
      <c r="L207" s="52"/>
      <c r="M207" s="49"/>
      <c r="N207" s="50"/>
      <c r="O207" s="49"/>
      <c r="P207" s="49"/>
      <c r="Q207" s="51">
        <f t="shared" si="3"/>
        <v>0</v>
      </c>
      <c r="R207" s="51"/>
      <c r="S207" s="51"/>
    </row>
    <row r="208" spans="2:19" s="43" customFormat="1" x14ac:dyDescent="0.3">
      <c r="B208" s="45"/>
      <c r="C208" s="46"/>
      <c r="D208" s="47"/>
      <c r="E208" s="48"/>
      <c r="F208" s="47"/>
      <c r="G208" s="49"/>
      <c r="H208" s="49"/>
      <c r="I208" s="50"/>
      <c r="J208" s="51"/>
      <c r="K208" s="52"/>
      <c r="L208" s="52"/>
      <c r="M208" s="49"/>
      <c r="N208" s="50"/>
      <c r="O208" s="49"/>
      <c r="P208" s="49"/>
      <c r="Q208" s="51">
        <f t="shared" si="3"/>
        <v>0</v>
      </c>
      <c r="R208" s="51"/>
      <c r="S208" s="51"/>
    </row>
    <row r="209" spans="1:19" s="43" customFormat="1" x14ac:dyDescent="0.3">
      <c r="B209" s="45"/>
      <c r="C209" s="46"/>
      <c r="D209" s="47"/>
      <c r="E209" s="48"/>
      <c r="F209" s="47"/>
      <c r="G209" s="49"/>
      <c r="H209" s="49"/>
      <c r="I209" s="50"/>
      <c r="J209" s="51"/>
      <c r="K209" s="52"/>
      <c r="L209" s="52"/>
      <c r="M209" s="49"/>
      <c r="N209" s="50"/>
      <c r="O209" s="49"/>
      <c r="P209" s="49"/>
      <c r="Q209" s="51">
        <f t="shared" si="3"/>
        <v>0</v>
      </c>
      <c r="R209" s="51"/>
      <c r="S209" s="51"/>
    </row>
    <row r="210" spans="1:19" s="43" customFormat="1" x14ac:dyDescent="0.3">
      <c r="B210" s="45"/>
      <c r="C210" s="46"/>
      <c r="D210" s="47"/>
      <c r="E210" s="48"/>
      <c r="F210" s="47"/>
      <c r="G210" s="49"/>
      <c r="H210" s="49"/>
      <c r="I210" s="50"/>
      <c r="J210" s="51"/>
      <c r="K210" s="52"/>
      <c r="L210" s="52"/>
      <c r="M210" s="49"/>
      <c r="N210" s="50"/>
      <c r="O210" s="49"/>
      <c r="P210" s="49"/>
      <c r="Q210" s="51">
        <f t="shared" si="3"/>
        <v>0</v>
      </c>
      <c r="R210" s="51"/>
      <c r="S210" s="51"/>
    </row>
    <row r="211" spans="1:19" s="43" customFormat="1" x14ac:dyDescent="0.3">
      <c r="B211" s="45"/>
      <c r="C211" s="46"/>
      <c r="D211" s="47"/>
      <c r="E211" s="48"/>
      <c r="F211" s="47"/>
      <c r="G211" s="49"/>
      <c r="H211" s="49"/>
      <c r="I211" s="50"/>
      <c r="J211" s="51"/>
      <c r="K211" s="52"/>
      <c r="L211" s="52"/>
      <c r="M211" s="49"/>
      <c r="N211" s="50"/>
      <c r="O211" s="49"/>
      <c r="P211" s="49"/>
      <c r="Q211" s="51">
        <f t="shared" si="3"/>
        <v>0</v>
      </c>
      <c r="R211" s="51"/>
      <c r="S211" s="51"/>
    </row>
    <row r="212" spans="1:19" x14ac:dyDescent="0.3">
      <c r="A212" s="53"/>
      <c r="G212" s="54"/>
      <c r="H212" s="54"/>
      <c r="I212" s="55"/>
      <c r="J212" s="56"/>
      <c r="K212" s="57"/>
      <c r="L212" s="57"/>
      <c r="M212" s="54"/>
      <c r="N212" s="55"/>
      <c r="O212" s="54"/>
      <c r="Q212" s="56">
        <f t="shared" si="3"/>
        <v>0</v>
      </c>
      <c r="R212" s="56"/>
      <c r="S212" s="56"/>
    </row>
    <row r="213" spans="1:19" x14ac:dyDescent="0.3">
      <c r="Q213" s="30">
        <f t="shared" si="3"/>
        <v>0</v>
      </c>
      <c r="R213" s="30"/>
      <c r="S213" s="30"/>
    </row>
    <row r="214" spans="1:19" x14ac:dyDescent="0.3">
      <c r="Q214" s="30">
        <f t="shared" ref="Q214:Q277" si="4">MIN(G214:L214)</f>
        <v>0</v>
      </c>
      <c r="R214" s="30"/>
      <c r="S214" s="30"/>
    </row>
    <row r="215" spans="1:19" x14ac:dyDescent="0.3">
      <c r="Q215" s="30">
        <f t="shared" si="4"/>
        <v>0</v>
      </c>
      <c r="R215" s="30"/>
      <c r="S215" s="30"/>
    </row>
    <row r="216" spans="1:19" x14ac:dyDescent="0.3">
      <c r="Q216" s="30">
        <f t="shared" si="4"/>
        <v>0</v>
      </c>
      <c r="R216" s="30"/>
      <c r="S216" s="30"/>
    </row>
    <row r="217" spans="1:19" x14ac:dyDescent="0.3">
      <c r="Q217" s="30">
        <f t="shared" si="4"/>
        <v>0</v>
      </c>
      <c r="R217" s="30"/>
      <c r="S217" s="30"/>
    </row>
    <row r="218" spans="1:19" x14ac:dyDescent="0.3">
      <c r="Q218" s="30">
        <f t="shared" si="4"/>
        <v>0</v>
      </c>
      <c r="R218" s="30"/>
      <c r="S218" s="30"/>
    </row>
    <row r="219" spans="1:19" x14ac:dyDescent="0.3">
      <c r="Q219" s="30">
        <f t="shared" si="4"/>
        <v>0</v>
      </c>
      <c r="R219" s="30"/>
      <c r="S219" s="30"/>
    </row>
    <row r="220" spans="1:19" x14ac:dyDescent="0.3">
      <c r="Q220" s="30">
        <f t="shared" si="4"/>
        <v>0</v>
      </c>
      <c r="R220" s="30"/>
      <c r="S220" s="30"/>
    </row>
    <row r="221" spans="1:19" x14ac:dyDescent="0.3">
      <c r="Q221" s="30">
        <f t="shared" si="4"/>
        <v>0</v>
      </c>
      <c r="R221" s="30"/>
      <c r="S221" s="30"/>
    </row>
    <row r="222" spans="1:19" x14ac:dyDescent="0.3">
      <c r="Q222" s="30">
        <f t="shared" si="4"/>
        <v>0</v>
      </c>
      <c r="R222" s="30"/>
      <c r="S222" s="30"/>
    </row>
    <row r="223" spans="1:19" x14ac:dyDescent="0.3">
      <c r="Q223" s="30">
        <f t="shared" si="4"/>
        <v>0</v>
      </c>
      <c r="R223" s="30"/>
      <c r="S223" s="30"/>
    </row>
    <row r="224" spans="1:19" x14ac:dyDescent="0.3">
      <c r="Q224" s="30">
        <f t="shared" si="4"/>
        <v>0</v>
      </c>
      <c r="R224" s="30"/>
      <c r="S224" s="30"/>
    </row>
    <row r="225" spans="17:19" x14ac:dyDescent="0.3">
      <c r="Q225" s="30">
        <f t="shared" si="4"/>
        <v>0</v>
      </c>
      <c r="R225" s="30"/>
      <c r="S225" s="30"/>
    </row>
    <row r="226" spans="17:19" x14ac:dyDescent="0.3">
      <c r="Q226" s="30">
        <f t="shared" si="4"/>
        <v>0</v>
      </c>
      <c r="R226" s="30"/>
      <c r="S226" s="30"/>
    </row>
    <row r="227" spans="17:19" x14ac:dyDescent="0.3">
      <c r="Q227" s="30">
        <f t="shared" si="4"/>
        <v>0</v>
      </c>
      <c r="R227" s="30"/>
      <c r="S227" s="30"/>
    </row>
    <row r="228" spans="17:19" x14ac:dyDescent="0.3">
      <c r="Q228" s="30">
        <f t="shared" si="4"/>
        <v>0</v>
      </c>
      <c r="R228" s="30"/>
      <c r="S228" s="30"/>
    </row>
    <row r="229" spans="17:19" x14ac:dyDescent="0.3">
      <c r="Q229" s="30">
        <f t="shared" si="4"/>
        <v>0</v>
      </c>
      <c r="R229" s="30"/>
      <c r="S229" s="30"/>
    </row>
    <row r="230" spans="17:19" x14ac:dyDescent="0.3">
      <c r="Q230" s="30">
        <f t="shared" si="4"/>
        <v>0</v>
      </c>
      <c r="R230" s="30"/>
      <c r="S230" s="30"/>
    </row>
    <row r="231" spans="17:19" x14ac:dyDescent="0.3">
      <c r="Q231" s="30">
        <f t="shared" si="4"/>
        <v>0</v>
      </c>
      <c r="R231" s="30"/>
      <c r="S231" s="30"/>
    </row>
    <row r="232" spans="17:19" x14ac:dyDescent="0.3">
      <c r="Q232" s="30">
        <f t="shared" si="4"/>
        <v>0</v>
      </c>
      <c r="R232" s="30"/>
      <c r="S232" s="30"/>
    </row>
    <row r="233" spans="17:19" x14ac:dyDescent="0.3">
      <c r="Q233" s="30">
        <f t="shared" si="4"/>
        <v>0</v>
      </c>
      <c r="R233" s="30"/>
      <c r="S233" s="30"/>
    </row>
    <row r="234" spans="17:19" x14ac:dyDescent="0.3">
      <c r="Q234" s="30">
        <f t="shared" si="4"/>
        <v>0</v>
      </c>
      <c r="R234" s="30"/>
      <c r="S234" s="30"/>
    </row>
    <row r="235" spans="17:19" x14ac:dyDescent="0.3">
      <c r="Q235" s="30">
        <f t="shared" si="4"/>
        <v>0</v>
      </c>
      <c r="R235" s="30"/>
      <c r="S235" s="30"/>
    </row>
    <row r="236" spans="17:19" x14ac:dyDescent="0.3">
      <c r="Q236" s="30">
        <f t="shared" si="4"/>
        <v>0</v>
      </c>
      <c r="R236" s="30"/>
      <c r="S236" s="30"/>
    </row>
    <row r="237" spans="17:19" x14ac:dyDescent="0.3">
      <c r="Q237" s="30">
        <f t="shared" si="4"/>
        <v>0</v>
      </c>
      <c r="R237" s="30"/>
      <c r="S237" s="30"/>
    </row>
    <row r="238" spans="17:19" x14ac:dyDescent="0.3">
      <c r="Q238" s="30">
        <f t="shared" si="4"/>
        <v>0</v>
      </c>
      <c r="R238" s="30"/>
      <c r="S238" s="30"/>
    </row>
    <row r="239" spans="17:19" x14ac:dyDescent="0.3">
      <c r="Q239" s="30">
        <f t="shared" si="4"/>
        <v>0</v>
      </c>
      <c r="R239" s="30"/>
      <c r="S239" s="30"/>
    </row>
    <row r="240" spans="17:19" x14ac:dyDescent="0.3">
      <c r="Q240" s="30">
        <f t="shared" si="4"/>
        <v>0</v>
      </c>
      <c r="R240" s="30"/>
      <c r="S240" s="30"/>
    </row>
    <row r="241" spans="17:19" x14ac:dyDescent="0.3">
      <c r="Q241" s="30">
        <f t="shared" si="4"/>
        <v>0</v>
      </c>
      <c r="R241" s="30"/>
      <c r="S241" s="30"/>
    </row>
    <row r="242" spans="17:19" x14ac:dyDescent="0.3">
      <c r="Q242" s="30">
        <f t="shared" si="4"/>
        <v>0</v>
      </c>
      <c r="R242" s="30"/>
      <c r="S242" s="30"/>
    </row>
    <row r="243" spans="17:19" x14ac:dyDescent="0.3">
      <c r="Q243" s="30">
        <f t="shared" si="4"/>
        <v>0</v>
      </c>
      <c r="R243" s="30"/>
      <c r="S243" s="30"/>
    </row>
    <row r="244" spans="17:19" x14ac:dyDescent="0.3">
      <c r="Q244" s="30">
        <f t="shared" si="4"/>
        <v>0</v>
      </c>
      <c r="R244" s="30"/>
      <c r="S244" s="30"/>
    </row>
    <row r="245" spans="17:19" x14ac:dyDescent="0.3">
      <c r="Q245" s="30">
        <f t="shared" si="4"/>
        <v>0</v>
      </c>
      <c r="R245" s="30"/>
      <c r="S245" s="30"/>
    </row>
    <row r="246" spans="17:19" x14ac:dyDescent="0.3">
      <c r="Q246" s="30">
        <f t="shared" si="4"/>
        <v>0</v>
      </c>
      <c r="R246" s="30"/>
      <c r="S246" s="30"/>
    </row>
    <row r="247" spans="17:19" x14ac:dyDescent="0.3">
      <c r="Q247" s="30">
        <f t="shared" si="4"/>
        <v>0</v>
      </c>
      <c r="R247" s="30"/>
      <c r="S247" s="30"/>
    </row>
    <row r="248" spans="17:19" x14ac:dyDescent="0.3">
      <c r="Q248" s="30">
        <f t="shared" si="4"/>
        <v>0</v>
      </c>
      <c r="R248" s="30"/>
      <c r="S248" s="30"/>
    </row>
    <row r="249" spans="17:19" x14ac:dyDescent="0.3">
      <c r="Q249" s="30">
        <f t="shared" si="4"/>
        <v>0</v>
      </c>
      <c r="R249" s="30"/>
      <c r="S249" s="30"/>
    </row>
    <row r="250" spans="17:19" x14ac:dyDescent="0.3">
      <c r="Q250" s="30">
        <f t="shared" si="4"/>
        <v>0</v>
      </c>
      <c r="R250" s="30"/>
      <c r="S250" s="30"/>
    </row>
    <row r="251" spans="17:19" x14ac:dyDescent="0.3">
      <c r="Q251" s="30">
        <f t="shared" si="4"/>
        <v>0</v>
      </c>
      <c r="R251" s="30"/>
      <c r="S251" s="30"/>
    </row>
    <row r="252" spans="17:19" x14ac:dyDescent="0.3">
      <c r="Q252" s="30">
        <f t="shared" si="4"/>
        <v>0</v>
      </c>
      <c r="R252" s="30"/>
      <c r="S252" s="30"/>
    </row>
    <row r="253" spans="17:19" x14ac:dyDescent="0.3">
      <c r="Q253" s="30">
        <f t="shared" si="4"/>
        <v>0</v>
      </c>
      <c r="R253" s="30"/>
      <c r="S253" s="30"/>
    </row>
    <row r="254" spans="17:19" x14ac:dyDescent="0.3">
      <c r="Q254" s="30">
        <f t="shared" si="4"/>
        <v>0</v>
      </c>
      <c r="R254" s="30"/>
      <c r="S254" s="30"/>
    </row>
    <row r="255" spans="17:19" x14ac:dyDescent="0.3">
      <c r="Q255" s="30">
        <f t="shared" si="4"/>
        <v>0</v>
      </c>
      <c r="R255" s="30"/>
      <c r="S255" s="30"/>
    </row>
    <row r="256" spans="17:19" x14ac:dyDescent="0.3">
      <c r="Q256" s="30">
        <f t="shared" si="4"/>
        <v>0</v>
      </c>
      <c r="R256" s="30"/>
      <c r="S256" s="30"/>
    </row>
    <row r="257" spans="17:19" x14ac:dyDescent="0.3">
      <c r="Q257" s="30">
        <f t="shared" si="4"/>
        <v>0</v>
      </c>
      <c r="R257" s="30"/>
      <c r="S257" s="30"/>
    </row>
    <row r="258" spans="17:19" x14ac:dyDescent="0.3">
      <c r="Q258" s="30">
        <f t="shared" si="4"/>
        <v>0</v>
      </c>
      <c r="R258" s="30"/>
      <c r="S258" s="30"/>
    </row>
    <row r="259" spans="17:19" x14ac:dyDescent="0.3">
      <c r="Q259" s="30">
        <f t="shared" si="4"/>
        <v>0</v>
      </c>
      <c r="R259" s="30"/>
      <c r="S259" s="30"/>
    </row>
    <row r="260" spans="17:19" x14ac:dyDescent="0.3">
      <c r="Q260" s="30">
        <f t="shared" si="4"/>
        <v>0</v>
      </c>
      <c r="R260" s="30"/>
      <c r="S260" s="30"/>
    </row>
    <row r="261" spans="17:19" x14ac:dyDescent="0.3">
      <c r="Q261" s="30">
        <f t="shared" si="4"/>
        <v>0</v>
      </c>
      <c r="R261" s="30"/>
      <c r="S261" s="30"/>
    </row>
    <row r="262" spans="17:19" x14ac:dyDescent="0.3">
      <c r="Q262" s="30">
        <f t="shared" si="4"/>
        <v>0</v>
      </c>
      <c r="R262" s="30"/>
      <c r="S262" s="30"/>
    </row>
    <row r="263" spans="17:19" x14ac:dyDescent="0.3">
      <c r="Q263" s="30">
        <f t="shared" si="4"/>
        <v>0</v>
      </c>
      <c r="R263" s="30"/>
      <c r="S263" s="30"/>
    </row>
    <row r="264" spans="17:19" x14ac:dyDescent="0.3">
      <c r="Q264" s="30">
        <f t="shared" si="4"/>
        <v>0</v>
      </c>
      <c r="R264" s="30"/>
      <c r="S264" s="30"/>
    </row>
    <row r="265" spans="17:19" x14ac:dyDescent="0.3">
      <c r="Q265" s="30">
        <f t="shared" si="4"/>
        <v>0</v>
      </c>
      <c r="R265" s="30"/>
      <c r="S265" s="30"/>
    </row>
    <row r="266" spans="17:19" x14ac:dyDescent="0.3">
      <c r="Q266" s="30">
        <f t="shared" si="4"/>
        <v>0</v>
      </c>
      <c r="R266" s="30"/>
      <c r="S266" s="30"/>
    </row>
    <row r="267" spans="17:19" x14ac:dyDescent="0.3">
      <c r="Q267" s="30">
        <f t="shared" si="4"/>
        <v>0</v>
      </c>
      <c r="R267" s="30"/>
      <c r="S267" s="30"/>
    </row>
    <row r="268" spans="17:19" x14ac:dyDescent="0.3">
      <c r="Q268" s="30">
        <f t="shared" si="4"/>
        <v>0</v>
      </c>
      <c r="R268" s="30"/>
      <c r="S268" s="30"/>
    </row>
    <row r="269" spans="17:19" x14ac:dyDescent="0.3">
      <c r="Q269" s="30">
        <f t="shared" si="4"/>
        <v>0</v>
      </c>
      <c r="R269" s="30"/>
      <c r="S269" s="30"/>
    </row>
    <row r="270" spans="17:19" x14ac:dyDescent="0.3">
      <c r="Q270" s="30">
        <f t="shared" si="4"/>
        <v>0</v>
      </c>
      <c r="R270" s="30"/>
      <c r="S270" s="30"/>
    </row>
    <row r="271" spans="17:19" x14ac:dyDescent="0.3">
      <c r="Q271" s="30">
        <f t="shared" si="4"/>
        <v>0</v>
      </c>
      <c r="R271" s="30"/>
      <c r="S271" s="30"/>
    </row>
    <row r="272" spans="17:19" x14ac:dyDescent="0.3">
      <c r="Q272" s="30">
        <f t="shared" si="4"/>
        <v>0</v>
      </c>
      <c r="R272" s="30"/>
      <c r="S272" s="30"/>
    </row>
    <row r="273" spans="17:19" x14ac:dyDescent="0.3">
      <c r="Q273" s="30">
        <f t="shared" si="4"/>
        <v>0</v>
      </c>
      <c r="R273" s="30"/>
      <c r="S273" s="30"/>
    </row>
    <row r="274" spans="17:19" x14ac:dyDescent="0.3">
      <c r="Q274" s="30">
        <f t="shared" si="4"/>
        <v>0</v>
      </c>
      <c r="R274" s="30"/>
      <c r="S274" s="30"/>
    </row>
    <row r="275" spans="17:19" x14ac:dyDescent="0.3">
      <c r="Q275" s="30">
        <f t="shared" si="4"/>
        <v>0</v>
      </c>
      <c r="R275" s="30"/>
      <c r="S275" s="30"/>
    </row>
    <row r="276" spans="17:19" x14ac:dyDescent="0.3">
      <c r="Q276" s="30">
        <f t="shared" si="4"/>
        <v>0</v>
      </c>
      <c r="R276" s="30"/>
      <c r="S276" s="30"/>
    </row>
    <row r="277" spans="17:19" x14ac:dyDescent="0.3">
      <c r="Q277" s="30">
        <f t="shared" si="4"/>
        <v>0</v>
      </c>
      <c r="R277" s="30"/>
      <c r="S277" s="30"/>
    </row>
    <row r="278" spans="17:19" x14ac:dyDescent="0.3">
      <c r="Q278" s="30">
        <f t="shared" ref="Q278:Q341" si="5">MIN(G278:L278)</f>
        <v>0</v>
      </c>
      <c r="R278" s="30"/>
      <c r="S278" s="30"/>
    </row>
    <row r="279" spans="17:19" x14ac:dyDescent="0.3">
      <c r="Q279" s="30">
        <f t="shared" si="5"/>
        <v>0</v>
      </c>
      <c r="R279" s="30"/>
      <c r="S279" s="30"/>
    </row>
    <row r="280" spans="17:19" x14ac:dyDescent="0.3">
      <c r="Q280" s="30">
        <f t="shared" si="5"/>
        <v>0</v>
      </c>
      <c r="R280" s="30"/>
      <c r="S280" s="30"/>
    </row>
    <row r="281" spans="17:19" x14ac:dyDescent="0.3">
      <c r="Q281" s="30">
        <f t="shared" si="5"/>
        <v>0</v>
      </c>
      <c r="R281" s="30"/>
      <c r="S281" s="30"/>
    </row>
    <row r="282" spans="17:19" x14ac:dyDescent="0.3">
      <c r="Q282" s="30">
        <f t="shared" si="5"/>
        <v>0</v>
      </c>
      <c r="R282" s="30"/>
      <c r="S282" s="30"/>
    </row>
    <row r="283" spans="17:19" x14ac:dyDescent="0.3">
      <c r="Q283" s="30">
        <f t="shared" si="5"/>
        <v>0</v>
      </c>
      <c r="R283" s="30"/>
      <c r="S283" s="30"/>
    </row>
    <row r="284" spans="17:19" x14ac:dyDescent="0.3">
      <c r="Q284" s="30">
        <f t="shared" si="5"/>
        <v>0</v>
      </c>
      <c r="R284" s="30"/>
      <c r="S284" s="30"/>
    </row>
    <row r="285" spans="17:19" x14ac:dyDescent="0.3">
      <c r="Q285" s="30">
        <f t="shared" si="5"/>
        <v>0</v>
      </c>
      <c r="R285" s="30"/>
      <c r="S285" s="30"/>
    </row>
    <row r="286" spans="17:19" x14ac:dyDescent="0.3">
      <c r="Q286" s="30">
        <f t="shared" si="5"/>
        <v>0</v>
      </c>
      <c r="R286" s="30"/>
      <c r="S286" s="30"/>
    </row>
    <row r="287" spans="17:19" x14ac:dyDescent="0.3">
      <c r="Q287" s="30">
        <f t="shared" si="5"/>
        <v>0</v>
      </c>
      <c r="R287" s="30"/>
      <c r="S287" s="30"/>
    </row>
    <row r="288" spans="17:19" x14ac:dyDescent="0.3">
      <c r="Q288" s="30">
        <f t="shared" si="5"/>
        <v>0</v>
      </c>
      <c r="R288" s="30"/>
      <c r="S288" s="30"/>
    </row>
    <row r="289" spans="17:19" x14ac:dyDescent="0.3">
      <c r="Q289" s="30">
        <f t="shared" si="5"/>
        <v>0</v>
      </c>
      <c r="R289" s="30"/>
      <c r="S289" s="30"/>
    </row>
    <row r="290" spans="17:19" x14ac:dyDescent="0.3">
      <c r="Q290" s="30">
        <f t="shared" si="5"/>
        <v>0</v>
      </c>
      <c r="R290" s="30"/>
      <c r="S290" s="30"/>
    </row>
    <row r="291" spans="17:19" x14ac:dyDescent="0.3">
      <c r="Q291" s="30">
        <f t="shared" si="5"/>
        <v>0</v>
      </c>
      <c r="R291" s="30"/>
      <c r="S291" s="30"/>
    </row>
    <row r="292" spans="17:19" x14ac:dyDescent="0.3">
      <c r="Q292" s="30">
        <f t="shared" si="5"/>
        <v>0</v>
      </c>
      <c r="R292" s="30"/>
      <c r="S292" s="30"/>
    </row>
    <row r="293" spans="17:19" x14ac:dyDescent="0.3">
      <c r="Q293" s="30">
        <f t="shared" si="5"/>
        <v>0</v>
      </c>
      <c r="R293" s="30"/>
      <c r="S293" s="30"/>
    </row>
    <row r="294" spans="17:19" x14ac:dyDescent="0.3">
      <c r="Q294" s="30">
        <f t="shared" si="5"/>
        <v>0</v>
      </c>
      <c r="R294" s="30"/>
      <c r="S294" s="30"/>
    </row>
    <row r="295" spans="17:19" x14ac:dyDescent="0.3">
      <c r="Q295" s="30">
        <f t="shared" si="5"/>
        <v>0</v>
      </c>
      <c r="R295" s="30"/>
      <c r="S295" s="30"/>
    </row>
    <row r="296" spans="17:19" x14ac:dyDescent="0.3">
      <c r="Q296" s="30">
        <f t="shared" si="5"/>
        <v>0</v>
      </c>
      <c r="R296" s="30"/>
      <c r="S296" s="30"/>
    </row>
    <row r="297" spans="17:19" x14ac:dyDescent="0.3">
      <c r="Q297" s="30">
        <f t="shared" si="5"/>
        <v>0</v>
      </c>
      <c r="R297" s="30"/>
      <c r="S297" s="30"/>
    </row>
    <row r="298" spans="17:19" x14ac:dyDescent="0.3">
      <c r="Q298" s="30">
        <f t="shared" si="5"/>
        <v>0</v>
      </c>
      <c r="R298" s="30"/>
      <c r="S298" s="30"/>
    </row>
    <row r="299" spans="17:19" x14ac:dyDescent="0.3">
      <c r="Q299" s="30">
        <f t="shared" si="5"/>
        <v>0</v>
      </c>
      <c r="R299" s="30"/>
      <c r="S299" s="30"/>
    </row>
    <row r="300" spans="17:19" x14ac:dyDescent="0.3">
      <c r="Q300" s="30">
        <f t="shared" si="5"/>
        <v>0</v>
      </c>
      <c r="R300" s="30"/>
      <c r="S300" s="30"/>
    </row>
    <row r="301" spans="17:19" x14ac:dyDescent="0.3">
      <c r="Q301" s="30">
        <f t="shared" si="5"/>
        <v>0</v>
      </c>
      <c r="R301" s="30"/>
      <c r="S301" s="30"/>
    </row>
    <row r="302" spans="17:19" x14ac:dyDescent="0.3">
      <c r="Q302" s="30">
        <f t="shared" si="5"/>
        <v>0</v>
      </c>
      <c r="R302" s="30"/>
      <c r="S302" s="30"/>
    </row>
    <row r="303" spans="17:19" x14ac:dyDescent="0.3">
      <c r="Q303" s="30">
        <f t="shared" si="5"/>
        <v>0</v>
      </c>
      <c r="R303" s="30"/>
      <c r="S303" s="30"/>
    </row>
    <row r="304" spans="17:19" x14ac:dyDescent="0.3">
      <c r="Q304" s="30">
        <f t="shared" si="5"/>
        <v>0</v>
      </c>
      <c r="R304" s="30"/>
      <c r="S304" s="30"/>
    </row>
    <row r="305" spans="17:19" x14ac:dyDescent="0.3">
      <c r="Q305" s="30">
        <f t="shared" si="5"/>
        <v>0</v>
      </c>
      <c r="R305" s="30"/>
      <c r="S305" s="30"/>
    </row>
    <row r="306" spans="17:19" x14ac:dyDescent="0.3">
      <c r="Q306" s="30">
        <f t="shared" si="5"/>
        <v>0</v>
      </c>
      <c r="R306" s="30"/>
      <c r="S306" s="30"/>
    </row>
    <row r="307" spans="17:19" x14ac:dyDescent="0.3">
      <c r="Q307" s="30">
        <f t="shared" si="5"/>
        <v>0</v>
      </c>
      <c r="R307" s="30"/>
      <c r="S307" s="30"/>
    </row>
    <row r="308" spans="17:19" x14ac:dyDescent="0.3">
      <c r="Q308" s="30">
        <f t="shared" si="5"/>
        <v>0</v>
      </c>
      <c r="R308" s="30"/>
      <c r="S308" s="30"/>
    </row>
    <row r="309" spans="17:19" x14ac:dyDescent="0.3">
      <c r="Q309" s="30">
        <f t="shared" si="5"/>
        <v>0</v>
      </c>
      <c r="R309" s="30"/>
      <c r="S309" s="30"/>
    </row>
    <row r="310" spans="17:19" x14ac:dyDescent="0.3">
      <c r="Q310" s="30">
        <f t="shared" si="5"/>
        <v>0</v>
      </c>
      <c r="R310" s="30"/>
      <c r="S310" s="30"/>
    </row>
    <row r="311" spans="17:19" x14ac:dyDescent="0.3">
      <c r="Q311" s="30">
        <f t="shared" si="5"/>
        <v>0</v>
      </c>
      <c r="R311" s="30"/>
      <c r="S311" s="30"/>
    </row>
    <row r="312" spans="17:19" x14ac:dyDescent="0.3">
      <c r="Q312" s="30">
        <f t="shared" si="5"/>
        <v>0</v>
      </c>
      <c r="R312" s="30"/>
      <c r="S312" s="30"/>
    </row>
    <row r="313" spans="17:19" x14ac:dyDescent="0.3">
      <c r="Q313" s="30">
        <f t="shared" si="5"/>
        <v>0</v>
      </c>
      <c r="R313" s="30"/>
      <c r="S313" s="30"/>
    </row>
    <row r="314" spans="17:19" x14ac:dyDescent="0.3">
      <c r="Q314" s="30">
        <f t="shared" si="5"/>
        <v>0</v>
      </c>
      <c r="R314" s="30"/>
      <c r="S314" s="30"/>
    </row>
    <row r="315" spans="17:19" x14ac:dyDescent="0.3">
      <c r="Q315" s="30">
        <f t="shared" si="5"/>
        <v>0</v>
      </c>
      <c r="R315" s="30"/>
      <c r="S315" s="30"/>
    </row>
    <row r="316" spans="17:19" x14ac:dyDescent="0.3">
      <c r="Q316" s="30">
        <f t="shared" si="5"/>
        <v>0</v>
      </c>
      <c r="R316" s="30"/>
      <c r="S316" s="30"/>
    </row>
    <row r="317" spans="17:19" x14ac:dyDescent="0.3">
      <c r="Q317" s="30">
        <f t="shared" si="5"/>
        <v>0</v>
      </c>
      <c r="R317" s="30"/>
      <c r="S317" s="30"/>
    </row>
    <row r="318" spans="17:19" x14ac:dyDescent="0.3">
      <c r="Q318" s="30">
        <f t="shared" si="5"/>
        <v>0</v>
      </c>
      <c r="R318" s="30"/>
      <c r="S318" s="30"/>
    </row>
    <row r="319" spans="17:19" x14ac:dyDescent="0.3">
      <c r="Q319" s="30">
        <f t="shared" si="5"/>
        <v>0</v>
      </c>
      <c r="R319" s="30"/>
      <c r="S319" s="30"/>
    </row>
    <row r="320" spans="17:19" x14ac:dyDescent="0.3">
      <c r="Q320" s="30">
        <f t="shared" si="5"/>
        <v>0</v>
      </c>
      <c r="R320" s="30"/>
      <c r="S320" s="30"/>
    </row>
    <row r="321" spans="17:19" x14ac:dyDescent="0.3">
      <c r="Q321" s="30">
        <f t="shared" si="5"/>
        <v>0</v>
      </c>
      <c r="R321" s="30"/>
      <c r="S321" s="30"/>
    </row>
    <row r="322" spans="17:19" x14ac:dyDescent="0.3">
      <c r="Q322" s="30">
        <f t="shared" si="5"/>
        <v>0</v>
      </c>
      <c r="R322" s="30"/>
      <c r="S322" s="30"/>
    </row>
    <row r="323" spans="17:19" x14ac:dyDescent="0.3">
      <c r="Q323" s="30">
        <f t="shared" si="5"/>
        <v>0</v>
      </c>
      <c r="R323" s="30"/>
      <c r="S323" s="30"/>
    </row>
    <row r="324" spans="17:19" x14ac:dyDescent="0.3">
      <c r="Q324" s="30">
        <f t="shared" si="5"/>
        <v>0</v>
      </c>
      <c r="R324" s="30"/>
      <c r="S324" s="30"/>
    </row>
    <row r="325" spans="17:19" x14ac:dyDescent="0.3">
      <c r="Q325" s="30">
        <f t="shared" si="5"/>
        <v>0</v>
      </c>
      <c r="R325" s="30"/>
      <c r="S325" s="30"/>
    </row>
    <row r="326" spans="17:19" x14ac:dyDescent="0.3">
      <c r="Q326" s="30">
        <f t="shared" si="5"/>
        <v>0</v>
      </c>
      <c r="R326" s="30"/>
      <c r="S326" s="30"/>
    </row>
    <row r="327" spans="17:19" x14ac:dyDescent="0.3">
      <c r="Q327" s="30">
        <f t="shared" si="5"/>
        <v>0</v>
      </c>
      <c r="R327" s="30"/>
      <c r="S327" s="30"/>
    </row>
    <row r="328" spans="17:19" x14ac:dyDescent="0.3">
      <c r="Q328" s="30">
        <f t="shared" si="5"/>
        <v>0</v>
      </c>
      <c r="R328" s="30"/>
      <c r="S328" s="30"/>
    </row>
    <row r="329" spans="17:19" x14ac:dyDescent="0.3">
      <c r="Q329" s="30">
        <f t="shared" si="5"/>
        <v>0</v>
      </c>
      <c r="R329" s="30"/>
      <c r="S329" s="30"/>
    </row>
    <row r="330" spans="17:19" x14ac:dyDescent="0.3">
      <c r="Q330" s="30">
        <f t="shared" si="5"/>
        <v>0</v>
      </c>
      <c r="R330" s="30"/>
      <c r="S330" s="30"/>
    </row>
    <row r="331" spans="17:19" x14ac:dyDescent="0.3">
      <c r="Q331" s="30">
        <f t="shared" si="5"/>
        <v>0</v>
      </c>
      <c r="R331" s="30"/>
      <c r="S331" s="30"/>
    </row>
    <row r="332" spans="17:19" x14ac:dyDescent="0.3">
      <c r="Q332" s="30">
        <f t="shared" si="5"/>
        <v>0</v>
      </c>
      <c r="R332" s="30"/>
      <c r="S332" s="30"/>
    </row>
    <row r="333" spans="17:19" x14ac:dyDescent="0.3">
      <c r="Q333" s="30">
        <f t="shared" si="5"/>
        <v>0</v>
      </c>
      <c r="R333" s="30"/>
      <c r="S333" s="30"/>
    </row>
    <row r="334" spans="17:19" x14ac:dyDescent="0.3">
      <c r="Q334" s="30">
        <f t="shared" si="5"/>
        <v>0</v>
      </c>
      <c r="R334" s="30"/>
      <c r="S334" s="30"/>
    </row>
    <row r="335" spans="17:19" x14ac:dyDescent="0.3">
      <c r="Q335" s="30">
        <f t="shared" si="5"/>
        <v>0</v>
      </c>
      <c r="R335" s="30"/>
      <c r="S335" s="30"/>
    </row>
    <row r="336" spans="17:19" x14ac:dyDescent="0.3">
      <c r="Q336" s="30">
        <f t="shared" si="5"/>
        <v>0</v>
      </c>
      <c r="R336" s="30"/>
      <c r="S336" s="30"/>
    </row>
    <row r="337" spans="17:19" x14ac:dyDescent="0.3">
      <c r="Q337" s="30">
        <f t="shared" si="5"/>
        <v>0</v>
      </c>
      <c r="R337" s="30"/>
      <c r="S337" s="30"/>
    </row>
    <row r="338" spans="17:19" x14ac:dyDescent="0.3">
      <c r="Q338" s="30">
        <f t="shared" si="5"/>
        <v>0</v>
      </c>
      <c r="R338" s="30"/>
      <c r="S338" s="30"/>
    </row>
    <row r="339" spans="17:19" x14ac:dyDescent="0.3">
      <c r="Q339" s="30">
        <f t="shared" si="5"/>
        <v>0</v>
      </c>
      <c r="R339" s="30"/>
      <c r="S339" s="30"/>
    </row>
    <row r="340" spans="17:19" x14ac:dyDescent="0.3">
      <c r="Q340" s="30">
        <f t="shared" si="5"/>
        <v>0</v>
      </c>
      <c r="R340" s="30"/>
      <c r="S340" s="30"/>
    </row>
    <row r="341" spans="17:19" x14ac:dyDescent="0.3">
      <c r="Q341" s="30">
        <f t="shared" si="5"/>
        <v>0</v>
      </c>
      <c r="R341" s="30"/>
      <c r="S341" s="30"/>
    </row>
    <row r="342" spans="17:19" x14ac:dyDescent="0.3">
      <c r="Q342" s="30">
        <f t="shared" ref="Q342:Q405" si="6">MIN(G342:L342)</f>
        <v>0</v>
      </c>
      <c r="R342" s="30"/>
      <c r="S342" s="30"/>
    </row>
    <row r="343" spans="17:19" x14ac:dyDescent="0.3">
      <c r="Q343" s="30">
        <f t="shared" si="6"/>
        <v>0</v>
      </c>
      <c r="R343" s="30"/>
      <c r="S343" s="30"/>
    </row>
    <row r="344" spans="17:19" x14ac:dyDescent="0.3">
      <c r="Q344" s="30">
        <f t="shared" si="6"/>
        <v>0</v>
      </c>
      <c r="R344" s="30"/>
      <c r="S344" s="30"/>
    </row>
    <row r="345" spans="17:19" x14ac:dyDescent="0.3">
      <c r="Q345" s="30">
        <f t="shared" si="6"/>
        <v>0</v>
      </c>
      <c r="R345" s="30"/>
      <c r="S345" s="30"/>
    </row>
    <row r="346" spans="17:19" x14ac:dyDescent="0.3">
      <c r="Q346" s="30">
        <f t="shared" si="6"/>
        <v>0</v>
      </c>
      <c r="R346" s="30"/>
      <c r="S346" s="30"/>
    </row>
    <row r="347" spans="17:19" x14ac:dyDescent="0.3">
      <c r="Q347" s="30">
        <f t="shared" si="6"/>
        <v>0</v>
      </c>
      <c r="R347" s="30"/>
      <c r="S347" s="30"/>
    </row>
    <row r="348" spans="17:19" x14ac:dyDescent="0.3">
      <c r="Q348" s="30">
        <f t="shared" si="6"/>
        <v>0</v>
      </c>
      <c r="R348" s="30"/>
      <c r="S348" s="30"/>
    </row>
    <row r="349" spans="17:19" x14ac:dyDescent="0.3">
      <c r="Q349" s="30">
        <f t="shared" si="6"/>
        <v>0</v>
      </c>
      <c r="R349" s="30"/>
      <c r="S349" s="30"/>
    </row>
    <row r="350" spans="17:19" x14ac:dyDescent="0.3">
      <c r="Q350" s="30">
        <f t="shared" si="6"/>
        <v>0</v>
      </c>
      <c r="R350" s="30"/>
      <c r="S350" s="30"/>
    </row>
    <row r="351" spans="17:19" x14ac:dyDescent="0.3">
      <c r="Q351" s="30">
        <f t="shared" si="6"/>
        <v>0</v>
      </c>
      <c r="R351" s="30"/>
      <c r="S351" s="30"/>
    </row>
    <row r="352" spans="17:19" x14ac:dyDescent="0.3">
      <c r="Q352" s="30">
        <f t="shared" si="6"/>
        <v>0</v>
      </c>
      <c r="R352" s="30"/>
      <c r="S352" s="30"/>
    </row>
    <row r="353" spans="17:19" x14ac:dyDescent="0.3">
      <c r="Q353" s="30">
        <f t="shared" si="6"/>
        <v>0</v>
      </c>
      <c r="R353" s="30"/>
      <c r="S353" s="30"/>
    </row>
    <row r="354" spans="17:19" x14ac:dyDescent="0.3">
      <c r="Q354" s="30">
        <f t="shared" si="6"/>
        <v>0</v>
      </c>
      <c r="R354" s="30"/>
      <c r="S354" s="30"/>
    </row>
    <row r="355" spans="17:19" x14ac:dyDescent="0.3">
      <c r="Q355" s="30">
        <f t="shared" si="6"/>
        <v>0</v>
      </c>
      <c r="R355" s="30"/>
      <c r="S355" s="30"/>
    </row>
    <row r="356" spans="17:19" x14ac:dyDescent="0.3">
      <c r="Q356" s="30">
        <f t="shared" si="6"/>
        <v>0</v>
      </c>
      <c r="R356" s="30"/>
      <c r="S356" s="30"/>
    </row>
    <row r="357" spans="17:19" x14ac:dyDescent="0.3">
      <c r="Q357" s="30">
        <f t="shared" si="6"/>
        <v>0</v>
      </c>
      <c r="R357" s="30"/>
      <c r="S357" s="30"/>
    </row>
    <row r="358" spans="17:19" x14ac:dyDescent="0.3">
      <c r="Q358" s="30">
        <f t="shared" si="6"/>
        <v>0</v>
      </c>
      <c r="R358" s="30"/>
      <c r="S358" s="30"/>
    </row>
    <row r="359" spans="17:19" x14ac:dyDescent="0.3">
      <c r="Q359" s="30">
        <f t="shared" si="6"/>
        <v>0</v>
      </c>
      <c r="R359" s="30"/>
      <c r="S359" s="30"/>
    </row>
    <row r="360" spans="17:19" x14ac:dyDescent="0.3">
      <c r="Q360" s="30">
        <f t="shared" si="6"/>
        <v>0</v>
      </c>
      <c r="R360" s="30"/>
      <c r="S360" s="30"/>
    </row>
    <row r="361" spans="17:19" x14ac:dyDescent="0.3">
      <c r="Q361" s="30">
        <f t="shared" si="6"/>
        <v>0</v>
      </c>
      <c r="R361" s="30"/>
      <c r="S361" s="30"/>
    </row>
    <row r="362" spans="17:19" x14ac:dyDescent="0.3">
      <c r="Q362" s="30">
        <f t="shared" si="6"/>
        <v>0</v>
      </c>
      <c r="R362" s="30"/>
      <c r="S362" s="30"/>
    </row>
    <row r="363" spans="17:19" x14ac:dyDescent="0.3">
      <c r="Q363" s="30">
        <f t="shared" si="6"/>
        <v>0</v>
      </c>
      <c r="R363" s="30"/>
      <c r="S363" s="30"/>
    </row>
    <row r="364" spans="17:19" x14ac:dyDescent="0.3">
      <c r="Q364" s="30">
        <f t="shared" si="6"/>
        <v>0</v>
      </c>
      <c r="R364" s="30"/>
      <c r="S364" s="30"/>
    </row>
    <row r="365" spans="17:19" x14ac:dyDescent="0.3">
      <c r="Q365" s="30">
        <f t="shared" si="6"/>
        <v>0</v>
      </c>
      <c r="R365" s="30"/>
      <c r="S365" s="30"/>
    </row>
    <row r="366" spans="17:19" x14ac:dyDescent="0.3">
      <c r="Q366" s="30">
        <f t="shared" si="6"/>
        <v>0</v>
      </c>
      <c r="R366" s="30"/>
      <c r="S366" s="30"/>
    </row>
    <row r="367" spans="17:19" x14ac:dyDescent="0.3">
      <c r="Q367" s="30">
        <f t="shared" si="6"/>
        <v>0</v>
      </c>
      <c r="R367" s="30"/>
      <c r="S367" s="30"/>
    </row>
    <row r="368" spans="17:19" x14ac:dyDescent="0.3">
      <c r="Q368" s="30">
        <f t="shared" si="6"/>
        <v>0</v>
      </c>
      <c r="R368" s="30"/>
      <c r="S368" s="30"/>
    </row>
    <row r="369" spans="17:19" x14ac:dyDescent="0.3">
      <c r="Q369" s="30">
        <f t="shared" si="6"/>
        <v>0</v>
      </c>
      <c r="R369" s="30"/>
      <c r="S369" s="30"/>
    </row>
    <row r="370" spans="17:19" x14ac:dyDescent="0.3">
      <c r="Q370" s="30">
        <f t="shared" si="6"/>
        <v>0</v>
      </c>
      <c r="R370" s="30"/>
      <c r="S370" s="30"/>
    </row>
    <row r="371" spans="17:19" x14ac:dyDescent="0.3">
      <c r="Q371" s="30">
        <f t="shared" si="6"/>
        <v>0</v>
      </c>
      <c r="R371" s="30"/>
      <c r="S371" s="30"/>
    </row>
    <row r="372" spans="17:19" x14ac:dyDescent="0.3">
      <c r="Q372" s="30">
        <f t="shared" si="6"/>
        <v>0</v>
      </c>
      <c r="R372" s="30"/>
      <c r="S372" s="30"/>
    </row>
    <row r="373" spans="17:19" x14ac:dyDescent="0.3">
      <c r="Q373" s="30">
        <f t="shared" si="6"/>
        <v>0</v>
      </c>
      <c r="R373" s="30"/>
      <c r="S373" s="30"/>
    </row>
    <row r="374" spans="17:19" x14ac:dyDescent="0.3">
      <c r="Q374" s="30">
        <f t="shared" si="6"/>
        <v>0</v>
      </c>
      <c r="R374" s="30"/>
      <c r="S374" s="30"/>
    </row>
    <row r="375" spans="17:19" x14ac:dyDescent="0.3">
      <c r="Q375" s="30">
        <f t="shared" si="6"/>
        <v>0</v>
      </c>
      <c r="R375" s="30"/>
      <c r="S375" s="30"/>
    </row>
    <row r="376" spans="17:19" x14ac:dyDescent="0.3">
      <c r="Q376" s="30">
        <f t="shared" si="6"/>
        <v>0</v>
      </c>
      <c r="R376" s="30"/>
      <c r="S376" s="30"/>
    </row>
    <row r="377" spans="17:19" x14ac:dyDescent="0.3">
      <c r="Q377" s="30">
        <f t="shared" si="6"/>
        <v>0</v>
      </c>
      <c r="R377" s="30"/>
      <c r="S377" s="30"/>
    </row>
    <row r="378" spans="17:19" x14ac:dyDescent="0.3">
      <c r="Q378" s="30">
        <f t="shared" si="6"/>
        <v>0</v>
      </c>
      <c r="R378" s="30"/>
      <c r="S378" s="30"/>
    </row>
    <row r="379" spans="17:19" x14ac:dyDescent="0.3">
      <c r="Q379" s="30">
        <f t="shared" si="6"/>
        <v>0</v>
      </c>
      <c r="R379" s="30"/>
      <c r="S379" s="30"/>
    </row>
    <row r="380" spans="17:19" x14ac:dyDescent="0.3">
      <c r="Q380" s="30">
        <f t="shared" si="6"/>
        <v>0</v>
      </c>
      <c r="R380" s="30"/>
      <c r="S380" s="30"/>
    </row>
    <row r="381" spans="17:19" x14ac:dyDescent="0.3">
      <c r="Q381" s="30">
        <f t="shared" si="6"/>
        <v>0</v>
      </c>
      <c r="R381" s="30"/>
      <c r="S381" s="30"/>
    </row>
    <row r="382" spans="17:19" x14ac:dyDescent="0.3">
      <c r="Q382" s="30">
        <f t="shared" si="6"/>
        <v>0</v>
      </c>
      <c r="R382" s="30"/>
      <c r="S382" s="30"/>
    </row>
    <row r="383" spans="17:19" x14ac:dyDescent="0.3">
      <c r="Q383" s="30">
        <f t="shared" si="6"/>
        <v>0</v>
      </c>
      <c r="R383" s="30"/>
      <c r="S383" s="30"/>
    </row>
    <row r="384" spans="17:19" x14ac:dyDescent="0.3">
      <c r="Q384" s="30">
        <f t="shared" si="6"/>
        <v>0</v>
      </c>
      <c r="R384" s="30"/>
      <c r="S384" s="30"/>
    </row>
    <row r="385" spans="17:19" x14ac:dyDescent="0.3">
      <c r="Q385" s="30">
        <f t="shared" si="6"/>
        <v>0</v>
      </c>
      <c r="R385" s="30"/>
      <c r="S385" s="30"/>
    </row>
    <row r="386" spans="17:19" x14ac:dyDescent="0.3">
      <c r="Q386" s="30">
        <f t="shared" si="6"/>
        <v>0</v>
      </c>
      <c r="R386" s="30"/>
      <c r="S386" s="30"/>
    </row>
    <row r="387" spans="17:19" x14ac:dyDescent="0.3">
      <c r="Q387" s="30">
        <f t="shared" si="6"/>
        <v>0</v>
      </c>
      <c r="R387" s="30"/>
      <c r="S387" s="30"/>
    </row>
    <row r="388" spans="17:19" x14ac:dyDescent="0.3">
      <c r="Q388" s="30">
        <f t="shared" si="6"/>
        <v>0</v>
      </c>
      <c r="R388" s="30"/>
      <c r="S388" s="30"/>
    </row>
    <row r="389" spans="17:19" x14ac:dyDescent="0.3">
      <c r="Q389" s="30">
        <f t="shared" si="6"/>
        <v>0</v>
      </c>
      <c r="R389" s="30"/>
      <c r="S389" s="30"/>
    </row>
    <row r="390" spans="17:19" x14ac:dyDescent="0.3">
      <c r="Q390" s="30">
        <f t="shared" si="6"/>
        <v>0</v>
      </c>
      <c r="R390" s="30"/>
      <c r="S390" s="30"/>
    </row>
    <row r="391" spans="17:19" x14ac:dyDescent="0.3">
      <c r="Q391" s="30">
        <f t="shared" si="6"/>
        <v>0</v>
      </c>
      <c r="R391" s="30"/>
      <c r="S391" s="30"/>
    </row>
    <row r="392" spans="17:19" x14ac:dyDescent="0.3">
      <c r="Q392" s="30">
        <f t="shared" si="6"/>
        <v>0</v>
      </c>
      <c r="R392" s="30"/>
      <c r="S392" s="30"/>
    </row>
    <row r="393" spans="17:19" x14ac:dyDescent="0.3">
      <c r="Q393" s="30">
        <f t="shared" si="6"/>
        <v>0</v>
      </c>
      <c r="R393" s="30"/>
      <c r="S393" s="30"/>
    </row>
    <row r="394" spans="17:19" x14ac:dyDescent="0.3">
      <c r="Q394" s="30">
        <f t="shared" si="6"/>
        <v>0</v>
      </c>
      <c r="R394" s="30"/>
      <c r="S394" s="30"/>
    </row>
    <row r="395" spans="17:19" x14ac:dyDescent="0.3">
      <c r="Q395" s="30">
        <f t="shared" si="6"/>
        <v>0</v>
      </c>
      <c r="R395" s="30"/>
      <c r="S395" s="30"/>
    </row>
    <row r="396" spans="17:19" x14ac:dyDescent="0.3">
      <c r="Q396" s="30">
        <f t="shared" si="6"/>
        <v>0</v>
      </c>
      <c r="R396" s="30"/>
      <c r="S396" s="30"/>
    </row>
    <row r="397" spans="17:19" x14ac:dyDescent="0.3">
      <c r="Q397" s="30">
        <f t="shared" si="6"/>
        <v>0</v>
      </c>
      <c r="R397" s="30"/>
      <c r="S397" s="30"/>
    </row>
    <row r="398" spans="17:19" x14ac:dyDescent="0.3">
      <c r="Q398" s="30">
        <f t="shared" si="6"/>
        <v>0</v>
      </c>
      <c r="R398" s="30"/>
      <c r="S398" s="30"/>
    </row>
    <row r="399" spans="17:19" x14ac:dyDescent="0.3">
      <c r="Q399" s="30">
        <f t="shared" si="6"/>
        <v>0</v>
      </c>
      <c r="R399" s="30"/>
      <c r="S399" s="30"/>
    </row>
    <row r="400" spans="17:19" x14ac:dyDescent="0.3">
      <c r="Q400" s="30">
        <f t="shared" si="6"/>
        <v>0</v>
      </c>
      <c r="R400" s="30"/>
      <c r="S400" s="30"/>
    </row>
    <row r="401" spans="17:19" x14ac:dyDescent="0.3">
      <c r="Q401" s="30">
        <f t="shared" si="6"/>
        <v>0</v>
      </c>
      <c r="R401" s="30"/>
      <c r="S401" s="30"/>
    </row>
    <row r="402" spans="17:19" x14ac:dyDescent="0.3">
      <c r="Q402" s="30">
        <f t="shared" si="6"/>
        <v>0</v>
      </c>
      <c r="R402" s="30"/>
      <c r="S402" s="30"/>
    </row>
    <row r="403" spans="17:19" x14ac:dyDescent="0.3">
      <c r="Q403" s="30">
        <f t="shared" si="6"/>
        <v>0</v>
      </c>
      <c r="R403" s="30"/>
      <c r="S403" s="30"/>
    </row>
    <row r="404" spans="17:19" x14ac:dyDescent="0.3">
      <c r="Q404" s="30">
        <f t="shared" si="6"/>
        <v>0</v>
      </c>
      <c r="R404" s="30"/>
      <c r="S404" s="30"/>
    </row>
    <row r="405" spans="17:19" x14ac:dyDescent="0.3">
      <c r="Q405" s="30">
        <f t="shared" si="6"/>
        <v>0</v>
      </c>
      <c r="R405" s="30"/>
      <c r="S405" s="30"/>
    </row>
    <row r="406" spans="17:19" x14ac:dyDescent="0.3">
      <c r="Q406" s="30">
        <f t="shared" ref="Q406:Q469" si="7">MIN(G406:L406)</f>
        <v>0</v>
      </c>
      <c r="R406" s="30"/>
      <c r="S406" s="30"/>
    </row>
    <row r="407" spans="17:19" x14ac:dyDescent="0.3">
      <c r="Q407" s="30">
        <f t="shared" si="7"/>
        <v>0</v>
      </c>
      <c r="R407" s="30"/>
      <c r="S407" s="30"/>
    </row>
    <row r="408" spans="17:19" x14ac:dyDescent="0.3">
      <c r="Q408" s="30">
        <f t="shared" si="7"/>
        <v>0</v>
      </c>
      <c r="R408" s="30"/>
      <c r="S408" s="30"/>
    </row>
    <row r="409" spans="17:19" x14ac:dyDescent="0.3">
      <c r="Q409" s="30">
        <f t="shared" si="7"/>
        <v>0</v>
      </c>
      <c r="R409" s="30"/>
      <c r="S409" s="30"/>
    </row>
    <row r="410" spans="17:19" x14ac:dyDescent="0.3">
      <c r="Q410" s="30">
        <f t="shared" si="7"/>
        <v>0</v>
      </c>
      <c r="R410" s="30"/>
      <c r="S410" s="30"/>
    </row>
    <row r="411" spans="17:19" x14ac:dyDescent="0.3">
      <c r="Q411" s="30">
        <f t="shared" si="7"/>
        <v>0</v>
      </c>
      <c r="R411" s="30"/>
      <c r="S411" s="30"/>
    </row>
    <row r="412" spans="17:19" x14ac:dyDescent="0.3">
      <c r="Q412" s="30">
        <f t="shared" si="7"/>
        <v>0</v>
      </c>
      <c r="R412" s="30"/>
      <c r="S412" s="30"/>
    </row>
    <row r="413" spans="17:19" x14ac:dyDescent="0.3">
      <c r="Q413" s="30">
        <f t="shared" si="7"/>
        <v>0</v>
      </c>
      <c r="R413" s="30"/>
      <c r="S413" s="30"/>
    </row>
    <row r="414" spans="17:19" x14ac:dyDescent="0.3">
      <c r="Q414" s="30">
        <f t="shared" si="7"/>
        <v>0</v>
      </c>
      <c r="R414" s="30"/>
      <c r="S414" s="30"/>
    </row>
    <row r="415" spans="17:19" x14ac:dyDescent="0.3">
      <c r="Q415" s="30">
        <f t="shared" si="7"/>
        <v>0</v>
      </c>
      <c r="R415" s="30"/>
      <c r="S415" s="30"/>
    </row>
    <row r="416" spans="17:19" x14ac:dyDescent="0.3">
      <c r="Q416" s="30">
        <f t="shared" si="7"/>
        <v>0</v>
      </c>
      <c r="R416" s="30"/>
      <c r="S416" s="30"/>
    </row>
    <row r="417" spans="17:19" x14ac:dyDescent="0.3">
      <c r="Q417" s="30">
        <f t="shared" si="7"/>
        <v>0</v>
      </c>
      <c r="R417" s="30"/>
      <c r="S417" s="30"/>
    </row>
    <row r="418" spans="17:19" x14ac:dyDescent="0.3">
      <c r="Q418" s="30">
        <f t="shared" si="7"/>
        <v>0</v>
      </c>
      <c r="R418" s="30"/>
      <c r="S418" s="30"/>
    </row>
    <row r="419" spans="17:19" x14ac:dyDescent="0.3">
      <c r="Q419" s="30">
        <f t="shared" si="7"/>
        <v>0</v>
      </c>
      <c r="R419" s="30"/>
      <c r="S419" s="30"/>
    </row>
    <row r="420" spans="17:19" x14ac:dyDescent="0.3">
      <c r="Q420" s="30">
        <f t="shared" si="7"/>
        <v>0</v>
      </c>
      <c r="R420" s="30"/>
      <c r="S420" s="30"/>
    </row>
    <row r="421" spans="17:19" x14ac:dyDescent="0.3">
      <c r="Q421" s="30">
        <f t="shared" si="7"/>
        <v>0</v>
      </c>
      <c r="R421" s="30"/>
      <c r="S421" s="30"/>
    </row>
    <row r="422" spans="17:19" x14ac:dyDescent="0.3">
      <c r="Q422" s="30">
        <f t="shared" si="7"/>
        <v>0</v>
      </c>
      <c r="R422" s="30"/>
      <c r="S422" s="30"/>
    </row>
    <row r="423" spans="17:19" x14ac:dyDescent="0.3">
      <c r="Q423" s="30">
        <f t="shared" si="7"/>
        <v>0</v>
      </c>
      <c r="R423" s="30"/>
      <c r="S423" s="30"/>
    </row>
    <row r="424" spans="17:19" x14ac:dyDescent="0.3">
      <c r="Q424" s="30">
        <f t="shared" si="7"/>
        <v>0</v>
      </c>
      <c r="R424" s="30"/>
      <c r="S424" s="30"/>
    </row>
    <row r="425" spans="17:19" x14ac:dyDescent="0.3">
      <c r="Q425" s="30">
        <f t="shared" si="7"/>
        <v>0</v>
      </c>
      <c r="R425" s="30"/>
      <c r="S425" s="30"/>
    </row>
    <row r="426" spans="17:19" x14ac:dyDescent="0.3">
      <c r="Q426" s="30">
        <f t="shared" si="7"/>
        <v>0</v>
      </c>
      <c r="R426" s="30"/>
      <c r="S426" s="30"/>
    </row>
    <row r="427" spans="17:19" x14ac:dyDescent="0.3">
      <c r="Q427" s="30">
        <f t="shared" si="7"/>
        <v>0</v>
      </c>
      <c r="R427" s="30"/>
      <c r="S427" s="30"/>
    </row>
    <row r="428" spans="17:19" x14ac:dyDescent="0.3">
      <c r="Q428" s="30">
        <f t="shared" si="7"/>
        <v>0</v>
      </c>
      <c r="R428" s="30"/>
      <c r="S428" s="30"/>
    </row>
    <row r="429" spans="17:19" x14ac:dyDescent="0.3">
      <c r="Q429" s="30">
        <f t="shared" si="7"/>
        <v>0</v>
      </c>
      <c r="R429" s="30"/>
      <c r="S429" s="30"/>
    </row>
    <row r="430" spans="17:19" x14ac:dyDescent="0.3">
      <c r="Q430" s="30">
        <f t="shared" si="7"/>
        <v>0</v>
      </c>
      <c r="R430" s="30"/>
      <c r="S430" s="30"/>
    </row>
    <row r="431" spans="17:19" x14ac:dyDescent="0.3">
      <c r="Q431" s="30">
        <f t="shared" si="7"/>
        <v>0</v>
      </c>
      <c r="R431" s="30"/>
      <c r="S431" s="30"/>
    </row>
    <row r="432" spans="17:19" x14ac:dyDescent="0.3">
      <c r="Q432" s="30">
        <f t="shared" si="7"/>
        <v>0</v>
      </c>
      <c r="R432" s="30"/>
      <c r="S432" s="30"/>
    </row>
    <row r="433" spans="17:19" x14ac:dyDescent="0.3">
      <c r="Q433" s="30">
        <f t="shared" si="7"/>
        <v>0</v>
      </c>
      <c r="R433" s="30"/>
      <c r="S433" s="30"/>
    </row>
    <row r="434" spans="17:19" x14ac:dyDescent="0.3">
      <c r="Q434" s="30">
        <f t="shared" si="7"/>
        <v>0</v>
      </c>
      <c r="R434" s="30"/>
      <c r="S434" s="30"/>
    </row>
    <row r="435" spans="17:19" x14ac:dyDescent="0.3">
      <c r="Q435" s="30">
        <f t="shared" si="7"/>
        <v>0</v>
      </c>
      <c r="R435" s="30"/>
      <c r="S435" s="30"/>
    </row>
    <row r="436" spans="17:19" x14ac:dyDescent="0.3">
      <c r="Q436" s="30">
        <f t="shared" si="7"/>
        <v>0</v>
      </c>
      <c r="R436" s="30"/>
      <c r="S436" s="30"/>
    </row>
    <row r="437" spans="17:19" x14ac:dyDescent="0.3">
      <c r="Q437" s="30">
        <f t="shared" si="7"/>
        <v>0</v>
      </c>
      <c r="R437" s="30"/>
      <c r="S437" s="30"/>
    </row>
    <row r="438" spans="17:19" x14ac:dyDescent="0.3">
      <c r="Q438" s="30">
        <f t="shared" si="7"/>
        <v>0</v>
      </c>
      <c r="R438" s="30"/>
      <c r="S438" s="30"/>
    </row>
    <row r="439" spans="17:19" x14ac:dyDescent="0.3">
      <c r="Q439" s="30">
        <f t="shared" si="7"/>
        <v>0</v>
      </c>
      <c r="R439" s="30"/>
      <c r="S439" s="30"/>
    </row>
    <row r="440" spans="17:19" x14ac:dyDescent="0.3">
      <c r="Q440" s="30">
        <f t="shared" si="7"/>
        <v>0</v>
      </c>
      <c r="R440" s="30"/>
      <c r="S440" s="30"/>
    </row>
    <row r="441" spans="17:19" x14ac:dyDescent="0.3">
      <c r="Q441" s="30">
        <f t="shared" si="7"/>
        <v>0</v>
      </c>
      <c r="R441" s="30"/>
      <c r="S441" s="30"/>
    </row>
    <row r="442" spans="17:19" x14ac:dyDescent="0.3">
      <c r="Q442" s="30">
        <f t="shared" si="7"/>
        <v>0</v>
      </c>
      <c r="R442" s="30"/>
      <c r="S442" s="30"/>
    </row>
    <row r="443" spans="17:19" x14ac:dyDescent="0.3">
      <c r="Q443" s="30">
        <f t="shared" si="7"/>
        <v>0</v>
      </c>
      <c r="R443" s="30"/>
      <c r="S443" s="30"/>
    </row>
    <row r="444" spans="17:19" x14ac:dyDescent="0.3">
      <c r="Q444" s="30">
        <f t="shared" si="7"/>
        <v>0</v>
      </c>
      <c r="R444" s="30"/>
      <c r="S444" s="30"/>
    </row>
    <row r="445" spans="17:19" x14ac:dyDescent="0.3">
      <c r="Q445" s="30">
        <f t="shared" si="7"/>
        <v>0</v>
      </c>
      <c r="R445" s="30"/>
      <c r="S445" s="30"/>
    </row>
    <row r="446" spans="17:19" x14ac:dyDescent="0.3">
      <c r="Q446" s="30">
        <f t="shared" si="7"/>
        <v>0</v>
      </c>
      <c r="R446" s="30"/>
      <c r="S446" s="30"/>
    </row>
    <row r="447" spans="17:19" x14ac:dyDescent="0.3">
      <c r="Q447" s="30">
        <f t="shared" si="7"/>
        <v>0</v>
      </c>
      <c r="R447" s="30"/>
      <c r="S447" s="30"/>
    </row>
    <row r="448" spans="17:19" x14ac:dyDescent="0.3">
      <c r="Q448" s="30">
        <f t="shared" si="7"/>
        <v>0</v>
      </c>
      <c r="R448" s="30"/>
      <c r="S448" s="30"/>
    </row>
    <row r="449" spans="17:19" x14ac:dyDescent="0.3">
      <c r="Q449" s="30">
        <f t="shared" si="7"/>
        <v>0</v>
      </c>
      <c r="R449" s="30"/>
      <c r="S449" s="30"/>
    </row>
    <row r="450" spans="17:19" x14ac:dyDescent="0.3">
      <c r="Q450" s="30">
        <f t="shared" si="7"/>
        <v>0</v>
      </c>
      <c r="R450" s="30"/>
      <c r="S450" s="30"/>
    </row>
    <row r="451" spans="17:19" x14ac:dyDescent="0.3">
      <c r="Q451" s="30">
        <f t="shared" si="7"/>
        <v>0</v>
      </c>
      <c r="R451" s="30"/>
      <c r="S451" s="30"/>
    </row>
    <row r="452" spans="17:19" x14ac:dyDescent="0.3">
      <c r="Q452" s="30">
        <f t="shared" si="7"/>
        <v>0</v>
      </c>
      <c r="R452" s="30"/>
      <c r="S452" s="30"/>
    </row>
    <row r="453" spans="17:19" x14ac:dyDescent="0.3">
      <c r="Q453" s="30">
        <f t="shared" si="7"/>
        <v>0</v>
      </c>
      <c r="R453" s="30"/>
      <c r="S453" s="30"/>
    </row>
    <row r="454" spans="17:19" x14ac:dyDescent="0.3">
      <c r="Q454" s="30">
        <f t="shared" si="7"/>
        <v>0</v>
      </c>
      <c r="R454" s="30"/>
      <c r="S454" s="30"/>
    </row>
    <row r="455" spans="17:19" x14ac:dyDescent="0.3">
      <c r="Q455" s="30">
        <f t="shared" si="7"/>
        <v>0</v>
      </c>
      <c r="R455" s="30"/>
      <c r="S455" s="30"/>
    </row>
    <row r="456" spans="17:19" x14ac:dyDescent="0.3">
      <c r="Q456" s="30">
        <f t="shared" si="7"/>
        <v>0</v>
      </c>
      <c r="R456" s="30"/>
      <c r="S456" s="30"/>
    </row>
    <row r="457" spans="17:19" x14ac:dyDescent="0.3">
      <c r="Q457" s="30">
        <f t="shared" si="7"/>
        <v>0</v>
      </c>
      <c r="R457" s="30"/>
      <c r="S457" s="30"/>
    </row>
    <row r="458" spans="17:19" x14ac:dyDescent="0.3">
      <c r="Q458" s="30">
        <f t="shared" si="7"/>
        <v>0</v>
      </c>
      <c r="R458" s="30"/>
      <c r="S458" s="30"/>
    </row>
    <row r="459" spans="17:19" x14ac:dyDescent="0.3">
      <c r="Q459" s="30">
        <f t="shared" si="7"/>
        <v>0</v>
      </c>
      <c r="R459" s="30"/>
      <c r="S459" s="30"/>
    </row>
    <row r="460" spans="17:19" x14ac:dyDescent="0.3">
      <c r="Q460" s="30">
        <f t="shared" si="7"/>
        <v>0</v>
      </c>
      <c r="R460" s="30"/>
      <c r="S460" s="30"/>
    </row>
    <row r="461" spans="17:19" x14ac:dyDescent="0.3">
      <c r="Q461" s="30">
        <f t="shared" si="7"/>
        <v>0</v>
      </c>
      <c r="R461" s="30"/>
      <c r="S461" s="30"/>
    </row>
    <row r="462" spans="17:19" x14ac:dyDescent="0.3">
      <c r="Q462" s="30">
        <f t="shared" si="7"/>
        <v>0</v>
      </c>
      <c r="R462" s="30"/>
      <c r="S462" s="30"/>
    </row>
    <row r="463" spans="17:19" x14ac:dyDescent="0.3">
      <c r="Q463" s="30">
        <f t="shared" si="7"/>
        <v>0</v>
      </c>
      <c r="R463" s="30"/>
      <c r="S463" s="30"/>
    </row>
    <row r="464" spans="17:19" x14ac:dyDescent="0.3">
      <c r="Q464" s="30">
        <f t="shared" si="7"/>
        <v>0</v>
      </c>
      <c r="R464" s="30"/>
      <c r="S464" s="30"/>
    </row>
    <row r="465" spans="17:19" x14ac:dyDescent="0.3">
      <c r="Q465" s="30">
        <f t="shared" si="7"/>
        <v>0</v>
      </c>
      <c r="R465" s="30"/>
      <c r="S465" s="30"/>
    </row>
    <row r="466" spans="17:19" x14ac:dyDescent="0.3">
      <c r="Q466" s="30">
        <f t="shared" si="7"/>
        <v>0</v>
      </c>
      <c r="R466" s="30"/>
      <c r="S466" s="30"/>
    </row>
    <row r="467" spans="17:19" x14ac:dyDescent="0.3">
      <c r="Q467" s="30">
        <f t="shared" si="7"/>
        <v>0</v>
      </c>
      <c r="R467" s="30"/>
      <c r="S467" s="30"/>
    </row>
    <row r="468" spans="17:19" x14ac:dyDescent="0.3">
      <c r="Q468" s="30">
        <f t="shared" si="7"/>
        <v>0</v>
      </c>
      <c r="R468" s="30"/>
      <c r="S468" s="30"/>
    </row>
    <row r="469" spans="17:19" x14ac:dyDescent="0.3">
      <c r="Q469" s="30">
        <f t="shared" si="7"/>
        <v>0</v>
      </c>
      <c r="R469" s="30"/>
      <c r="S469" s="30"/>
    </row>
    <row r="470" spans="17:19" x14ac:dyDescent="0.3">
      <c r="Q470" s="30">
        <f t="shared" ref="Q470:Q512" si="8">MIN(G470:L470)</f>
        <v>0</v>
      </c>
      <c r="R470" s="30"/>
      <c r="S470" s="30"/>
    </row>
    <row r="471" spans="17:19" x14ac:dyDescent="0.3">
      <c r="Q471" s="30">
        <f t="shared" si="8"/>
        <v>0</v>
      </c>
      <c r="R471" s="30"/>
      <c r="S471" s="30"/>
    </row>
    <row r="472" spans="17:19" x14ac:dyDescent="0.3">
      <c r="Q472" s="30">
        <f t="shared" si="8"/>
        <v>0</v>
      </c>
      <c r="R472" s="30"/>
      <c r="S472" s="30"/>
    </row>
    <row r="473" spans="17:19" x14ac:dyDescent="0.3">
      <c r="Q473" s="30">
        <f t="shared" si="8"/>
        <v>0</v>
      </c>
      <c r="R473" s="30"/>
      <c r="S473" s="30"/>
    </row>
    <row r="474" spans="17:19" x14ac:dyDescent="0.3">
      <c r="Q474" s="30">
        <f t="shared" si="8"/>
        <v>0</v>
      </c>
      <c r="R474" s="30"/>
      <c r="S474" s="30"/>
    </row>
    <row r="475" spans="17:19" x14ac:dyDescent="0.3">
      <c r="Q475" s="30">
        <f t="shared" si="8"/>
        <v>0</v>
      </c>
      <c r="R475" s="30"/>
      <c r="S475" s="30"/>
    </row>
    <row r="476" spans="17:19" x14ac:dyDescent="0.3">
      <c r="Q476" s="30">
        <f t="shared" si="8"/>
        <v>0</v>
      </c>
      <c r="R476" s="30"/>
      <c r="S476" s="30"/>
    </row>
    <row r="477" spans="17:19" x14ac:dyDescent="0.3">
      <c r="Q477" s="30">
        <f t="shared" si="8"/>
        <v>0</v>
      </c>
      <c r="R477" s="30"/>
      <c r="S477" s="30"/>
    </row>
    <row r="478" spans="17:19" x14ac:dyDescent="0.3">
      <c r="Q478" s="30">
        <f t="shared" si="8"/>
        <v>0</v>
      </c>
      <c r="R478" s="30"/>
      <c r="S478" s="30"/>
    </row>
    <row r="479" spans="17:19" x14ac:dyDescent="0.3">
      <c r="Q479" s="30">
        <f t="shared" si="8"/>
        <v>0</v>
      </c>
      <c r="R479" s="30"/>
      <c r="S479" s="30"/>
    </row>
    <row r="480" spans="17:19" x14ac:dyDescent="0.3">
      <c r="Q480" s="30">
        <f t="shared" si="8"/>
        <v>0</v>
      </c>
      <c r="R480" s="30"/>
      <c r="S480" s="30"/>
    </row>
    <row r="481" spans="17:19" x14ac:dyDescent="0.3">
      <c r="Q481" s="30">
        <f t="shared" si="8"/>
        <v>0</v>
      </c>
      <c r="R481" s="30"/>
      <c r="S481" s="30"/>
    </row>
    <row r="482" spans="17:19" x14ac:dyDescent="0.3">
      <c r="Q482" s="30">
        <f t="shared" si="8"/>
        <v>0</v>
      </c>
      <c r="R482" s="30"/>
      <c r="S482" s="30"/>
    </row>
    <row r="483" spans="17:19" x14ac:dyDescent="0.3">
      <c r="Q483" s="30">
        <f t="shared" si="8"/>
        <v>0</v>
      </c>
      <c r="R483" s="30"/>
      <c r="S483" s="30"/>
    </row>
    <row r="484" spans="17:19" x14ac:dyDescent="0.3">
      <c r="Q484" s="30">
        <f t="shared" si="8"/>
        <v>0</v>
      </c>
      <c r="R484" s="30"/>
      <c r="S484" s="30"/>
    </row>
    <row r="485" spans="17:19" x14ac:dyDescent="0.3">
      <c r="Q485" s="30">
        <f t="shared" si="8"/>
        <v>0</v>
      </c>
      <c r="R485" s="30"/>
      <c r="S485" s="30"/>
    </row>
    <row r="486" spans="17:19" x14ac:dyDescent="0.3">
      <c r="Q486" s="30">
        <f t="shared" si="8"/>
        <v>0</v>
      </c>
      <c r="R486" s="30"/>
      <c r="S486" s="30"/>
    </row>
    <row r="487" spans="17:19" x14ac:dyDescent="0.3">
      <c r="Q487" s="30">
        <f t="shared" si="8"/>
        <v>0</v>
      </c>
      <c r="R487" s="30"/>
      <c r="S487" s="30"/>
    </row>
    <row r="488" spans="17:19" x14ac:dyDescent="0.3">
      <c r="Q488" s="30">
        <f t="shared" si="8"/>
        <v>0</v>
      </c>
      <c r="R488" s="30"/>
      <c r="S488" s="30"/>
    </row>
    <row r="489" spans="17:19" x14ac:dyDescent="0.3">
      <c r="Q489" s="30">
        <f t="shared" si="8"/>
        <v>0</v>
      </c>
      <c r="R489" s="30"/>
      <c r="S489" s="30"/>
    </row>
    <row r="490" spans="17:19" x14ac:dyDescent="0.3">
      <c r="Q490" s="30">
        <f t="shared" si="8"/>
        <v>0</v>
      </c>
      <c r="R490" s="30"/>
      <c r="S490" s="30"/>
    </row>
    <row r="491" spans="17:19" x14ac:dyDescent="0.3">
      <c r="Q491" s="30">
        <f t="shared" si="8"/>
        <v>0</v>
      </c>
      <c r="R491" s="30"/>
      <c r="S491" s="30"/>
    </row>
    <row r="492" spans="17:19" x14ac:dyDescent="0.3">
      <c r="Q492" s="30">
        <f t="shared" si="8"/>
        <v>0</v>
      </c>
      <c r="R492" s="30"/>
      <c r="S492" s="30"/>
    </row>
    <row r="493" spans="17:19" x14ac:dyDescent="0.3">
      <c r="Q493" s="30">
        <f t="shared" si="8"/>
        <v>0</v>
      </c>
      <c r="R493" s="30"/>
      <c r="S493" s="30"/>
    </row>
    <row r="494" spans="17:19" x14ac:dyDescent="0.3">
      <c r="Q494" s="30">
        <f t="shared" si="8"/>
        <v>0</v>
      </c>
      <c r="R494" s="30"/>
      <c r="S494" s="30"/>
    </row>
    <row r="495" spans="17:19" x14ac:dyDescent="0.3">
      <c r="Q495" s="30">
        <f t="shared" si="8"/>
        <v>0</v>
      </c>
      <c r="R495" s="30"/>
      <c r="S495" s="30"/>
    </row>
    <row r="496" spans="17:19" x14ac:dyDescent="0.3">
      <c r="Q496" s="30">
        <f t="shared" si="8"/>
        <v>0</v>
      </c>
      <c r="R496" s="30"/>
      <c r="S496" s="30"/>
    </row>
    <row r="497" spans="17:19" x14ac:dyDescent="0.3">
      <c r="Q497" s="30">
        <f t="shared" si="8"/>
        <v>0</v>
      </c>
      <c r="R497" s="30"/>
      <c r="S497" s="30"/>
    </row>
    <row r="498" spans="17:19" x14ac:dyDescent="0.3">
      <c r="Q498" s="30">
        <f t="shared" si="8"/>
        <v>0</v>
      </c>
      <c r="R498" s="30"/>
      <c r="S498" s="30"/>
    </row>
    <row r="499" spans="17:19" x14ac:dyDescent="0.3">
      <c r="Q499" s="30">
        <f t="shared" si="8"/>
        <v>0</v>
      </c>
      <c r="R499" s="30"/>
      <c r="S499" s="30"/>
    </row>
    <row r="500" spans="17:19" x14ac:dyDescent="0.3">
      <c r="Q500" s="30">
        <f t="shared" si="8"/>
        <v>0</v>
      </c>
      <c r="R500" s="30"/>
      <c r="S500" s="30"/>
    </row>
    <row r="501" spans="17:19" x14ac:dyDescent="0.3">
      <c r="Q501" s="30">
        <f t="shared" si="8"/>
        <v>0</v>
      </c>
      <c r="R501" s="30"/>
      <c r="S501" s="30"/>
    </row>
    <row r="502" spans="17:19" x14ac:dyDescent="0.3">
      <c r="Q502" s="30">
        <f t="shared" si="8"/>
        <v>0</v>
      </c>
      <c r="R502" s="30"/>
      <c r="S502" s="30"/>
    </row>
    <row r="503" spans="17:19" x14ac:dyDescent="0.3">
      <c r="Q503" s="30">
        <f t="shared" si="8"/>
        <v>0</v>
      </c>
      <c r="R503" s="30"/>
      <c r="S503" s="30"/>
    </row>
    <row r="504" spans="17:19" x14ac:dyDescent="0.3">
      <c r="Q504" s="30">
        <f t="shared" si="8"/>
        <v>0</v>
      </c>
      <c r="R504" s="30"/>
      <c r="S504" s="30"/>
    </row>
    <row r="505" spans="17:19" x14ac:dyDescent="0.3">
      <c r="Q505" s="30">
        <f t="shared" si="8"/>
        <v>0</v>
      </c>
      <c r="R505" s="30"/>
      <c r="S505" s="30"/>
    </row>
    <row r="506" spans="17:19" x14ac:dyDescent="0.3">
      <c r="Q506" s="30">
        <f t="shared" si="8"/>
        <v>0</v>
      </c>
      <c r="R506" s="30"/>
      <c r="S506" s="30"/>
    </row>
    <row r="507" spans="17:19" x14ac:dyDescent="0.3">
      <c r="Q507" s="30">
        <f t="shared" si="8"/>
        <v>0</v>
      </c>
      <c r="R507" s="30"/>
      <c r="S507" s="30"/>
    </row>
    <row r="508" spans="17:19" x14ac:dyDescent="0.3">
      <c r="Q508" s="30">
        <f t="shared" si="8"/>
        <v>0</v>
      </c>
      <c r="R508" s="30"/>
      <c r="S508" s="30"/>
    </row>
    <row r="509" spans="17:19" x14ac:dyDescent="0.3">
      <c r="Q509" s="30">
        <f t="shared" si="8"/>
        <v>0</v>
      </c>
      <c r="R509" s="30"/>
      <c r="S509" s="30"/>
    </row>
    <row r="510" spans="17:19" x14ac:dyDescent="0.3">
      <c r="Q510" s="30">
        <f t="shared" si="8"/>
        <v>0</v>
      </c>
      <c r="R510" s="30"/>
      <c r="S510" s="30"/>
    </row>
    <row r="511" spans="17:19" x14ac:dyDescent="0.3">
      <c r="Q511" s="30">
        <f t="shared" si="8"/>
        <v>0</v>
      </c>
      <c r="R511" s="30"/>
      <c r="S511" s="30"/>
    </row>
    <row r="512" spans="17:19" x14ac:dyDescent="0.3">
      <c r="Q512" s="30">
        <f t="shared" si="8"/>
        <v>0</v>
      </c>
      <c r="R512" s="30"/>
      <c r="S512" s="30"/>
    </row>
  </sheetData>
  <sheetProtection formatCells="0" formatColumns="0" formatRows="0" insertColumns="0" insertRows="0" insertHyperlinks="0" deleteColumns="0" deleteRows="0" sort="0" autoFilter="0" pivotTables="0"/>
  <autoFilter ref="A2:S64" xr:uid="{00000000-0009-0000-0000-000000000000}"/>
  <mergeCells count="2">
    <mergeCell ref="Q1:S1"/>
    <mergeCell ref="U1:W1"/>
  </mergeCells>
  <conditionalFormatting sqref="C28:C61 C3:C26">
    <cfRule type="cellIs" dxfId="46" priority="2" operator="equal">
      <formula>"COD. REPETIDO"</formula>
    </cfRule>
  </conditionalFormatting>
  <conditionalFormatting sqref="C62:C64">
    <cfRule type="cellIs" dxfId="45" priority="1" operator="equal">
      <formula>"COD. REPETIDO"</formula>
    </cfRule>
  </conditionalFormatting>
  <pageMargins left="0.7" right="0.7" top="0.75" bottom="0.75" header="0.3" footer="0.3"/>
  <pageSetup paperSize="142"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BB55"/>
  <sheetViews>
    <sheetView topLeftCell="A7" zoomScaleNormal="100" workbookViewId="0">
      <selection activeCell="AN26" sqref="AN26"/>
    </sheetView>
  </sheetViews>
  <sheetFormatPr baseColWidth="10" defaultRowHeight="16.5" x14ac:dyDescent="0.3"/>
  <cols>
    <col min="1" max="1" width="11.42578125" style="32"/>
    <col min="2" max="2" width="12.140625" style="59" hidden="1" customWidth="1"/>
    <col min="3" max="3" width="0" style="32" hidden="1" customWidth="1"/>
    <col min="4" max="4" width="39.28515625" style="33" customWidth="1"/>
    <col min="5" max="5" width="14.42578125" style="60" bestFit="1" customWidth="1"/>
    <col min="6" max="6" width="35.7109375" style="33" hidden="1" customWidth="1"/>
    <col min="7" max="7" width="11.42578125" style="59" hidden="1" customWidth="1"/>
    <col min="8" max="8" width="12.140625" style="32" hidden="1" customWidth="1"/>
    <col min="9" max="9" width="13.5703125" style="32" hidden="1" customWidth="1"/>
    <col min="10" max="10" width="11.42578125" style="32" hidden="1" customWidth="1"/>
    <col min="11" max="13" width="9.28515625" style="32" hidden="1" customWidth="1"/>
    <col min="14" max="14" width="9.7109375" style="32" hidden="1" customWidth="1"/>
    <col min="15" max="15" width="9.28515625" style="32" hidden="1" customWidth="1"/>
    <col min="16" max="16" width="9.7109375" style="32" hidden="1" customWidth="1"/>
    <col min="17" max="17" width="9.28515625" style="32" hidden="1" customWidth="1"/>
    <col min="18" max="18" width="11.28515625" style="32" hidden="1" customWidth="1"/>
    <col min="19" max="19" width="26.85546875" style="59" hidden="1" customWidth="1"/>
    <col min="20" max="20" width="26.85546875" style="32" hidden="1" customWidth="1"/>
    <col min="21" max="21" width="26.85546875" style="83" hidden="1" customWidth="1"/>
    <col min="22" max="22" width="19" style="83" hidden="1" customWidth="1"/>
    <col min="23" max="23" width="16.5703125" style="72" hidden="1" customWidth="1"/>
    <col min="24" max="24" width="20.42578125" style="72" hidden="1" customWidth="1"/>
    <col min="25" max="25" width="18" style="73" hidden="1" customWidth="1"/>
    <col min="26" max="26" width="18.42578125" style="32" hidden="1" customWidth="1"/>
    <col min="27" max="27" width="17.5703125" style="32" hidden="1" customWidth="1"/>
    <col min="28" max="28" width="17.5703125" style="59" hidden="1" customWidth="1"/>
    <col min="29" max="30" width="0" style="59" hidden="1" customWidth="1"/>
    <col min="31" max="33" width="13" style="59" hidden="1" customWidth="1"/>
    <col min="34" max="54" width="11.42578125" style="10"/>
    <col min="55" max="16384" width="11.42578125" style="75"/>
  </cols>
  <sheetData>
    <row r="1" spans="1:36" ht="49.5" x14ac:dyDescent="0.3">
      <c r="T1" s="6" t="s">
        <v>0</v>
      </c>
      <c r="U1" s="7" t="s">
        <v>1</v>
      </c>
      <c r="V1" s="7" t="s">
        <v>2</v>
      </c>
      <c r="W1" s="6" t="s">
        <v>125</v>
      </c>
      <c r="X1" s="6" t="s">
        <v>4</v>
      </c>
      <c r="Y1" s="8" t="s">
        <v>5</v>
      </c>
      <c r="Z1" s="8" t="s">
        <v>6</v>
      </c>
      <c r="AA1" s="7" t="s">
        <v>7</v>
      </c>
      <c r="AB1" s="7" t="s">
        <v>8</v>
      </c>
      <c r="AC1" s="61"/>
      <c r="AD1" s="62"/>
      <c r="AE1" s="174" t="s">
        <v>9</v>
      </c>
      <c r="AF1" s="174"/>
      <c r="AG1" s="174"/>
      <c r="AH1" s="174" t="s">
        <v>9</v>
      </c>
      <c r="AI1" s="174"/>
      <c r="AJ1" s="174"/>
    </row>
    <row r="2" spans="1:36" ht="66" x14ac:dyDescent="0.3">
      <c r="A2" s="63" t="s">
        <v>10</v>
      </c>
      <c r="B2" s="64" t="s">
        <v>11</v>
      </c>
      <c r="C2" s="64" t="s">
        <v>12</v>
      </c>
      <c r="D2" s="65" t="s">
        <v>13</v>
      </c>
      <c r="E2" s="66" t="s">
        <v>14</v>
      </c>
      <c r="F2" s="65" t="s">
        <v>15</v>
      </c>
      <c r="G2" s="66" t="s">
        <v>126</v>
      </c>
      <c r="H2" s="66" t="s">
        <v>127</v>
      </c>
      <c r="I2" s="66" t="s">
        <v>128</v>
      </c>
      <c r="J2" s="6" t="s">
        <v>129</v>
      </c>
      <c r="K2" s="66" t="s">
        <v>130</v>
      </c>
      <c r="L2" s="66" t="s">
        <v>131</v>
      </c>
      <c r="M2" s="66" t="s">
        <v>132</v>
      </c>
      <c r="N2" s="66" t="s">
        <v>133</v>
      </c>
      <c r="O2" s="66" t="s">
        <v>134</v>
      </c>
      <c r="P2" s="66" t="s">
        <v>135</v>
      </c>
      <c r="Q2" s="66" t="s">
        <v>136</v>
      </c>
      <c r="R2" s="66" t="s">
        <v>137</v>
      </c>
      <c r="S2" s="66" t="s">
        <v>138</v>
      </c>
      <c r="T2" s="63" t="s">
        <v>16</v>
      </c>
      <c r="U2" s="67" t="s">
        <v>16</v>
      </c>
      <c r="V2" s="67" t="s">
        <v>16</v>
      </c>
      <c r="W2" s="68" t="s">
        <v>16</v>
      </c>
      <c r="X2" s="68" t="s">
        <v>16</v>
      </c>
      <c r="Y2" s="20" t="s">
        <v>16</v>
      </c>
      <c r="Z2" s="8" t="s">
        <v>16</v>
      </c>
      <c r="AA2" s="7" t="s">
        <v>16</v>
      </c>
      <c r="AB2" s="7" t="s">
        <v>16</v>
      </c>
      <c r="AC2" s="61"/>
      <c r="AD2" s="62"/>
      <c r="AE2" s="8" t="s">
        <v>17</v>
      </c>
      <c r="AF2" s="8" t="s">
        <v>18</v>
      </c>
      <c r="AG2" s="8" t="s">
        <v>19</v>
      </c>
      <c r="AH2" s="11" t="s">
        <v>16</v>
      </c>
      <c r="AI2" s="11" t="s">
        <v>139</v>
      </c>
      <c r="AJ2" s="11" t="s">
        <v>19</v>
      </c>
    </row>
    <row r="3" spans="1:36" ht="33" x14ac:dyDescent="0.3">
      <c r="A3" s="32">
        <v>1</v>
      </c>
      <c r="B3" s="24">
        <v>1043205560</v>
      </c>
      <c r="C3" s="24" t="s">
        <v>20</v>
      </c>
      <c r="D3" s="25" t="s">
        <v>140</v>
      </c>
      <c r="E3" s="26" t="s">
        <v>141</v>
      </c>
      <c r="F3" s="27" t="s">
        <v>140</v>
      </c>
      <c r="G3" s="69" t="e">
        <v>#N/A</v>
      </c>
      <c r="H3" s="26" t="e">
        <v>#N/A</v>
      </c>
      <c r="I3" s="26" t="s">
        <v>20</v>
      </c>
      <c r="J3" s="70">
        <v>1</v>
      </c>
      <c r="K3" s="71">
        <v>0</v>
      </c>
      <c r="L3" s="71">
        <v>0</v>
      </c>
      <c r="M3" s="71">
        <v>0</v>
      </c>
      <c r="N3" s="71">
        <v>0</v>
      </c>
      <c r="O3" s="71">
        <v>0</v>
      </c>
      <c r="P3" s="71">
        <v>0</v>
      </c>
      <c r="Q3" s="71">
        <v>0</v>
      </c>
      <c r="R3" s="71">
        <v>0</v>
      </c>
      <c r="S3" s="69"/>
      <c r="T3" s="26" t="s">
        <v>37</v>
      </c>
      <c r="U3" s="28">
        <v>4583</v>
      </c>
      <c r="V3" s="72" t="s">
        <v>25</v>
      </c>
      <c r="W3" s="72" t="s">
        <v>25</v>
      </c>
      <c r="X3" s="72" t="s">
        <v>25</v>
      </c>
      <c r="Y3" s="73" t="s">
        <v>25</v>
      </c>
      <c r="Z3" s="73" t="s">
        <v>24</v>
      </c>
      <c r="AA3" s="72" t="s">
        <v>24</v>
      </c>
      <c r="AB3" s="59" t="s">
        <v>24</v>
      </c>
      <c r="AC3" s="61"/>
      <c r="AD3" s="62"/>
      <c r="AE3" s="72">
        <f>MIN(T3:AB3)</f>
        <v>4583</v>
      </c>
      <c r="AF3" s="72">
        <f>AE3*19/100</f>
        <v>870.77</v>
      </c>
      <c r="AG3" s="72">
        <f>AE3+AF3</f>
        <v>5453.77</v>
      </c>
      <c r="AH3" s="30">
        <v>4583</v>
      </c>
      <c r="AI3" s="30">
        <v>870.77</v>
      </c>
      <c r="AJ3" s="30">
        <v>5453.77</v>
      </c>
    </row>
    <row r="4" spans="1:36" x14ac:dyDescent="0.3">
      <c r="A4" s="32">
        <v>2</v>
      </c>
      <c r="B4" s="24">
        <v>1043205373</v>
      </c>
      <c r="C4" s="24" t="s">
        <v>20</v>
      </c>
      <c r="D4" s="25" t="s">
        <v>142</v>
      </c>
      <c r="E4" s="26" t="s">
        <v>22</v>
      </c>
      <c r="F4" s="27" t="s">
        <v>143</v>
      </c>
      <c r="G4" s="69" t="e">
        <v>#N/A</v>
      </c>
      <c r="H4" s="26" t="e">
        <v>#N/A</v>
      </c>
      <c r="I4" s="26" t="s">
        <v>20</v>
      </c>
      <c r="J4" s="70">
        <v>46410</v>
      </c>
      <c r="K4" s="71">
        <v>67</v>
      </c>
      <c r="L4" s="71">
        <v>106</v>
      </c>
      <c r="M4" s="71">
        <v>47</v>
      </c>
      <c r="N4" s="71">
        <v>3.9166666666666665</v>
      </c>
      <c r="O4" s="71">
        <v>5</v>
      </c>
      <c r="P4" s="71">
        <v>0.41666666666666669</v>
      </c>
      <c r="Q4" s="71">
        <v>0</v>
      </c>
      <c r="R4" s="71">
        <v>0</v>
      </c>
      <c r="S4" s="69"/>
      <c r="T4" s="28">
        <v>19900</v>
      </c>
      <c r="U4" s="28" t="s">
        <v>24</v>
      </c>
      <c r="V4" s="72" t="s">
        <v>25</v>
      </c>
      <c r="W4" s="72" t="s">
        <v>25</v>
      </c>
      <c r="X4" s="72" t="s">
        <v>25</v>
      </c>
      <c r="Y4" s="73" t="s">
        <v>25</v>
      </c>
      <c r="Z4" s="73" t="s">
        <v>24</v>
      </c>
      <c r="AA4" s="72" t="s">
        <v>24</v>
      </c>
      <c r="AB4" s="59" t="s">
        <v>24</v>
      </c>
      <c r="AC4" s="61"/>
      <c r="AD4" s="62"/>
      <c r="AE4" s="72">
        <f t="shared" ref="AE4:AE26" si="0">MIN(T4:AB4)</f>
        <v>19900</v>
      </c>
      <c r="AF4" s="72">
        <f t="shared" ref="AF4:AF26" si="1">AE4*19/100</f>
        <v>3781</v>
      </c>
      <c r="AG4" s="72">
        <f t="shared" ref="AG4:AG26" si="2">AE4+AF4</f>
        <v>23681</v>
      </c>
      <c r="AH4" s="30">
        <v>19900</v>
      </c>
      <c r="AI4" s="30">
        <v>3781</v>
      </c>
      <c r="AJ4" s="30">
        <v>23681</v>
      </c>
    </row>
    <row r="5" spans="1:36" x14ac:dyDescent="0.3">
      <c r="A5" s="32">
        <v>3</v>
      </c>
      <c r="B5" s="24">
        <v>1043267741</v>
      </c>
      <c r="C5" s="24" t="s">
        <v>20</v>
      </c>
      <c r="D5" s="25" t="s">
        <v>144</v>
      </c>
      <c r="E5" s="26" t="s">
        <v>22</v>
      </c>
      <c r="F5" s="27" t="s">
        <v>144</v>
      </c>
      <c r="G5" s="69" t="e">
        <v>#N/A</v>
      </c>
      <c r="H5" s="26" t="e">
        <v>#N/A</v>
      </c>
      <c r="I5" s="26" t="s">
        <v>20</v>
      </c>
      <c r="J5" s="70">
        <v>3186.8333299999999</v>
      </c>
      <c r="K5" s="71">
        <v>0</v>
      </c>
      <c r="L5" s="71">
        <v>0</v>
      </c>
      <c r="M5" s="71">
        <v>0</v>
      </c>
      <c r="N5" s="71">
        <v>0</v>
      </c>
      <c r="O5" s="71">
        <v>52</v>
      </c>
      <c r="P5" s="71">
        <v>4.333333333333333</v>
      </c>
      <c r="Q5" s="71">
        <v>0</v>
      </c>
      <c r="R5" s="71">
        <v>0</v>
      </c>
      <c r="S5" s="69"/>
      <c r="T5" s="32" t="s">
        <v>24</v>
      </c>
      <c r="U5" s="32" t="s">
        <v>24</v>
      </c>
      <c r="V5" s="72">
        <v>6120</v>
      </c>
      <c r="W5" s="72" t="s">
        <v>25</v>
      </c>
      <c r="X5" s="72" t="s">
        <v>25</v>
      </c>
      <c r="Y5" s="73">
        <v>3360</v>
      </c>
      <c r="Z5" s="73">
        <v>4957</v>
      </c>
      <c r="AA5" s="72">
        <v>4309</v>
      </c>
      <c r="AB5" s="59" t="s">
        <v>24</v>
      </c>
      <c r="AC5" s="61"/>
      <c r="AD5" s="62"/>
      <c r="AE5" s="72">
        <f>MIN(T5:AB5)</f>
        <v>3360</v>
      </c>
      <c r="AF5" s="72">
        <f t="shared" si="1"/>
        <v>638.4</v>
      </c>
      <c r="AG5" s="72">
        <f t="shared" si="2"/>
        <v>3998.4</v>
      </c>
      <c r="AH5" s="30">
        <v>4686.5</v>
      </c>
      <c r="AI5" s="30">
        <v>890.43499999999995</v>
      </c>
      <c r="AJ5" s="30">
        <v>5576.9349999999995</v>
      </c>
    </row>
    <row r="6" spans="1:36" x14ac:dyDescent="0.3">
      <c r="A6" s="32">
        <v>4</v>
      </c>
      <c r="B6" s="24">
        <v>1111000017</v>
      </c>
      <c r="C6" s="24" t="s">
        <v>20</v>
      </c>
      <c r="D6" s="25" t="s">
        <v>145</v>
      </c>
      <c r="E6" s="26" t="s">
        <v>22</v>
      </c>
      <c r="F6" s="27" t="s">
        <v>145</v>
      </c>
      <c r="G6" s="69" t="e">
        <v>#N/A</v>
      </c>
      <c r="H6" s="26" t="e">
        <v>#N/A</v>
      </c>
      <c r="I6" s="26" t="s">
        <v>20</v>
      </c>
      <c r="J6" s="70">
        <v>16422</v>
      </c>
      <c r="K6" s="71">
        <v>0</v>
      </c>
      <c r="L6" s="71">
        <v>0</v>
      </c>
      <c r="M6" s="71">
        <v>0</v>
      </c>
      <c r="N6" s="71">
        <v>0</v>
      </c>
      <c r="O6" s="71">
        <v>22</v>
      </c>
      <c r="P6" s="71">
        <v>1.8333333333333333</v>
      </c>
      <c r="Q6" s="71">
        <v>0</v>
      </c>
      <c r="R6" s="71">
        <v>0</v>
      </c>
      <c r="S6" s="69"/>
      <c r="T6" s="32" t="s">
        <v>24</v>
      </c>
      <c r="U6" s="32" t="s">
        <v>24</v>
      </c>
      <c r="V6" s="72">
        <v>12600</v>
      </c>
      <c r="W6" s="72">
        <v>20900</v>
      </c>
      <c r="X6" s="72" t="s">
        <v>25</v>
      </c>
      <c r="Y6" s="73">
        <v>12585</v>
      </c>
      <c r="Z6" s="73" t="s">
        <v>24</v>
      </c>
      <c r="AA6" s="72" t="s">
        <v>24</v>
      </c>
      <c r="AB6" s="59" t="s">
        <v>24</v>
      </c>
      <c r="AC6" s="61"/>
      <c r="AD6" s="62"/>
      <c r="AE6" s="72">
        <f t="shared" si="0"/>
        <v>12585</v>
      </c>
      <c r="AF6" s="72">
        <f t="shared" si="1"/>
        <v>2391.15</v>
      </c>
      <c r="AG6" s="72">
        <f t="shared" si="2"/>
        <v>14976.15</v>
      </c>
      <c r="AH6" s="30">
        <v>15361.666666666666</v>
      </c>
      <c r="AI6" s="30">
        <v>2918.7166666666662</v>
      </c>
      <c r="AJ6" s="30">
        <v>18280.383333333331</v>
      </c>
    </row>
    <row r="7" spans="1:36" x14ac:dyDescent="0.3">
      <c r="A7" s="32">
        <v>5</v>
      </c>
      <c r="B7" s="24">
        <v>1111000010</v>
      </c>
      <c r="C7" s="24" t="s">
        <v>20</v>
      </c>
      <c r="D7" s="25" t="s">
        <v>146</v>
      </c>
      <c r="E7" s="26" t="s">
        <v>22</v>
      </c>
      <c r="F7" s="27" t="s">
        <v>146</v>
      </c>
      <c r="G7" s="69" t="e">
        <v>#N/A</v>
      </c>
      <c r="H7" s="26" t="e">
        <v>#N/A</v>
      </c>
      <c r="I7" s="26" t="s">
        <v>20</v>
      </c>
      <c r="J7" s="70">
        <v>3392.02</v>
      </c>
      <c r="K7" s="71">
        <v>0</v>
      </c>
      <c r="L7" s="71">
        <v>0</v>
      </c>
      <c r="M7" s="71">
        <v>0</v>
      </c>
      <c r="N7" s="71">
        <v>0</v>
      </c>
      <c r="O7" s="71">
        <v>5</v>
      </c>
      <c r="P7" s="71">
        <v>0.41666666666666669</v>
      </c>
      <c r="Q7" s="71">
        <v>0</v>
      </c>
      <c r="R7" s="71">
        <v>0</v>
      </c>
      <c r="S7" s="69"/>
      <c r="T7" s="32" t="s">
        <v>24</v>
      </c>
      <c r="U7" s="32" t="s">
        <v>24</v>
      </c>
      <c r="V7" s="72">
        <v>3600</v>
      </c>
      <c r="W7" s="72">
        <v>7900</v>
      </c>
      <c r="X7" s="72">
        <v>3500</v>
      </c>
      <c r="Y7" s="73">
        <v>3650</v>
      </c>
      <c r="Z7" s="73" t="s">
        <v>24</v>
      </c>
      <c r="AA7" s="72" t="s">
        <v>24</v>
      </c>
      <c r="AB7" s="59" t="s">
        <v>24</v>
      </c>
      <c r="AC7" s="61"/>
      <c r="AD7" s="62"/>
      <c r="AE7" s="72">
        <f t="shared" si="0"/>
        <v>3500</v>
      </c>
      <c r="AF7" s="72">
        <f t="shared" si="1"/>
        <v>665</v>
      </c>
      <c r="AG7" s="72">
        <f t="shared" si="2"/>
        <v>4165</v>
      </c>
      <c r="AH7" s="30">
        <v>4662.5</v>
      </c>
      <c r="AI7" s="30">
        <v>885.875</v>
      </c>
      <c r="AJ7" s="30">
        <v>5548.375</v>
      </c>
    </row>
    <row r="8" spans="1:36" x14ac:dyDescent="0.3">
      <c r="A8" s="32">
        <v>6</v>
      </c>
      <c r="B8" s="24">
        <v>1123268114</v>
      </c>
      <c r="C8" s="24" t="s">
        <v>20</v>
      </c>
      <c r="D8" s="27" t="s">
        <v>147</v>
      </c>
      <c r="E8" s="26" t="s">
        <v>22</v>
      </c>
      <c r="F8" s="27" t="s">
        <v>147</v>
      </c>
      <c r="G8" s="69" t="e">
        <v>#N/A</v>
      </c>
      <c r="H8" s="26" t="e">
        <v>#N/A</v>
      </c>
      <c r="I8" s="26" t="s">
        <v>20</v>
      </c>
      <c r="J8" s="70">
        <v>3392.02</v>
      </c>
      <c r="K8" s="71">
        <v>0</v>
      </c>
      <c r="L8" s="71">
        <v>0</v>
      </c>
      <c r="M8" s="71">
        <v>0</v>
      </c>
      <c r="N8" s="71">
        <v>0</v>
      </c>
      <c r="O8" s="71">
        <v>5</v>
      </c>
      <c r="P8" s="71">
        <v>0.41666666666666669</v>
      </c>
      <c r="Q8" s="71">
        <v>0</v>
      </c>
      <c r="R8" s="71">
        <v>0</v>
      </c>
      <c r="S8" s="69"/>
      <c r="T8" s="32" t="s">
        <v>24</v>
      </c>
      <c r="U8" s="32" t="s">
        <v>24</v>
      </c>
      <c r="V8" s="72">
        <v>3600</v>
      </c>
      <c r="W8" s="72" t="s">
        <v>25</v>
      </c>
      <c r="X8" s="72" t="s">
        <v>25</v>
      </c>
      <c r="Y8" s="73">
        <v>3650</v>
      </c>
      <c r="Z8" s="73" t="s">
        <v>24</v>
      </c>
      <c r="AA8" s="72" t="s">
        <v>24</v>
      </c>
      <c r="AB8" s="59" t="s">
        <v>24</v>
      </c>
      <c r="AC8" s="61"/>
      <c r="AD8" s="62"/>
      <c r="AE8" s="72">
        <f t="shared" si="0"/>
        <v>3600</v>
      </c>
      <c r="AF8" s="72">
        <f t="shared" si="1"/>
        <v>684</v>
      </c>
      <c r="AG8" s="72">
        <f t="shared" si="2"/>
        <v>4284</v>
      </c>
      <c r="AH8" s="30">
        <v>3625</v>
      </c>
      <c r="AI8" s="30">
        <v>688.75</v>
      </c>
      <c r="AJ8" s="30">
        <v>4313.75</v>
      </c>
    </row>
    <row r="9" spans="1:36" x14ac:dyDescent="0.3">
      <c r="A9" s="32">
        <v>7</v>
      </c>
      <c r="B9" s="24">
        <v>1111000386</v>
      </c>
      <c r="C9" s="24" t="s">
        <v>20</v>
      </c>
      <c r="D9" s="25" t="s">
        <v>148</v>
      </c>
      <c r="E9" s="26" t="s">
        <v>22</v>
      </c>
      <c r="F9" s="27" t="s">
        <v>148</v>
      </c>
      <c r="G9" s="69" t="e">
        <v>#N/A</v>
      </c>
      <c r="H9" s="26" t="e">
        <v>#N/A</v>
      </c>
      <c r="I9" s="26" t="s">
        <v>20</v>
      </c>
      <c r="J9" s="70">
        <v>14707.25</v>
      </c>
      <c r="K9" s="71">
        <v>0</v>
      </c>
      <c r="L9" s="71">
        <v>0</v>
      </c>
      <c r="M9" s="71">
        <v>0</v>
      </c>
      <c r="N9" s="71">
        <v>0</v>
      </c>
      <c r="O9" s="71">
        <v>12</v>
      </c>
      <c r="P9" s="71">
        <v>1</v>
      </c>
      <c r="Q9" s="71">
        <v>0</v>
      </c>
      <c r="R9" s="71">
        <v>0</v>
      </c>
      <c r="S9" s="69"/>
      <c r="T9" s="32" t="s">
        <v>24</v>
      </c>
      <c r="U9" s="32" t="s">
        <v>24</v>
      </c>
      <c r="V9" s="72" t="s">
        <v>25</v>
      </c>
      <c r="W9" s="72">
        <v>36900</v>
      </c>
      <c r="X9" s="72" t="s">
        <v>25</v>
      </c>
      <c r="Y9" s="73">
        <v>23000</v>
      </c>
      <c r="Z9" s="73" t="s">
        <v>24</v>
      </c>
      <c r="AA9" s="72" t="s">
        <v>24</v>
      </c>
      <c r="AB9" s="59" t="s">
        <v>24</v>
      </c>
      <c r="AC9" s="61"/>
      <c r="AD9" s="62"/>
      <c r="AE9" s="72">
        <f t="shared" si="0"/>
        <v>23000</v>
      </c>
      <c r="AF9" s="72">
        <f t="shared" si="1"/>
        <v>4370</v>
      </c>
      <c r="AG9" s="72">
        <f t="shared" si="2"/>
        <v>27370</v>
      </c>
      <c r="AH9" s="30">
        <v>29950</v>
      </c>
      <c r="AI9" s="30">
        <v>5690.5</v>
      </c>
      <c r="AJ9" s="30">
        <v>35640.5</v>
      </c>
    </row>
    <row r="10" spans="1:36" ht="33" x14ac:dyDescent="0.3">
      <c r="A10" s="32">
        <v>8</v>
      </c>
      <c r="B10" s="74">
        <v>1111000153</v>
      </c>
      <c r="C10" s="24"/>
      <c r="D10" s="25" t="s">
        <v>149</v>
      </c>
      <c r="E10" s="26" t="s">
        <v>22</v>
      </c>
      <c r="F10" s="25" t="s">
        <v>149</v>
      </c>
      <c r="G10" s="69"/>
      <c r="H10" s="26"/>
      <c r="I10" s="26"/>
      <c r="J10" s="70"/>
      <c r="K10" s="71"/>
      <c r="L10" s="71"/>
      <c r="M10" s="71"/>
      <c r="N10" s="71"/>
      <c r="O10" s="71"/>
      <c r="P10" s="71"/>
      <c r="Q10" s="71"/>
      <c r="R10" s="71"/>
      <c r="S10" s="69"/>
      <c r="T10" s="32" t="s">
        <v>24</v>
      </c>
      <c r="U10" s="32" t="s">
        <v>24</v>
      </c>
      <c r="V10" s="72" t="s">
        <v>25</v>
      </c>
      <c r="W10" s="72">
        <v>155900</v>
      </c>
      <c r="X10" s="72" t="s">
        <v>25</v>
      </c>
      <c r="Y10" s="73">
        <v>100800</v>
      </c>
      <c r="Z10" s="73" t="s">
        <v>24</v>
      </c>
      <c r="AA10" s="72" t="s">
        <v>24</v>
      </c>
      <c r="AB10" s="59" t="s">
        <v>24</v>
      </c>
      <c r="AC10" s="61"/>
      <c r="AD10" s="62"/>
      <c r="AE10" s="72">
        <f t="shared" si="0"/>
        <v>100800</v>
      </c>
      <c r="AF10" s="72">
        <f t="shared" si="1"/>
        <v>19152</v>
      </c>
      <c r="AG10" s="72">
        <f t="shared" si="2"/>
        <v>119952</v>
      </c>
      <c r="AH10" s="30">
        <v>128350</v>
      </c>
      <c r="AI10" s="30">
        <v>24386.5</v>
      </c>
      <c r="AJ10" s="30">
        <v>152736.5</v>
      </c>
    </row>
    <row r="11" spans="1:36" x14ac:dyDescent="0.3">
      <c r="A11" s="32">
        <v>9</v>
      </c>
      <c r="B11" s="74">
        <v>1043205360</v>
      </c>
      <c r="D11" s="33" t="s">
        <v>150</v>
      </c>
      <c r="E11" s="26" t="s">
        <v>22</v>
      </c>
      <c r="F11" s="33" t="s">
        <v>150</v>
      </c>
      <c r="T11" s="28">
        <v>27000</v>
      </c>
      <c r="U11" s="32" t="s">
        <v>24</v>
      </c>
      <c r="V11" s="72" t="s">
        <v>25</v>
      </c>
      <c r="W11" s="72" t="s">
        <v>25</v>
      </c>
      <c r="X11" s="72" t="s">
        <v>25</v>
      </c>
      <c r="Y11" s="73" t="s">
        <v>25</v>
      </c>
      <c r="Z11" s="73" t="s">
        <v>24</v>
      </c>
      <c r="AA11" s="72" t="s">
        <v>24</v>
      </c>
      <c r="AB11" s="59" t="s">
        <v>24</v>
      </c>
      <c r="AC11" s="61"/>
      <c r="AD11" s="62"/>
      <c r="AE11" s="72">
        <f t="shared" si="0"/>
        <v>27000</v>
      </c>
      <c r="AF11" s="72">
        <f t="shared" si="1"/>
        <v>5130</v>
      </c>
      <c r="AG11" s="72">
        <f t="shared" si="2"/>
        <v>32130</v>
      </c>
      <c r="AH11" s="30">
        <v>27000</v>
      </c>
      <c r="AI11" s="30">
        <v>5130</v>
      </c>
      <c r="AJ11" s="30">
        <v>32130</v>
      </c>
    </row>
    <row r="12" spans="1:36" x14ac:dyDescent="0.3">
      <c r="A12" s="32">
        <v>10</v>
      </c>
      <c r="B12" s="74">
        <v>1043205369</v>
      </c>
      <c r="D12" s="33" t="s">
        <v>151</v>
      </c>
      <c r="E12" s="26" t="s">
        <v>22</v>
      </c>
      <c r="F12" s="33" t="s">
        <v>151</v>
      </c>
      <c r="T12" s="28">
        <v>18000</v>
      </c>
      <c r="U12" s="32" t="s">
        <v>24</v>
      </c>
      <c r="V12" s="72" t="s">
        <v>25</v>
      </c>
      <c r="W12" s="72" t="s">
        <v>25</v>
      </c>
      <c r="X12" s="72" t="s">
        <v>25</v>
      </c>
      <c r="Y12" s="73" t="s">
        <v>25</v>
      </c>
      <c r="Z12" s="73" t="s">
        <v>24</v>
      </c>
      <c r="AA12" s="72" t="s">
        <v>24</v>
      </c>
      <c r="AB12" s="59" t="s">
        <v>24</v>
      </c>
      <c r="AC12" s="61"/>
      <c r="AD12" s="62"/>
      <c r="AE12" s="72">
        <f t="shared" si="0"/>
        <v>18000</v>
      </c>
      <c r="AF12" s="72">
        <f t="shared" si="1"/>
        <v>3420</v>
      </c>
      <c r="AG12" s="72">
        <f t="shared" si="2"/>
        <v>21420</v>
      </c>
      <c r="AH12" s="30">
        <v>18000</v>
      </c>
      <c r="AI12" s="30">
        <v>3420</v>
      </c>
      <c r="AJ12" s="30">
        <v>21420</v>
      </c>
    </row>
    <row r="13" spans="1:36" x14ac:dyDescent="0.3">
      <c r="A13" s="32">
        <v>11</v>
      </c>
      <c r="B13" s="74">
        <v>1043205361</v>
      </c>
      <c r="D13" s="33" t="s">
        <v>152</v>
      </c>
      <c r="E13" s="26" t="s">
        <v>22</v>
      </c>
      <c r="F13" s="33" t="s">
        <v>152</v>
      </c>
      <c r="T13" s="32" t="s">
        <v>24</v>
      </c>
      <c r="U13" s="32" t="s">
        <v>24</v>
      </c>
      <c r="V13" s="72">
        <v>18000</v>
      </c>
      <c r="W13" s="72" t="s">
        <v>25</v>
      </c>
      <c r="X13" s="72" t="s">
        <v>25</v>
      </c>
      <c r="Y13" s="73" t="s">
        <v>25</v>
      </c>
      <c r="Z13" s="73" t="s">
        <v>24</v>
      </c>
      <c r="AA13" s="72" t="s">
        <v>24</v>
      </c>
      <c r="AB13" s="59" t="s">
        <v>24</v>
      </c>
      <c r="AC13" s="61"/>
      <c r="AD13" s="62"/>
      <c r="AE13" s="72">
        <f t="shared" si="0"/>
        <v>18000</v>
      </c>
      <c r="AF13" s="72">
        <f t="shared" si="1"/>
        <v>3420</v>
      </c>
      <c r="AG13" s="72">
        <f t="shared" si="2"/>
        <v>21420</v>
      </c>
      <c r="AH13" s="30">
        <v>18000</v>
      </c>
      <c r="AI13" s="30">
        <v>3420</v>
      </c>
      <c r="AJ13" s="30">
        <v>21420</v>
      </c>
    </row>
    <row r="14" spans="1:36" x14ac:dyDescent="0.3">
      <c r="A14" s="32">
        <v>12</v>
      </c>
      <c r="B14" s="24">
        <v>1043205369</v>
      </c>
      <c r="C14" s="24" t="s">
        <v>20</v>
      </c>
      <c r="D14" s="25" t="s">
        <v>153</v>
      </c>
      <c r="E14" s="26" t="s">
        <v>22</v>
      </c>
      <c r="F14" s="27" t="s">
        <v>153</v>
      </c>
      <c r="G14" s="69" t="e">
        <v>#N/A</v>
      </c>
      <c r="H14" s="26" t="e">
        <v>#N/A</v>
      </c>
      <c r="I14" s="26" t="s">
        <v>20</v>
      </c>
      <c r="J14" s="70">
        <v>1241288</v>
      </c>
      <c r="K14" s="71">
        <v>0</v>
      </c>
      <c r="L14" s="71">
        <v>0</v>
      </c>
      <c r="M14" s="71">
        <v>0</v>
      </c>
      <c r="N14" s="71">
        <v>0</v>
      </c>
      <c r="O14" s="71">
        <v>0</v>
      </c>
      <c r="P14" s="71">
        <v>0</v>
      </c>
      <c r="Q14" s="71">
        <v>0</v>
      </c>
      <c r="R14" s="71">
        <v>0</v>
      </c>
      <c r="S14" s="69"/>
      <c r="T14" s="32" t="s">
        <v>24</v>
      </c>
      <c r="U14" s="32" t="s">
        <v>24</v>
      </c>
      <c r="V14" s="72">
        <v>107400</v>
      </c>
      <c r="W14" s="72" t="s">
        <v>25</v>
      </c>
      <c r="X14" s="72" t="s">
        <v>25</v>
      </c>
      <c r="Y14" s="73" t="s">
        <v>25</v>
      </c>
      <c r="Z14" s="73" t="s">
        <v>24</v>
      </c>
      <c r="AA14" s="72" t="s">
        <v>24</v>
      </c>
      <c r="AB14" s="59" t="s">
        <v>24</v>
      </c>
      <c r="AC14" s="61"/>
      <c r="AD14" s="62"/>
      <c r="AE14" s="72">
        <f t="shared" si="0"/>
        <v>107400</v>
      </c>
      <c r="AF14" s="72">
        <f t="shared" si="1"/>
        <v>20406</v>
      </c>
      <c r="AG14" s="72">
        <f t="shared" si="2"/>
        <v>127806</v>
      </c>
      <c r="AH14" s="30">
        <v>107400</v>
      </c>
      <c r="AI14" s="30">
        <v>20406</v>
      </c>
      <c r="AJ14" s="30">
        <v>127806</v>
      </c>
    </row>
    <row r="15" spans="1:36" x14ac:dyDescent="0.3">
      <c r="A15" s="32">
        <v>13</v>
      </c>
      <c r="B15" s="74">
        <v>1123229113</v>
      </c>
      <c r="D15" s="33" t="s">
        <v>154</v>
      </c>
      <c r="E15" s="26" t="s">
        <v>22</v>
      </c>
      <c r="F15" s="33" t="s">
        <v>154</v>
      </c>
      <c r="T15" s="32" t="s">
        <v>24</v>
      </c>
      <c r="U15" s="32" t="s">
        <v>24</v>
      </c>
      <c r="V15" s="72">
        <v>7000</v>
      </c>
      <c r="W15" s="72">
        <v>3100</v>
      </c>
      <c r="X15" s="72" t="s">
        <v>25</v>
      </c>
      <c r="Y15" s="73" t="s">
        <v>25</v>
      </c>
      <c r="Z15" s="73" t="s">
        <v>24</v>
      </c>
      <c r="AA15" s="72" t="s">
        <v>24</v>
      </c>
      <c r="AB15" s="59" t="s">
        <v>24</v>
      </c>
      <c r="AC15" s="61"/>
      <c r="AD15" s="62"/>
      <c r="AE15" s="72">
        <f t="shared" si="0"/>
        <v>3100</v>
      </c>
      <c r="AF15" s="72">
        <f t="shared" si="1"/>
        <v>589</v>
      </c>
      <c r="AG15" s="72">
        <f t="shared" si="2"/>
        <v>3689</v>
      </c>
      <c r="AH15" s="30">
        <v>5050</v>
      </c>
      <c r="AI15" s="30">
        <v>959.5</v>
      </c>
      <c r="AJ15" s="30">
        <v>6009.5</v>
      </c>
    </row>
    <row r="16" spans="1:36" x14ac:dyDescent="0.3">
      <c r="A16" s="32">
        <v>14</v>
      </c>
      <c r="B16" s="24">
        <v>1123229119</v>
      </c>
      <c r="C16" s="24" t="s">
        <v>20</v>
      </c>
      <c r="D16" s="25" t="s">
        <v>155</v>
      </c>
      <c r="E16" s="26" t="s">
        <v>22</v>
      </c>
      <c r="F16" s="27" t="s">
        <v>156</v>
      </c>
      <c r="G16" s="69" t="e">
        <v>#N/A</v>
      </c>
      <c r="H16" s="26" t="e">
        <v>#N/A</v>
      </c>
      <c r="I16" s="26" t="s">
        <v>20</v>
      </c>
      <c r="J16" s="70">
        <v>4979.03</v>
      </c>
      <c r="K16" s="71">
        <v>0</v>
      </c>
      <c r="L16" s="71">
        <v>1</v>
      </c>
      <c r="M16" s="71">
        <v>5</v>
      </c>
      <c r="N16" s="71">
        <v>0.41666666666666669</v>
      </c>
      <c r="O16" s="71">
        <v>2</v>
      </c>
      <c r="P16" s="71">
        <v>0.16666666666666666</v>
      </c>
      <c r="Q16" s="71">
        <v>0</v>
      </c>
      <c r="R16" s="71">
        <v>0</v>
      </c>
      <c r="S16" s="69"/>
      <c r="T16" s="32" t="s">
        <v>24</v>
      </c>
      <c r="U16" s="32" t="s">
        <v>24</v>
      </c>
      <c r="V16" s="72">
        <v>7000</v>
      </c>
      <c r="W16" s="72" t="s">
        <v>25</v>
      </c>
      <c r="X16" s="72" t="s">
        <v>25</v>
      </c>
      <c r="Y16" s="73" t="s">
        <v>25</v>
      </c>
      <c r="Z16" s="73">
        <v>7759</v>
      </c>
      <c r="AA16" s="72" t="s">
        <v>24</v>
      </c>
      <c r="AB16" s="59" t="s">
        <v>24</v>
      </c>
      <c r="AC16" s="61"/>
      <c r="AD16" s="62"/>
      <c r="AE16" s="72">
        <f t="shared" si="0"/>
        <v>7000</v>
      </c>
      <c r="AF16" s="72">
        <f t="shared" si="1"/>
        <v>1330</v>
      </c>
      <c r="AG16" s="72">
        <f t="shared" si="2"/>
        <v>8330</v>
      </c>
      <c r="AH16" s="30">
        <v>7379.5</v>
      </c>
      <c r="AI16" s="30">
        <v>1402.105</v>
      </c>
      <c r="AJ16" s="30">
        <v>8781.6049999999996</v>
      </c>
    </row>
    <row r="17" spans="1:54" x14ac:dyDescent="0.3">
      <c r="A17" s="32">
        <v>15</v>
      </c>
      <c r="B17" s="24">
        <v>1123229117</v>
      </c>
      <c r="C17" s="24" t="s">
        <v>20</v>
      </c>
      <c r="D17" s="25" t="s">
        <v>157</v>
      </c>
      <c r="E17" s="26" t="s">
        <v>32</v>
      </c>
      <c r="F17" s="27" t="s">
        <v>158</v>
      </c>
      <c r="G17" s="69" t="e">
        <v>#N/A</v>
      </c>
      <c r="H17" s="26" t="e">
        <v>#N/A</v>
      </c>
      <c r="I17" s="26" t="s">
        <v>20</v>
      </c>
      <c r="J17" s="70">
        <v>4979.03</v>
      </c>
      <c r="K17" s="71">
        <v>252</v>
      </c>
      <c r="L17" s="71">
        <v>152</v>
      </c>
      <c r="M17" s="71">
        <v>4</v>
      </c>
      <c r="N17" s="71">
        <v>0.33333333333333331</v>
      </c>
      <c r="O17" s="71">
        <v>9</v>
      </c>
      <c r="P17" s="71">
        <v>0.75</v>
      </c>
      <c r="Q17" s="71">
        <v>0</v>
      </c>
      <c r="R17" s="71">
        <v>0</v>
      </c>
      <c r="S17" s="69"/>
      <c r="T17" s="32" t="s">
        <v>24</v>
      </c>
      <c r="U17" s="32" t="s">
        <v>24</v>
      </c>
      <c r="V17" s="72">
        <v>6300</v>
      </c>
      <c r="W17" s="72">
        <v>3100</v>
      </c>
      <c r="X17" s="72" t="s">
        <v>25</v>
      </c>
      <c r="Y17" s="73" t="s">
        <v>25</v>
      </c>
      <c r="Z17" s="73">
        <v>10000</v>
      </c>
      <c r="AA17" s="72" t="s">
        <v>24</v>
      </c>
      <c r="AB17" s="59" t="s">
        <v>24</v>
      </c>
      <c r="AC17" s="61"/>
      <c r="AD17" s="62"/>
      <c r="AE17" s="72">
        <f t="shared" si="0"/>
        <v>3100</v>
      </c>
      <c r="AF17" s="72">
        <f t="shared" si="1"/>
        <v>589</v>
      </c>
      <c r="AG17" s="72">
        <f t="shared" si="2"/>
        <v>3689</v>
      </c>
      <c r="AH17" s="30">
        <v>6466.666666666667</v>
      </c>
      <c r="AI17" s="30">
        <v>1228.6666666666667</v>
      </c>
      <c r="AJ17" s="30">
        <v>7695.3333333333339</v>
      </c>
    </row>
    <row r="18" spans="1:54" x14ac:dyDescent="0.3">
      <c r="A18" s="32">
        <v>16</v>
      </c>
      <c r="B18" s="24">
        <v>1123229118</v>
      </c>
      <c r="C18" s="24" t="s">
        <v>20</v>
      </c>
      <c r="D18" s="25" t="s">
        <v>159</v>
      </c>
      <c r="E18" s="26" t="s">
        <v>32</v>
      </c>
      <c r="F18" s="27" t="s">
        <v>160</v>
      </c>
      <c r="G18" s="69" t="e">
        <v>#N/A</v>
      </c>
      <c r="H18" s="26" t="e">
        <v>#N/A</v>
      </c>
      <c r="I18" s="26" t="s">
        <v>20</v>
      </c>
      <c r="J18" s="70">
        <v>4979.03</v>
      </c>
      <c r="K18" s="71">
        <v>27</v>
      </c>
      <c r="L18" s="71">
        <v>5</v>
      </c>
      <c r="M18" s="71">
        <v>4</v>
      </c>
      <c r="N18" s="71">
        <v>0.33333333333333331</v>
      </c>
      <c r="O18" s="71">
        <v>9</v>
      </c>
      <c r="P18" s="71">
        <v>0.75</v>
      </c>
      <c r="Q18" s="71">
        <v>0</v>
      </c>
      <c r="R18" s="71">
        <v>0</v>
      </c>
      <c r="S18" s="69"/>
      <c r="T18" s="32" t="s">
        <v>24</v>
      </c>
      <c r="U18" s="32" t="s">
        <v>24</v>
      </c>
      <c r="V18" s="72">
        <v>7000</v>
      </c>
      <c r="W18" s="72">
        <v>2000</v>
      </c>
      <c r="X18" s="72" t="s">
        <v>25</v>
      </c>
      <c r="Y18" s="73" t="s">
        <v>25</v>
      </c>
      <c r="Z18" s="73">
        <v>10143</v>
      </c>
      <c r="AA18" s="72" t="s">
        <v>24</v>
      </c>
      <c r="AB18" s="59" t="s">
        <v>24</v>
      </c>
      <c r="AC18" s="61"/>
      <c r="AD18" s="62"/>
      <c r="AE18" s="72">
        <f t="shared" si="0"/>
        <v>2000</v>
      </c>
      <c r="AF18" s="72">
        <f t="shared" si="1"/>
        <v>380</v>
      </c>
      <c r="AG18" s="72">
        <f t="shared" si="2"/>
        <v>2380</v>
      </c>
      <c r="AH18" s="30">
        <v>6381</v>
      </c>
      <c r="AI18" s="30">
        <v>1212.3900000000001</v>
      </c>
      <c r="AJ18" s="30">
        <v>7593.39</v>
      </c>
    </row>
    <row r="19" spans="1:54" x14ac:dyDescent="0.3">
      <c r="A19" s="32">
        <v>17</v>
      </c>
      <c r="B19" s="24">
        <v>1043205129</v>
      </c>
      <c r="C19" s="24" t="s">
        <v>20</v>
      </c>
      <c r="D19" s="25" t="s">
        <v>161</v>
      </c>
      <c r="E19" s="26" t="s">
        <v>97</v>
      </c>
      <c r="F19" s="27" t="s">
        <v>162</v>
      </c>
      <c r="G19" s="69" t="e">
        <v>#N/A</v>
      </c>
      <c r="H19" s="26" t="e">
        <v>#N/A</v>
      </c>
      <c r="I19" s="26" t="s">
        <v>20</v>
      </c>
      <c r="J19" s="70">
        <v>11176.94</v>
      </c>
      <c r="K19" s="71">
        <v>10</v>
      </c>
      <c r="L19" s="71">
        <v>20</v>
      </c>
      <c r="M19" s="71">
        <v>0</v>
      </c>
      <c r="N19" s="71">
        <v>0</v>
      </c>
      <c r="O19" s="71">
        <v>0</v>
      </c>
      <c r="P19" s="71">
        <v>0</v>
      </c>
      <c r="Q19" s="71">
        <v>0</v>
      </c>
      <c r="R19" s="71">
        <v>6</v>
      </c>
      <c r="S19" s="69"/>
      <c r="T19" s="32" t="s">
        <v>24</v>
      </c>
      <c r="U19" s="32" t="s">
        <v>24</v>
      </c>
      <c r="V19" s="72">
        <v>10800</v>
      </c>
      <c r="W19" s="72" t="s">
        <v>25</v>
      </c>
      <c r="X19" s="72" t="s">
        <v>25</v>
      </c>
      <c r="Y19" s="73" t="s">
        <v>25</v>
      </c>
      <c r="Z19" s="73" t="s">
        <v>24</v>
      </c>
      <c r="AA19" s="72" t="s">
        <v>24</v>
      </c>
      <c r="AB19" s="59" t="s">
        <v>24</v>
      </c>
      <c r="AC19" s="61"/>
      <c r="AD19" s="62"/>
      <c r="AE19" s="72">
        <f t="shared" si="0"/>
        <v>10800</v>
      </c>
      <c r="AF19" s="72">
        <f t="shared" si="1"/>
        <v>2052</v>
      </c>
      <c r="AG19" s="72">
        <f t="shared" si="2"/>
        <v>12852</v>
      </c>
      <c r="AH19" s="30">
        <v>10800</v>
      </c>
      <c r="AI19" s="30">
        <v>2052</v>
      </c>
      <c r="AJ19" s="30">
        <v>12852</v>
      </c>
    </row>
    <row r="20" spans="1:54" s="76" customFormat="1" x14ac:dyDescent="0.3">
      <c r="A20" s="32">
        <v>18</v>
      </c>
      <c r="B20" s="24">
        <v>1043205121</v>
      </c>
      <c r="C20" s="24" t="s">
        <v>20</v>
      </c>
      <c r="D20" s="25" t="s">
        <v>163</v>
      </c>
      <c r="E20" s="26" t="s">
        <v>97</v>
      </c>
      <c r="F20" s="27" t="s">
        <v>163</v>
      </c>
      <c r="G20" s="69" t="e">
        <v>#N/A</v>
      </c>
      <c r="H20" s="26" t="e">
        <v>#N/A</v>
      </c>
      <c r="I20" s="26" t="s">
        <v>20</v>
      </c>
      <c r="J20" s="70">
        <v>14466.973330000001</v>
      </c>
      <c r="K20" s="71">
        <v>5</v>
      </c>
      <c r="L20" s="71">
        <v>0</v>
      </c>
      <c r="M20" s="71">
        <v>10</v>
      </c>
      <c r="N20" s="71">
        <v>0.83333333333333337</v>
      </c>
      <c r="O20" s="71">
        <v>6</v>
      </c>
      <c r="P20" s="71">
        <v>0.5</v>
      </c>
      <c r="Q20" s="71">
        <v>0</v>
      </c>
      <c r="R20" s="71">
        <v>0</v>
      </c>
      <c r="S20" s="69"/>
      <c r="T20" s="32" t="s">
        <v>24</v>
      </c>
      <c r="U20" s="32" t="s">
        <v>24</v>
      </c>
      <c r="V20" s="72">
        <v>10800</v>
      </c>
      <c r="W20" s="72" t="s">
        <v>25</v>
      </c>
      <c r="X20" s="72" t="s">
        <v>25</v>
      </c>
      <c r="Y20" s="73" t="s">
        <v>25</v>
      </c>
      <c r="Z20" s="73" t="s">
        <v>24</v>
      </c>
      <c r="AA20" s="72" t="s">
        <v>24</v>
      </c>
      <c r="AB20" s="59" t="s">
        <v>24</v>
      </c>
      <c r="AC20" s="61"/>
      <c r="AD20" s="62"/>
      <c r="AE20" s="72">
        <f t="shared" si="0"/>
        <v>10800</v>
      </c>
      <c r="AF20" s="72">
        <f t="shared" si="1"/>
        <v>2052</v>
      </c>
      <c r="AG20" s="72">
        <f t="shared" si="2"/>
        <v>12852</v>
      </c>
      <c r="AH20" s="30">
        <v>10800</v>
      </c>
      <c r="AI20" s="30">
        <v>2052</v>
      </c>
      <c r="AJ20" s="30">
        <v>12852</v>
      </c>
      <c r="AK20" s="10"/>
      <c r="AL20" s="10"/>
      <c r="AM20" s="10"/>
      <c r="AN20" s="10"/>
      <c r="AO20" s="10"/>
      <c r="AP20" s="10"/>
      <c r="AQ20" s="10"/>
      <c r="AR20" s="10"/>
      <c r="AS20" s="10"/>
      <c r="AT20" s="10"/>
      <c r="AU20" s="10"/>
      <c r="AV20" s="10"/>
      <c r="AW20" s="10"/>
      <c r="AX20" s="10"/>
      <c r="AY20" s="10"/>
      <c r="AZ20" s="10"/>
      <c r="BA20" s="10"/>
      <c r="BB20" s="10"/>
    </row>
    <row r="21" spans="1:54" s="76" customFormat="1" ht="33" x14ac:dyDescent="0.3">
      <c r="A21" s="32">
        <v>19</v>
      </c>
      <c r="B21" s="74">
        <v>1043205585</v>
      </c>
      <c r="C21" s="32"/>
      <c r="D21" s="33" t="s">
        <v>164</v>
      </c>
      <c r="E21" s="26" t="s">
        <v>97</v>
      </c>
      <c r="F21" s="33" t="s">
        <v>164</v>
      </c>
      <c r="G21" s="59"/>
      <c r="H21" s="32"/>
      <c r="I21" s="32"/>
      <c r="J21" s="32"/>
      <c r="K21" s="32"/>
      <c r="L21" s="32"/>
      <c r="M21" s="32"/>
      <c r="N21" s="32"/>
      <c r="O21" s="32"/>
      <c r="P21" s="32"/>
      <c r="Q21" s="32"/>
      <c r="R21" s="32"/>
      <c r="S21" s="59"/>
      <c r="T21" s="32" t="s">
        <v>24</v>
      </c>
      <c r="U21" s="32" t="s">
        <v>24</v>
      </c>
      <c r="V21" s="72">
        <v>125310</v>
      </c>
      <c r="W21" s="72" t="s">
        <v>25</v>
      </c>
      <c r="X21" s="72" t="s">
        <v>25</v>
      </c>
      <c r="Y21" s="73" t="s">
        <v>25</v>
      </c>
      <c r="Z21" s="73" t="s">
        <v>24</v>
      </c>
      <c r="AA21" s="72" t="s">
        <v>24</v>
      </c>
      <c r="AB21" s="59" t="s">
        <v>24</v>
      </c>
      <c r="AC21" s="61"/>
      <c r="AD21" s="62"/>
      <c r="AE21" s="72">
        <f t="shared" si="0"/>
        <v>125310</v>
      </c>
      <c r="AF21" s="72">
        <f t="shared" si="1"/>
        <v>23808.9</v>
      </c>
      <c r="AG21" s="72">
        <f t="shared" si="2"/>
        <v>149118.9</v>
      </c>
      <c r="AH21" s="30">
        <v>125310</v>
      </c>
      <c r="AI21" s="30">
        <v>23808.9</v>
      </c>
      <c r="AJ21" s="30">
        <v>149118.9</v>
      </c>
      <c r="AK21" s="10"/>
      <c r="AL21" s="10"/>
      <c r="AM21" s="10"/>
      <c r="AN21" s="10"/>
      <c r="AO21" s="10"/>
      <c r="AP21" s="10"/>
      <c r="AQ21" s="10"/>
      <c r="AR21" s="10"/>
      <c r="AS21" s="10"/>
      <c r="AT21" s="10"/>
      <c r="AU21" s="10"/>
      <c r="AV21" s="10"/>
      <c r="AW21" s="10"/>
      <c r="AX21" s="10"/>
      <c r="AY21" s="10"/>
      <c r="AZ21" s="10"/>
      <c r="BA21" s="10"/>
      <c r="BB21" s="10"/>
    </row>
    <row r="22" spans="1:54" x14ac:dyDescent="0.3">
      <c r="A22" s="32">
        <v>20</v>
      </c>
      <c r="B22" s="24">
        <v>1123229195</v>
      </c>
      <c r="C22" s="24" t="s">
        <v>20</v>
      </c>
      <c r="D22" s="25" t="s">
        <v>165</v>
      </c>
      <c r="E22" s="26" t="s">
        <v>22</v>
      </c>
      <c r="F22" s="27" t="s">
        <v>166</v>
      </c>
      <c r="G22" s="69" t="e">
        <v>#N/A</v>
      </c>
      <c r="H22" s="26" t="e">
        <v>#N/A</v>
      </c>
      <c r="I22" s="26" t="s">
        <v>20</v>
      </c>
      <c r="J22" s="70">
        <v>15242</v>
      </c>
      <c r="K22" s="71">
        <v>0</v>
      </c>
      <c r="L22" s="71">
        <v>0</v>
      </c>
      <c r="M22" s="71">
        <v>0</v>
      </c>
      <c r="N22" s="71">
        <v>0</v>
      </c>
      <c r="O22" s="71">
        <v>5</v>
      </c>
      <c r="P22" s="71">
        <v>0.41666666666666669</v>
      </c>
      <c r="Q22" s="71">
        <v>0</v>
      </c>
      <c r="R22" s="71">
        <v>0</v>
      </c>
      <c r="S22" s="69"/>
      <c r="T22" s="32" t="s">
        <v>24</v>
      </c>
      <c r="U22" s="32" t="s">
        <v>24</v>
      </c>
      <c r="V22" s="72">
        <v>24</v>
      </c>
      <c r="W22" s="72" t="s">
        <v>25</v>
      </c>
      <c r="X22" s="72" t="s">
        <v>25</v>
      </c>
      <c r="Y22" s="73" t="s">
        <v>25</v>
      </c>
      <c r="Z22" s="73" t="s">
        <v>24</v>
      </c>
      <c r="AA22" s="72" t="s">
        <v>24</v>
      </c>
      <c r="AB22" s="59" t="s">
        <v>24</v>
      </c>
      <c r="AC22" s="61"/>
      <c r="AD22" s="62"/>
      <c r="AE22" s="72">
        <f t="shared" si="0"/>
        <v>24</v>
      </c>
      <c r="AF22" s="72">
        <f t="shared" si="1"/>
        <v>4.5599999999999996</v>
      </c>
      <c r="AG22" s="72">
        <f t="shared" si="2"/>
        <v>28.56</v>
      </c>
      <c r="AH22" s="30">
        <v>24</v>
      </c>
      <c r="AI22" s="30">
        <v>4.5599999999999996</v>
      </c>
      <c r="AJ22" s="30">
        <v>28.56</v>
      </c>
    </row>
    <row r="23" spans="1:54" ht="33" x14ac:dyDescent="0.3">
      <c r="A23" s="32">
        <v>21</v>
      </c>
      <c r="B23" s="24">
        <v>1123229126</v>
      </c>
      <c r="C23" s="24" t="s">
        <v>20</v>
      </c>
      <c r="D23" s="25" t="s">
        <v>167</v>
      </c>
      <c r="E23" s="26" t="s">
        <v>22</v>
      </c>
      <c r="F23" s="27" t="s">
        <v>167</v>
      </c>
      <c r="G23" s="69" t="e">
        <v>#N/A</v>
      </c>
      <c r="H23" s="26" t="e">
        <v>#N/A</v>
      </c>
      <c r="I23" s="26" t="s">
        <v>20</v>
      </c>
      <c r="J23" s="70">
        <v>135</v>
      </c>
      <c r="K23" s="71">
        <v>0</v>
      </c>
      <c r="L23" s="71">
        <v>0</v>
      </c>
      <c r="M23" s="71">
        <v>0</v>
      </c>
      <c r="N23" s="71">
        <v>0</v>
      </c>
      <c r="O23" s="71">
        <v>0</v>
      </c>
      <c r="P23" s="71">
        <v>0</v>
      </c>
      <c r="Q23" s="71">
        <v>0</v>
      </c>
      <c r="R23" s="71">
        <v>0</v>
      </c>
      <c r="S23" s="69"/>
      <c r="T23" s="32" t="s">
        <v>24</v>
      </c>
      <c r="U23" s="32" t="s">
        <v>24</v>
      </c>
      <c r="V23" s="72">
        <v>24</v>
      </c>
      <c r="W23" s="72" t="s">
        <v>25</v>
      </c>
      <c r="X23" s="72" t="s">
        <v>25</v>
      </c>
      <c r="Y23" s="73" t="s">
        <v>25</v>
      </c>
      <c r="Z23" s="73" t="s">
        <v>24</v>
      </c>
      <c r="AA23" s="72" t="s">
        <v>24</v>
      </c>
      <c r="AB23" s="59" t="s">
        <v>24</v>
      </c>
      <c r="AC23" s="61"/>
      <c r="AD23" s="62"/>
      <c r="AE23" s="72">
        <f t="shared" si="0"/>
        <v>24</v>
      </c>
      <c r="AF23" s="72">
        <f t="shared" si="1"/>
        <v>4.5599999999999996</v>
      </c>
      <c r="AG23" s="72">
        <f t="shared" si="2"/>
        <v>28.56</v>
      </c>
      <c r="AH23" s="30">
        <v>24</v>
      </c>
      <c r="AI23" s="30">
        <v>4.5599999999999996</v>
      </c>
      <c r="AJ23" s="30">
        <v>28.56</v>
      </c>
    </row>
    <row r="24" spans="1:54" ht="33" x14ac:dyDescent="0.3">
      <c r="A24" s="32">
        <v>22</v>
      </c>
      <c r="B24" s="24">
        <v>1123229128</v>
      </c>
      <c r="C24" s="24" t="s">
        <v>20</v>
      </c>
      <c r="D24" s="25" t="s">
        <v>168</v>
      </c>
      <c r="E24" s="26" t="s">
        <v>22</v>
      </c>
      <c r="F24" s="27" t="s">
        <v>168</v>
      </c>
      <c r="G24" s="69" t="e">
        <v>#N/A</v>
      </c>
      <c r="H24" s="26" t="e">
        <v>#N/A</v>
      </c>
      <c r="I24" s="26" t="s">
        <v>20</v>
      </c>
      <c r="J24" s="70">
        <v>2840.29</v>
      </c>
      <c r="K24" s="71">
        <v>852</v>
      </c>
      <c r="L24" s="71">
        <v>50</v>
      </c>
      <c r="M24" s="71">
        <v>0</v>
      </c>
      <c r="N24" s="71">
        <v>0</v>
      </c>
      <c r="O24" s="71">
        <v>0</v>
      </c>
      <c r="P24" s="71">
        <v>0</v>
      </c>
      <c r="Q24" s="71">
        <v>0</v>
      </c>
      <c r="R24" s="71">
        <v>0</v>
      </c>
      <c r="S24" s="69"/>
      <c r="T24" s="32" t="s">
        <v>24</v>
      </c>
      <c r="U24" s="32" t="s">
        <v>24</v>
      </c>
      <c r="V24" s="72">
        <v>36</v>
      </c>
      <c r="W24" s="72" t="s">
        <v>25</v>
      </c>
      <c r="X24" s="72" t="s">
        <v>25</v>
      </c>
      <c r="Y24" s="73" t="s">
        <v>25</v>
      </c>
      <c r="Z24" s="73" t="s">
        <v>24</v>
      </c>
      <c r="AA24" s="72" t="s">
        <v>24</v>
      </c>
      <c r="AB24" s="59" t="s">
        <v>24</v>
      </c>
      <c r="AC24" s="61"/>
      <c r="AD24" s="62"/>
      <c r="AE24" s="72">
        <f t="shared" si="0"/>
        <v>36</v>
      </c>
      <c r="AF24" s="72">
        <f t="shared" si="1"/>
        <v>6.84</v>
      </c>
      <c r="AG24" s="72">
        <f t="shared" si="2"/>
        <v>42.84</v>
      </c>
      <c r="AH24" s="30">
        <v>36</v>
      </c>
      <c r="AI24" s="30">
        <v>6.84</v>
      </c>
      <c r="AJ24" s="30">
        <v>42.84</v>
      </c>
    </row>
    <row r="25" spans="1:54" x14ac:dyDescent="0.3">
      <c r="A25" s="32">
        <v>23</v>
      </c>
      <c r="B25" s="24">
        <v>1123229124</v>
      </c>
      <c r="C25" s="24" t="s">
        <v>20</v>
      </c>
      <c r="D25" s="25" t="s">
        <v>169</v>
      </c>
      <c r="E25" s="26" t="s">
        <v>22</v>
      </c>
      <c r="F25" s="27" t="s">
        <v>169</v>
      </c>
      <c r="G25" s="69" t="e">
        <v>#N/A</v>
      </c>
      <c r="H25" s="26" t="e">
        <v>#N/A</v>
      </c>
      <c r="I25" s="26" t="s">
        <v>20</v>
      </c>
      <c r="J25" s="70">
        <v>16256.94</v>
      </c>
      <c r="K25" s="71">
        <v>1000</v>
      </c>
      <c r="L25" s="71">
        <v>0</v>
      </c>
      <c r="M25" s="71">
        <v>0</v>
      </c>
      <c r="N25" s="71">
        <v>0</v>
      </c>
      <c r="O25" s="71">
        <v>5</v>
      </c>
      <c r="P25" s="71">
        <v>0.41666666666666669</v>
      </c>
      <c r="Q25" s="71">
        <v>0</v>
      </c>
      <c r="R25" s="71">
        <v>0</v>
      </c>
      <c r="S25" s="69"/>
      <c r="T25" s="32" t="s">
        <v>24</v>
      </c>
      <c r="U25" s="32" t="s">
        <v>24</v>
      </c>
      <c r="V25" s="72">
        <v>24</v>
      </c>
      <c r="W25" s="72" t="s">
        <v>25</v>
      </c>
      <c r="X25" s="72" t="s">
        <v>25</v>
      </c>
      <c r="Y25" s="73" t="s">
        <v>25</v>
      </c>
      <c r="Z25" s="73" t="s">
        <v>24</v>
      </c>
      <c r="AA25" s="72" t="s">
        <v>24</v>
      </c>
      <c r="AB25" s="59" t="s">
        <v>24</v>
      </c>
      <c r="AC25" s="61"/>
      <c r="AD25" s="62"/>
      <c r="AE25" s="72">
        <f t="shared" si="0"/>
        <v>24</v>
      </c>
      <c r="AF25" s="72">
        <f t="shared" si="1"/>
        <v>4.5599999999999996</v>
      </c>
      <c r="AG25" s="72">
        <f t="shared" si="2"/>
        <v>28.56</v>
      </c>
      <c r="AH25" s="30">
        <v>24</v>
      </c>
      <c r="AI25" s="30">
        <v>4.5599999999999996</v>
      </c>
      <c r="AJ25" s="30">
        <v>28.56</v>
      </c>
    </row>
    <row r="26" spans="1:54" ht="16.5" customHeight="1" x14ac:dyDescent="0.3">
      <c r="A26" s="32">
        <v>24</v>
      </c>
      <c r="B26" s="24">
        <v>1123229127</v>
      </c>
      <c r="C26" s="24" t="s">
        <v>20</v>
      </c>
      <c r="D26" s="25" t="s">
        <v>170</v>
      </c>
      <c r="E26" s="26" t="s">
        <v>22</v>
      </c>
      <c r="F26" s="27" t="s">
        <v>170</v>
      </c>
      <c r="G26" s="69" t="e">
        <v>#N/A</v>
      </c>
      <c r="H26" s="26" t="e">
        <v>#N/A</v>
      </c>
      <c r="I26" s="26" t="s">
        <v>20</v>
      </c>
      <c r="J26" s="70">
        <v>16067.99</v>
      </c>
      <c r="K26" s="71">
        <v>0</v>
      </c>
      <c r="L26" s="71">
        <v>0</v>
      </c>
      <c r="M26" s="71">
        <v>0</v>
      </c>
      <c r="N26" s="71">
        <v>0</v>
      </c>
      <c r="O26" s="71">
        <v>0</v>
      </c>
      <c r="P26" s="71">
        <v>0</v>
      </c>
      <c r="Q26" s="71">
        <v>0</v>
      </c>
      <c r="R26" s="71">
        <v>0</v>
      </c>
      <c r="S26" s="69"/>
      <c r="T26" s="32" t="s">
        <v>24</v>
      </c>
      <c r="U26" s="32" t="s">
        <v>24</v>
      </c>
      <c r="V26" s="72">
        <v>36</v>
      </c>
      <c r="W26" s="72" t="s">
        <v>25</v>
      </c>
      <c r="X26" s="72" t="s">
        <v>25</v>
      </c>
      <c r="Y26" s="73" t="s">
        <v>25</v>
      </c>
      <c r="Z26" s="73" t="s">
        <v>24</v>
      </c>
      <c r="AA26" s="72" t="s">
        <v>24</v>
      </c>
      <c r="AB26" s="59" t="s">
        <v>24</v>
      </c>
      <c r="AC26" s="61"/>
      <c r="AD26" s="62"/>
      <c r="AE26" s="77">
        <f t="shared" si="0"/>
        <v>36</v>
      </c>
      <c r="AF26" s="77">
        <f t="shared" si="1"/>
        <v>6.84</v>
      </c>
      <c r="AG26" s="77">
        <f t="shared" si="2"/>
        <v>42.84</v>
      </c>
      <c r="AH26" s="30">
        <v>36</v>
      </c>
      <c r="AI26" s="30">
        <v>6.84</v>
      </c>
      <c r="AJ26" s="30">
        <v>42.84</v>
      </c>
    </row>
    <row r="27" spans="1:54" s="81" customFormat="1" x14ac:dyDescent="0.3">
      <c r="A27" s="46"/>
      <c r="B27" s="45"/>
      <c r="C27" s="46"/>
      <c r="D27" s="47"/>
      <c r="E27" s="48"/>
      <c r="F27" s="47"/>
      <c r="G27" s="45"/>
      <c r="H27" s="46"/>
      <c r="I27" s="46"/>
      <c r="J27" s="46"/>
      <c r="K27" s="46"/>
      <c r="L27" s="46"/>
      <c r="M27" s="46"/>
      <c r="N27" s="46"/>
      <c r="O27" s="46"/>
      <c r="P27" s="46"/>
      <c r="Q27" s="46"/>
      <c r="R27" s="46"/>
      <c r="S27" s="45"/>
      <c r="T27" s="46"/>
      <c r="U27" s="78"/>
      <c r="V27" s="78"/>
      <c r="W27" s="79"/>
      <c r="X27" s="79"/>
      <c r="Y27" s="80"/>
      <c r="Z27" s="46"/>
      <c r="AA27" s="46"/>
      <c r="AB27" s="45"/>
      <c r="AC27" s="45"/>
      <c r="AD27" s="45"/>
      <c r="AE27" s="45"/>
      <c r="AF27" s="45"/>
      <c r="AG27" s="45"/>
      <c r="AH27" s="43"/>
      <c r="AI27" s="43"/>
      <c r="AJ27" s="43"/>
      <c r="AK27" s="43"/>
      <c r="AL27" s="43"/>
      <c r="AM27" s="43"/>
      <c r="AN27" s="43"/>
      <c r="AO27" s="43"/>
      <c r="AP27" s="43"/>
      <c r="AQ27" s="43"/>
      <c r="AR27" s="43"/>
      <c r="AS27" s="43"/>
      <c r="AT27" s="43"/>
      <c r="AU27" s="43"/>
      <c r="AV27" s="43"/>
      <c r="AW27" s="43"/>
      <c r="AX27" s="43"/>
      <c r="AY27" s="43"/>
      <c r="AZ27" s="43"/>
      <c r="BA27" s="43"/>
      <c r="BB27" s="43"/>
    </row>
    <row r="28" spans="1:54" s="82" customFormat="1" x14ac:dyDescent="0.3">
      <c r="A28" s="46"/>
      <c r="B28" s="45"/>
      <c r="C28" s="46"/>
      <c r="D28" s="47"/>
      <c r="E28" s="48"/>
      <c r="F28" s="47"/>
      <c r="G28" s="45"/>
      <c r="H28" s="46"/>
      <c r="I28" s="46"/>
      <c r="J28" s="46"/>
      <c r="K28" s="46"/>
      <c r="L28" s="46"/>
      <c r="M28" s="46"/>
      <c r="N28" s="46"/>
      <c r="O28" s="46"/>
      <c r="P28" s="46"/>
      <c r="Q28" s="46"/>
      <c r="R28" s="46"/>
      <c r="S28" s="45"/>
      <c r="T28" s="46"/>
      <c r="U28" s="78"/>
      <c r="V28" s="78"/>
      <c r="W28" s="79"/>
      <c r="X28" s="79"/>
      <c r="Y28" s="80"/>
      <c r="Z28" s="46"/>
      <c r="AA28" s="46"/>
      <c r="AB28" s="45"/>
      <c r="AC28" s="45"/>
      <c r="AD28" s="45"/>
      <c r="AE28" s="45"/>
      <c r="AF28" s="45"/>
      <c r="AG28" s="45"/>
      <c r="AH28" s="43"/>
      <c r="AI28" s="43"/>
      <c r="AJ28" s="43"/>
      <c r="AK28" s="43"/>
      <c r="AL28" s="43"/>
      <c r="AM28" s="43"/>
      <c r="AN28" s="43"/>
      <c r="AO28" s="43"/>
      <c r="AP28" s="43"/>
      <c r="AQ28" s="43"/>
      <c r="AR28" s="43"/>
      <c r="AS28" s="43"/>
      <c r="AT28" s="43"/>
      <c r="AU28" s="43"/>
      <c r="AV28" s="43"/>
      <c r="AW28" s="43"/>
      <c r="AX28" s="43"/>
      <c r="AY28" s="43"/>
      <c r="AZ28" s="43"/>
      <c r="BA28" s="43"/>
      <c r="BB28" s="43"/>
    </row>
    <row r="29" spans="1:54" s="82" customFormat="1" x14ac:dyDescent="0.3">
      <c r="A29" s="46"/>
      <c r="B29" s="45"/>
      <c r="C29" s="46"/>
      <c r="D29" s="47"/>
      <c r="E29" s="48"/>
      <c r="F29" s="47"/>
      <c r="G29" s="45"/>
      <c r="H29" s="46"/>
      <c r="I29" s="46"/>
      <c r="J29" s="46"/>
      <c r="K29" s="46"/>
      <c r="L29" s="46"/>
      <c r="M29" s="46"/>
      <c r="N29" s="46"/>
      <c r="O29" s="46"/>
      <c r="P29" s="46"/>
      <c r="Q29" s="46"/>
      <c r="R29" s="46"/>
      <c r="S29" s="45"/>
      <c r="T29" s="46"/>
      <c r="U29" s="78"/>
      <c r="V29" s="78"/>
      <c r="W29" s="79"/>
      <c r="X29" s="79"/>
      <c r="Y29" s="80"/>
      <c r="Z29" s="46"/>
      <c r="AA29" s="46"/>
      <c r="AB29" s="45"/>
      <c r="AC29" s="45"/>
      <c r="AD29" s="45"/>
      <c r="AE29" s="45"/>
      <c r="AF29" s="45"/>
      <c r="AG29" s="45"/>
      <c r="AH29" s="43"/>
      <c r="AI29" s="43"/>
      <c r="AJ29" s="43"/>
      <c r="AK29" s="43"/>
      <c r="AL29" s="43"/>
      <c r="AM29" s="43"/>
      <c r="AN29" s="43"/>
      <c r="AO29" s="43"/>
      <c r="AP29" s="43"/>
      <c r="AQ29" s="43"/>
      <c r="AR29" s="43"/>
      <c r="AS29" s="43"/>
      <c r="AT29" s="43"/>
      <c r="AU29" s="43"/>
      <c r="AV29" s="43"/>
      <c r="AW29" s="43"/>
      <c r="AX29" s="43"/>
      <c r="AY29" s="43"/>
      <c r="AZ29" s="43"/>
      <c r="BA29" s="43"/>
      <c r="BB29" s="43"/>
    </row>
    <row r="30" spans="1:54" s="82" customFormat="1" x14ac:dyDescent="0.3">
      <c r="A30" s="46"/>
      <c r="B30" s="45"/>
      <c r="C30" s="46"/>
      <c r="D30" s="47"/>
      <c r="E30" s="48"/>
      <c r="F30" s="47"/>
      <c r="G30" s="45"/>
      <c r="H30" s="46"/>
      <c r="I30" s="46"/>
      <c r="J30" s="46"/>
      <c r="K30" s="46"/>
      <c r="L30" s="46"/>
      <c r="M30" s="46"/>
      <c r="N30" s="46"/>
      <c r="O30" s="46"/>
      <c r="P30" s="46"/>
      <c r="Q30" s="46"/>
      <c r="R30" s="46"/>
      <c r="S30" s="45"/>
      <c r="T30" s="46"/>
      <c r="U30" s="78"/>
      <c r="V30" s="78"/>
      <c r="W30" s="79"/>
      <c r="X30" s="79"/>
      <c r="Y30" s="80"/>
      <c r="Z30" s="46"/>
      <c r="AA30" s="46"/>
      <c r="AB30" s="45"/>
      <c r="AC30" s="45"/>
      <c r="AD30" s="45"/>
      <c r="AE30" s="45"/>
      <c r="AF30" s="45"/>
      <c r="AG30" s="45"/>
      <c r="AH30" s="43"/>
      <c r="AI30" s="43"/>
      <c r="AJ30" s="43"/>
      <c r="AK30" s="43"/>
      <c r="AL30" s="43"/>
      <c r="AM30" s="43"/>
      <c r="AN30" s="43"/>
      <c r="AO30" s="43"/>
      <c r="AP30" s="43"/>
      <c r="AQ30" s="43"/>
      <c r="AR30" s="43"/>
      <c r="AS30" s="43"/>
      <c r="AT30" s="43"/>
      <c r="AU30" s="43"/>
      <c r="AV30" s="43"/>
      <c r="AW30" s="43"/>
      <c r="AX30" s="43"/>
      <c r="AY30" s="43"/>
      <c r="AZ30" s="43"/>
      <c r="BA30" s="43"/>
      <c r="BB30" s="43"/>
    </row>
    <row r="31" spans="1:54" s="82" customFormat="1" x14ac:dyDescent="0.3">
      <c r="A31" s="46"/>
      <c r="B31" s="45"/>
      <c r="C31" s="46"/>
      <c r="D31" s="47"/>
      <c r="E31" s="48"/>
      <c r="F31" s="47"/>
      <c r="G31" s="45"/>
      <c r="H31" s="46"/>
      <c r="I31" s="46"/>
      <c r="J31" s="46"/>
      <c r="K31" s="46"/>
      <c r="L31" s="46"/>
      <c r="M31" s="46"/>
      <c r="N31" s="46"/>
      <c r="O31" s="46"/>
      <c r="P31" s="46"/>
      <c r="Q31" s="46"/>
      <c r="R31" s="46"/>
      <c r="S31" s="45"/>
      <c r="T31" s="46"/>
      <c r="U31" s="78"/>
      <c r="V31" s="78"/>
      <c r="W31" s="79"/>
      <c r="X31" s="79"/>
      <c r="Y31" s="80"/>
      <c r="Z31" s="46"/>
      <c r="AA31" s="46"/>
      <c r="AB31" s="45"/>
      <c r="AC31" s="45"/>
      <c r="AD31" s="45"/>
      <c r="AE31" s="45"/>
      <c r="AF31" s="45"/>
      <c r="AG31" s="45"/>
      <c r="AH31" s="43"/>
      <c r="AI31" s="43"/>
      <c r="AJ31" s="43"/>
      <c r="AK31" s="43"/>
      <c r="AL31" s="43"/>
      <c r="AM31" s="43"/>
      <c r="AN31" s="43"/>
      <c r="AO31" s="43"/>
      <c r="AP31" s="43"/>
      <c r="AQ31" s="43"/>
      <c r="AR31" s="43"/>
      <c r="AS31" s="43"/>
      <c r="AT31" s="43"/>
      <c r="AU31" s="43"/>
      <c r="AV31" s="43"/>
      <c r="AW31" s="43"/>
      <c r="AX31" s="43"/>
      <c r="AY31" s="43"/>
      <c r="AZ31" s="43"/>
      <c r="BA31" s="43"/>
      <c r="BB31" s="43"/>
    </row>
    <row r="32" spans="1:54" s="82" customFormat="1" x14ac:dyDescent="0.3">
      <c r="A32" s="46"/>
      <c r="B32" s="45"/>
      <c r="C32" s="46"/>
      <c r="D32" s="47"/>
      <c r="E32" s="48"/>
      <c r="F32" s="47"/>
      <c r="G32" s="45"/>
      <c r="H32" s="46"/>
      <c r="I32" s="46"/>
      <c r="J32" s="46"/>
      <c r="K32" s="46"/>
      <c r="L32" s="46"/>
      <c r="M32" s="46"/>
      <c r="N32" s="46"/>
      <c r="O32" s="46"/>
      <c r="P32" s="46"/>
      <c r="Q32" s="46"/>
      <c r="R32" s="46"/>
      <c r="S32" s="45"/>
      <c r="T32" s="46"/>
      <c r="U32" s="78"/>
      <c r="V32" s="78"/>
      <c r="W32" s="79"/>
      <c r="X32" s="79"/>
      <c r="Y32" s="80"/>
      <c r="Z32" s="46"/>
      <c r="AA32" s="46"/>
      <c r="AB32" s="45"/>
      <c r="AC32" s="45"/>
      <c r="AD32" s="45"/>
      <c r="AE32" s="45"/>
      <c r="AF32" s="45"/>
      <c r="AG32" s="45"/>
      <c r="AH32" s="43"/>
      <c r="AI32" s="43"/>
      <c r="AJ32" s="43"/>
      <c r="AK32" s="43"/>
      <c r="AL32" s="43"/>
      <c r="AM32" s="43"/>
      <c r="AN32" s="43"/>
      <c r="AO32" s="43"/>
      <c r="AP32" s="43"/>
      <c r="AQ32" s="43"/>
      <c r="AR32" s="43"/>
      <c r="AS32" s="43"/>
      <c r="AT32" s="43"/>
      <c r="AU32" s="43"/>
      <c r="AV32" s="43"/>
      <c r="AW32" s="43"/>
      <c r="AX32" s="43"/>
      <c r="AY32" s="43"/>
      <c r="AZ32" s="43"/>
      <c r="BA32" s="43"/>
      <c r="BB32" s="43"/>
    </row>
    <row r="33" spans="1:54" s="82" customFormat="1" x14ac:dyDescent="0.3">
      <c r="A33" s="46"/>
      <c r="B33" s="45"/>
      <c r="C33" s="46"/>
      <c r="D33" s="47"/>
      <c r="E33" s="48"/>
      <c r="F33" s="47"/>
      <c r="G33" s="45"/>
      <c r="H33" s="46"/>
      <c r="I33" s="46"/>
      <c r="J33" s="46"/>
      <c r="K33" s="46"/>
      <c r="L33" s="46"/>
      <c r="M33" s="46"/>
      <c r="N33" s="46"/>
      <c r="O33" s="46"/>
      <c r="P33" s="46"/>
      <c r="Q33" s="46"/>
      <c r="R33" s="46"/>
      <c r="S33" s="45"/>
      <c r="T33" s="46"/>
      <c r="U33" s="78"/>
      <c r="V33" s="78"/>
      <c r="W33" s="79"/>
      <c r="X33" s="79"/>
      <c r="Y33" s="80"/>
      <c r="Z33" s="46"/>
      <c r="AA33" s="46"/>
      <c r="AB33" s="45"/>
      <c r="AC33" s="45"/>
      <c r="AD33" s="45"/>
      <c r="AE33" s="45"/>
      <c r="AF33" s="45"/>
      <c r="AG33" s="45"/>
      <c r="AH33" s="43"/>
      <c r="AI33" s="43"/>
      <c r="AJ33" s="43"/>
      <c r="AK33" s="43"/>
      <c r="AL33" s="43"/>
      <c r="AM33" s="43"/>
      <c r="AN33" s="43"/>
      <c r="AO33" s="43"/>
      <c r="AP33" s="43"/>
      <c r="AQ33" s="43"/>
      <c r="AR33" s="43"/>
      <c r="AS33" s="43"/>
      <c r="AT33" s="43"/>
      <c r="AU33" s="43"/>
      <c r="AV33" s="43"/>
      <c r="AW33" s="43"/>
      <c r="AX33" s="43"/>
      <c r="AY33" s="43"/>
      <c r="AZ33" s="43"/>
      <c r="BA33" s="43"/>
      <c r="BB33" s="43"/>
    </row>
    <row r="34" spans="1:54" s="82" customFormat="1" x14ac:dyDescent="0.3">
      <c r="A34" s="46"/>
      <c r="B34" s="45"/>
      <c r="C34" s="46"/>
      <c r="D34" s="47"/>
      <c r="E34" s="48"/>
      <c r="F34" s="47"/>
      <c r="G34" s="45"/>
      <c r="H34" s="46"/>
      <c r="I34" s="46"/>
      <c r="J34" s="46"/>
      <c r="K34" s="46"/>
      <c r="L34" s="46"/>
      <c r="M34" s="46"/>
      <c r="N34" s="46"/>
      <c r="O34" s="46"/>
      <c r="P34" s="46"/>
      <c r="Q34" s="46"/>
      <c r="R34" s="46"/>
      <c r="S34" s="45"/>
      <c r="T34" s="46"/>
      <c r="U34" s="78"/>
      <c r="V34" s="78"/>
      <c r="W34" s="79"/>
      <c r="X34" s="79"/>
      <c r="Y34" s="80"/>
      <c r="Z34" s="46"/>
      <c r="AA34" s="46"/>
      <c r="AB34" s="45"/>
      <c r="AC34" s="45"/>
      <c r="AD34" s="45"/>
      <c r="AE34" s="45"/>
      <c r="AF34" s="45"/>
      <c r="AG34" s="45"/>
      <c r="AH34" s="43"/>
      <c r="AI34" s="43"/>
      <c r="AJ34" s="43"/>
      <c r="AK34" s="43"/>
      <c r="AL34" s="43"/>
      <c r="AM34" s="43"/>
      <c r="AN34" s="43"/>
      <c r="AO34" s="43"/>
      <c r="AP34" s="43"/>
      <c r="AQ34" s="43"/>
      <c r="AR34" s="43"/>
      <c r="AS34" s="43"/>
      <c r="AT34" s="43"/>
      <c r="AU34" s="43"/>
      <c r="AV34" s="43"/>
      <c r="AW34" s="43"/>
      <c r="AX34" s="43"/>
      <c r="AY34" s="43"/>
      <c r="AZ34" s="43"/>
      <c r="BA34" s="43"/>
      <c r="BB34" s="43"/>
    </row>
    <row r="35" spans="1:54" s="82" customFormat="1" x14ac:dyDescent="0.3">
      <c r="A35" s="46"/>
      <c r="B35" s="45"/>
      <c r="C35" s="46"/>
      <c r="D35" s="47"/>
      <c r="E35" s="48"/>
      <c r="F35" s="47"/>
      <c r="G35" s="45"/>
      <c r="H35" s="46"/>
      <c r="I35" s="46"/>
      <c r="J35" s="46"/>
      <c r="K35" s="46"/>
      <c r="L35" s="46"/>
      <c r="M35" s="46"/>
      <c r="N35" s="46"/>
      <c r="O35" s="46"/>
      <c r="P35" s="46"/>
      <c r="Q35" s="46"/>
      <c r="R35" s="46"/>
      <c r="S35" s="45"/>
      <c r="T35" s="46"/>
      <c r="U35" s="78"/>
      <c r="V35" s="78"/>
      <c r="W35" s="79"/>
      <c r="X35" s="79"/>
      <c r="Y35" s="80"/>
      <c r="Z35" s="46"/>
      <c r="AA35" s="46"/>
      <c r="AB35" s="45"/>
      <c r="AC35" s="45"/>
      <c r="AD35" s="45"/>
      <c r="AE35" s="45"/>
      <c r="AF35" s="45"/>
      <c r="AG35" s="45"/>
      <c r="AH35" s="43"/>
      <c r="AI35" s="43"/>
      <c r="AJ35" s="43"/>
      <c r="AK35" s="43"/>
      <c r="AL35" s="43"/>
      <c r="AM35" s="43"/>
      <c r="AN35" s="43"/>
      <c r="AO35" s="43"/>
      <c r="AP35" s="43"/>
      <c r="AQ35" s="43"/>
      <c r="AR35" s="43"/>
      <c r="AS35" s="43"/>
      <c r="AT35" s="43"/>
      <c r="AU35" s="43"/>
      <c r="AV35" s="43"/>
      <c r="AW35" s="43"/>
      <c r="AX35" s="43"/>
      <c r="AY35" s="43"/>
      <c r="AZ35" s="43"/>
      <c r="BA35" s="43"/>
      <c r="BB35" s="43"/>
    </row>
    <row r="36" spans="1:54" s="82" customFormat="1" x14ac:dyDescent="0.3">
      <c r="A36" s="46"/>
      <c r="B36" s="45"/>
      <c r="C36" s="46"/>
      <c r="D36" s="47"/>
      <c r="E36" s="48"/>
      <c r="F36" s="47"/>
      <c r="G36" s="45"/>
      <c r="H36" s="46"/>
      <c r="I36" s="46"/>
      <c r="J36" s="46"/>
      <c r="K36" s="46"/>
      <c r="L36" s="46"/>
      <c r="M36" s="46"/>
      <c r="N36" s="46"/>
      <c r="O36" s="46"/>
      <c r="P36" s="46"/>
      <c r="Q36" s="46"/>
      <c r="R36" s="46"/>
      <c r="S36" s="45"/>
      <c r="T36" s="46"/>
      <c r="U36" s="78"/>
      <c r="V36" s="78"/>
      <c r="W36" s="79"/>
      <c r="X36" s="79"/>
      <c r="Y36" s="80"/>
      <c r="Z36" s="46"/>
      <c r="AA36" s="46"/>
      <c r="AB36" s="45"/>
      <c r="AC36" s="45"/>
      <c r="AD36" s="45"/>
      <c r="AE36" s="45"/>
      <c r="AF36" s="45"/>
      <c r="AG36" s="45"/>
      <c r="AH36" s="43"/>
      <c r="AI36" s="43"/>
      <c r="AJ36" s="43"/>
      <c r="AK36" s="43"/>
      <c r="AL36" s="43"/>
      <c r="AM36" s="43"/>
      <c r="AN36" s="43"/>
      <c r="AO36" s="43"/>
      <c r="AP36" s="43"/>
      <c r="AQ36" s="43"/>
      <c r="AR36" s="43"/>
      <c r="AS36" s="43"/>
      <c r="AT36" s="43"/>
      <c r="AU36" s="43"/>
      <c r="AV36" s="43"/>
      <c r="AW36" s="43"/>
      <c r="AX36" s="43"/>
      <c r="AY36" s="43"/>
      <c r="AZ36" s="43"/>
      <c r="BA36" s="43"/>
      <c r="BB36" s="43"/>
    </row>
    <row r="37" spans="1:54" s="82" customFormat="1" x14ac:dyDescent="0.3">
      <c r="A37" s="46"/>
      <c r="B37" s="45"/>
      <c r="C37" s="46"/>
      <c r="D37" s="47"/>
      <c r="E37" s="48"/>
      <c r="F37" s="47"/>
      <c r="G37" s="45"/>
      <c r="H37" s="46"/>
      <c r="I37" s="46"/>
      <c r="J37" s="46"/>
      <c r="K37" s="46"/>
      <c r="L37" s="46"/>
      <c r="M37" s="46"/>
      <c r="N37" s="46"/>
      <c r="O37" s="46"/>
      <c r="P37" s="46"/>
      <c r="Q37" s="46"/>
      <c r="R37" s="46"/>
      <c r="S37" s="45"/>
      <c r="T37" s="46"/>
      <c r="U37" s="78"/>
      <c r="V37" s="78"/>
      <c r="W37" s="79"/>
      <c r="X37" s="79"/>
      <c r="Y37" s="80"/>
      <c r="Z37" s="46"/>
      <c r="AA37" s="46"/>
      <c r="AB37" s="45"/>
      <c r="AC37" s="45"/>
      <c r="AD37" s="45"/>
      <c r="AE37" s="45"/>
      <c r="AF37" s="45"/>
      <c r="AG37" s="45"/>
      <c r="AH37" s="43"/>
      <c r="AI37" s="43"/>
      <c r="AJ37" s="43"/>
      <c r="AK37" s="43"/>
      <c r="AL37" s="43"/>
      <c r="AM37" s="43"/>
      <c r="AN37" s="43"/>
      <c r="AO37" s="43"/>
      <c r="AP37" s="43"/>
      <c r="AQ37" s="43"/>
      <c r="AR37" s="43"/>
      <c r="AS37" s="43"/>
      <c r="AT37" s="43"/>
      <c r="AU37" s="43"/>
      <c r="AV37" s="43"/>
      <c r="AW37" s="43"/>
      <c r="AX37" s="43"/>
      <c r="AY37" s="43"/>
      <c r="AZ37" s="43"/>
      <c r="BA37" s="43"/>
      <c r="BB37" s="43"/>
    </row>
    <row r="38" spans="1:54" s="82" customFormat="1" x14ac:dyDescent="0.3">
      <c r="A38" s="46"/>
      <c r="B38" s="45"/>
      <c r="C38" s="46"/>
      <c r="D38" s="47"/>
      <c r="E38" s="48"/>
      <c r="F38" s="47"/>
      <c r="G38" s="45"/>
      <c r="H38" s="46"/>
      <c r="I38" s="46"/>
      <c r="J38" s="46"/>
      <c r="K38" s="46"/>
      <c r="L38" s="46"/>
      <c r="M38" s="46"/>
      <c r="N38" s="46"/>
      <c r="O38" s="46"/>
      <c r="P38" s="46"/>
      <c r="Q38" s="46"/>
      <c r="R38" s="46"/>
      <c r="S38" s="45"/>
      <c r="T38" s="46"/>
      <c r="U38" s="78"/>
      <c r="V38" s="78"/>
      <c r="W38" s="79"/>
      <c r="X38" s="79"/>
      <c r="Y38" s="80"/>
      <c r="Z38" s="46"/>
      <c r="AA38" s="46"/>
      <c r="AB38" s="45"/>
      <c r="AC38" s="45"/>
      <c r="AD38" s="45"/>
      <c r="AE38" s="45"/>
      <c r="AF38" s="45"/>
      <c r="AG38" s="45"/>
      <c r="AH38" s="43"/>
      <c r="AI38" s="43"/>
      <c r="AJ38" s="43"/>
      <c r="AK38" s="43"/>
      <c r="AL38" s="43"/>
      <c r="AM38" s="43"/>
      <c r="AN38" s="43"/>
      <c r="AO38" s="43"/>
      <c r="AP38" s="43"/>
      <c r="AQ38" s="43"/>
      <c r="AR38" s="43"/>
      <c r="AS38" s="43"/>
      <c r="AT38" s="43"/>
      <c r="AU38" s="43"/>
      <c r="AV38" s="43"/>
      <c r="AW38" s="43"/>
      <c r="AX38" s="43"/>
      <c r="AY38" s="43"/>
      <c r="AZ38" s="43"/>
      <c r="BA38" s="43"/>
      <c r="BB38" s="43"/>
    </row>
    <row r="39" spans="1:54" s="82" customFormat="1" x14ac:dyDescent="0.3">
      <c r="A39" s="46"/>
      <c r="B39" s="45"/>
      <c r="C39" s="46"/>
      <c r="D39" s="47"/>
      <c r="E39" s="48"/>
      <c r="F39" s="47"/>
      <c r="G39" s="45"/>
      <c r="H39" s="46"/>
      <c r="I39" s="46"/>
      <c r="J39" s="46"/>
      <c r="K39" s="46"/>
      <c r="L39" s="46"/>
      <c r="M39" s="46"/>
      <c r="N39" s="46"/>
      <c r="O39" s="46"/>
      <c r="P39" s="46"/>
      <c r="Q39" s="46"/>
      <c r="R39" s="46"/>
      <c r="S39" s="45"/>
      <c r="T39" s="46"/>
      <c r="U39" s="78"/>
      <c r="V39" s="78"/>
      <c r="W39" s="79"/>
      <c r="X39" s="79"/>
      <c r="Y39" s="80"/>
      <c r="Z39" s="46"/>
      <c r="AA39" s="46"/>
      <c r="AB39" s="45"/>
      <c r="AC39" s="45"/>
      <c r="AD39" s="45"/>
      <c r="AE39" s="45"/>
      <c r="AF39" s="45"/>
      <c r="AG39" s="45"/>
      <c r="AH39" s="43"/>
      <c r="AI39" s="43"/>
      <c r="AJ39" s="43"/>
      <c r="AK39" s="43"/>
      <c r="AL39" s="43"/>
      <c r="AM39" s="43"/>
      <c r="AN39" s="43"/>
      <c r="AO39" s="43"/>
      <c r="AP39" s="43"/>
      <c r="AQ39" s="43"/>
      <c r="AR39" s="43"/>
      <c r="AS39" s="43"/>
      <c r="AT39" s="43"/>
      <c r="AU39" s="43"/>
      <c r="AV39" s="43"/>
      <c r="AW39" s="43"/>
      <c r="AX39" s="43"/>
      <c r="AY39" s="43"/>
      <c r="AZ39" s="43"/>
      <c r="BA39" s="43"/>
      <c r="BB39" s="43"/>
    </row>
    <row r="40" spans="1:54" s="82" customFormat="1" x14ac:dyDescent="0.3">
      <c r="A40" s="46"/>
      <c r="B40" s="45"/>
      <c r="C40" s="46"/>
      <c r="D40" s="47"/>
      <c r="E40" s="48"/>
      <c r="F40" s="47"/>
      <c r="G40" s="45"/>
      <c r="H40" s="46"/>
      <c r="I40" s="46"/>
      <c r="J40" s="46"/>
      <c r="K40" s="46"/>
      <c r="L40" s="46"/>
      <c r="M40" s="46"/>
      <c r="N40" s="46"/>
      <c r="O40" s="46"/>
      <c r="P40" s="46"/>
      <c r="Q40" s="46"/>
      <c r="R40" s="46"/>
      <c r="S40" s="45"/>
      <c r="T40" s="46"/>
      <c r="U40" s="78"/>
      <c r="V40" s="78"/>
      <c r="W40" s="79"/>
      <c r="X40" s="79"/>
      <c r="Y40" s="80"/>
      <c r="Z40" s="46"/>
      <c r="AA40" s="46"/>
      <c r="AB40" s="45"/>
      <c r="AC40" s="45"/>
      <c r="AD40" s="45"/>
      <c r="AE40" s="45"/>
      <c r="AF40" s="45"/>
      <c r="AG40" s="45"/>
      <c r="AH40" s="43"/>
      <c r="AI40" s="43"/>
      <c r="AJ40" s="43"/>
      <c r="AK40" s="43"/>
      <c r="AL40" s="43"/>
      <c r="AM40" s="43"/>
      <c r="AN40" s="43"/>
      <c r="AO40" s="43"/>
      <c r="AP40" s="43"/>
      <c r="AQ40" s="43"/>
      <c r="AR40" s="43"/>
      <c r="AS40" s="43"/>
      <c r="AT40" s="43"/>
      <c r="AU40" s="43"/>
      <c r="AV40" s="43"/>
      <c r="AW40" s="43"/>
      <c r="AX40" s="43"/>
      <c r="AY40" s="43"/>
      <c r="AZ40" s="43"/>
      <c r="BA40" s="43"/>
      <c r="BB40" s="43"/>
    </row>
    <row r="41" spans="1:54" s="82" customFormat="1" x14ac:dyDescent="0.3">
      <c r="A41" s="46"/>
      <c r="B41" s="45"/>
      <c r="C41" s="46"/>
      <c r="D41" s="47"/>
      <c r="E41" s="48"/>
      <c r="F41" s="47"/>
      <c r="G41" s="45"/>
      <c r="H41" s="46"/>
      <c r="I41" s="46"/>
      <c r="J41" s="46"/>
      <c r="K41" s="46"/>
      <c r="L41" s="46"/>
      <c r="M41" s="46"/>
      <c r="N41" s="46"/>
      <c r="O41" s="46"/>
      <c r="P41" s="46"/>
      <c r="Q41" s="46"/>
      <c r="R41" s="46"/>
      <c r="S41" s="45"/>
      <c r="T41" s="46"/>
      <c r="U41" s="78"/>
      <c r="V41" s="78"/>
      <c r="W41" s="79"/>
      <c r="X41" s="79"/>
      <c r="Y41" s="80"/>
      <c r="Z41" s="46"/>
      <c r="AA41" s="46"/>
      <c r="AB41" s="45"/>
      <c r="AC41" s="45"/>
      <c r="AD41" s="45"/>
      <c r="AE41" s="45"/>
      <c r="AF41" s="45"/>
      <c r="AG41" s="45"/>
      <c r="AH41" s="43"/>
      <c r="AI41" s="43"/>
      <c r="AJ41" s="43"/>
      <c r="AK41" s="43"/>
      <c r="AL41" s="43"/>
      <c r="AM41" s="43"/>
      <c r="AN41" s="43"/>
      <c r="AO41" s="43"/>
      <c r="AP41" s="43"/>
      <c r="AQ41" s="43"/>
      <c r="AR41" s="43"/>
      <c r="AS41" s="43"/>
      <c r="AT41" s="43"/>
      <c r="AU41" s="43"/>
      <c r="AV41" s="43"/>
      <c r="AW41" s="43"/>
      <c r="AX41" s="43"/>
      <c r="AY41" s="43"/>
      <c r="AZ41" s="43"/>
      <c r="BA41" s="43"/>
      <c r="BB41" s="43"/>
    </row>
    <row r="42" spans="1:54" s="82" customFormat="1" x14ac:dyDescent="0.3">
      <c r="A42" s="46"/>
      <c r="B42" s="45"/>
      <c r="C42" s="46"/>
      <c r="D42" s="47"/>
      <c r="E42" s="48"/>
      <c r="F42" s="47"/>
      <c r="G42" s="45"/>
      <c r="H42" s="46"/>
      <c r="I42" s="46"/>
      <c r="J42" s="46"/>
      <c r="K42" s="46"/>
      <c r="L42" s="46"/>
      <c r="M42" s="46"/>
      <c r="N42" s="46"/>
      <c r="O42" s="46"/>
      <c r="P42" s="46"/>
      <c r="Q42" s="46"/>
      <c r="R42" s="46"/>
      <c r="S42" s="45"/>
      <c r="T42" s="46"/>
      <c r="U42" s="78"/>
      <c r="V42" s="78"/>
      <c r="W42" s="79"/>
      <c r="X42" s="79"/>
      <c r="Y42" s="80"/>
      <c r="Z42" s="46"/>
      <c r="AA42" s="46"/>
      <c r="AB42" s="45"/>
      <c r="AC42" s="45"/>
      <c r="AD42" s="45"/>
      <c r="AE42" s="45"/>
      <c r="AF42" s="45"/>
      <c r="AG42" s="45"/>
      <c r="AH42" s="43"/>
      <c r="AI42" s="43"/>
      <c r="AJ42" s="43"/>
      <c r="AK42" s="43"/>
      <c r="AL42" s="43"/>
      <c r="AM42" s="43"/>
      <c r="AN42" s="43"/>
      <c r="AO42" s="43"/>
      <c r="AP42" s="43"/>
      <c r="AQ42" s="43"/>
      <c r="AR42" s="43"/>
      <c r="AS42" s="43"/>
      <c r="AT42" s="43"/>
      <c r="AU42" s="43"/>
      <c r="AV42" s="43"/>
      <c r="AW42" s="43"/>
      <c r="AX42" s="43"/>
      <c r="AY42" s="43"/>
      <c r="AZ42" s="43"/>
      <c r="BA42" s="43"/>
      <c r="BB42" s="43"/>
    </row>
    <row r="43" spans="1:54" s="82" customFormat="1" x14ac:dyDescent="0.3">
      <c r="A43" s="46"/>
      <c r="B43" s="45"/>
      <c r="C43" s="46"/>
      <c r="D43" s="47"/>
      <c r="E43" s="48"/>
      <c r="F43" s="47"/>
      <c r="G43" s="45"/>
      <c r="H43" s="46"/>
      <c r="I43" s="46"/>
      <c r="J43" s="46"/>
      <c r="K43" s="46"/>
      <c r="L43" s="46"/>
      <c r="M43" s="46"/>
      <c r="N43" s="46"/>
      <c r="O43" s="46"/>
      <c r="P43" s="46"/>
      <c r="Q43" s="46"/>
      <c r="R43" s="46"/>
      <c r="S43" s="45"/>
      <c r="T43" s="46"/>
      <c r="U43" s="78"/>
      <c r="V43" s="78"/>
      <c r="W43" s="79"/>
      <c r="X43" s="79"/>
      <c r="Y43" s="80"/>
      <c r="Z43" s="46"/>
      <c r="AA43" s="46"/>
      <c r="AB43" s="45"/>
      <c r="AC43" s="45"/>
      <c r="AD43" s="45"/>
      <c r="AE43" s="45"/>
      <c r="AF43" s="45"/>
      <c r="AG43" s="45"/>
      <c r="AH43" s="43"/>
      <c r="AI43" s="43"/>
      <c r="AJ43" s="43"/>
      <c r="AK43" s="43"/>
      <c r="AL43" s="43"/>
      <c r="AM43" s="43"/>
      <c r="AN43" s="43"/>
      <c r="AO43" s="43"/>
      <c r="AP43" s="43"/>
      <c r="AQ43" s="43"/>
      <c r="AR43" s="43"/>
      <c r="AS43" s="43"/>
      <c r="AT43" s="43"/>
      <c r="AU43" s="43"/>
      <c r="AV43" s="43"/>
      <c r="AW43" s="43"/>
      <c r="AX43" s="43"/>
      <c r="AY43" s="43"/>
      <c r="AZ43" s="43"/>
      <c r="BA43" s="43"/>
      <c r="BB43" s="43"/>
    </row>
    <row r="44" spans="1:54" s="82" customFormat="1" x14ac:dyDescent="0.3">
      <c r="A44" s="46"/>
      <c r="B44" s="45"/>
      <c r="C44" s="46"/>
      <c r="D44" s="47"/>
      <c r="E44" s="48"/>
      <c r="F44" s="47"/>
      <c r="G44" s="45"/>
      <c r="H44" s="46"/>
      <c r="I44" s="46"/>
      <c r="J44" s="46"/>
      <c r="K44" s="46"/>
      <c r="L44" s="46"/>
      <c r="M44" s="46"/>
      <c r="N44" s="46"/>
      <c r="O44" s="46"/>
      <c r="P44" s="46"/>
      <c r="Q44" s="46"/>
      <c r="R44" s="46"/>
      <c r="S44" s="45"/>
      <c r="T44" s="46"/>
      <c r="U44" s="78"/>
      <c r="V44" s="78"/>
      <c r="W44" s="79"/>
      <c r="X44" s="79"/>
      <c r="Y44" s="80"/>
      <c r="Z44" s="46"/>
      <c r="AA44" s="46"/>
      <c r="AB44" s="45"/>
      <c r="AC44" s="45"/>
      <c r="AD44" s="45"/>
      <c r="AE44" s="45"/>
      <c r="AF44" s="45"/>
      <c r="AG44" s="45"/>
      <c r="AH44" s="43"/>
      <c r="AI44" s="43"/>
      <c r="AJ44" s="43"/>
      <c r="AK44" s="43"/>
      <c r="AL44" s="43"/>
      <c r="AM44" s="43"/>
      <c r="AN44" s="43"/>
      <c r="AO44" s="43"/>
      <c r="AP44" s="43"/>
      <c r="AQ44" s="43"/>
      <c r="AR44" s="43"/>
      <c r="AS44" s="43"/>
      <c r="AT44" s="43"/>
      <c r="AU44" s="43"/>
      <c r="AV44" s="43"/>
      <c r="AW44" s="43"/>
      <c r="AX44" s="43"/>
      <c r="AY44" s="43"/>
      <c r="AZ44" s="43"/>
      <c r="BA44" s="43"/>
      <c r="BB44" s="43"/>
    </row>
    <row r="45" spans="1:54" s="82" customFormat="1" x14ac:dyDescent="0.3">
      <c r="A45" s="46"/>
      <c r="B45" s="45"/>
      <c r="C45" s="46"/>
      <c r="D45" s="47"/>
      <c r="E45" s="48"/>
      <c r="F45" s="47"/>
      <c r="G45" s="45"/>
      <c r="H45" s="46"/>
      <c r="I45" s="46"/>
      <c r="J45" s="46"/>
      <c r="K45" s="46"/>
      <c r="L45" s="46"/>
      <c r="M45" s="46"/>
      <c r="N45" s="46"/>
      <c r="O45" s="46"/>
      <c r="P45" s="46"/>
      <c r="Q45" s="46"/>
      <c r="R45" s="46"/>
      <c r="S45" s="45"/>
      <c r="T45" s="46"/>
      <c r="U45" s="78"/>
      <c r="V45" s="78"/>
      <c r="W45" s="79"/>
      <c r="X45" s="79"/>
      <c r="Y45" s="80"/>
      <c r="Z45" s="46"/>
      <c r="AA45" s="46"/>
      <c r="AB45" s="45"/>
      <c r="AC45" s="45"/>
      <c r="AD45" s="45"/>
      <c r="AE45" s="45"/>
      <c r="AF45" s="45"/>
      <c r="AG45" s="45"/>
      <c r="AH45" s="43"/>
      <c r="AI45" s="43"/>
      <c r="AJ45" s="43"/>
      <c r="AK45" s="43"/>
      <c r="AL45" s="43"/>
      <c r="AM45" s="43"/>
      <c r="AN45" s="43"/>
      <c r="AO45" s="43"/>
      <c r="AP45" s="43"/>
      <c r="AQ45" s="43"/>
      <c r="AR45" s="43"/>
      <c r="AS45" s="43"/>
      <c r="AT45" s="43"/>
      <c r="AU45" s="43"/>
      <c r="AV45" s="43"/>
      <c r="AW45" s="43"/>
      <c r="AX45" s="43"/>
      <c r="AY45" s="43"/>
      <c r="AZ45" s="43"/>
      <c r="BA45" s="43"/>
      <c r="BB45" s="43"/>
    </row>
    <row r="46" spans="1:54" s="82" customFormat="1" x14ac:dyDescent="0.3">
      <c r="A46" s="46"/>
      <c r="B46" s="45"/>
      <c r="C46" s="46"/>
      <c r="D46" s="47"/>
      <c r="E46" s="48"/>
      <c r="F46" s="47"/>
      <c r="G46" s="45"/>
      <c r="H46" s="46"/>
      <c r="I46" s="46"/>
      <c r="J46" s="46"/>
      <c r="K46" s="46"/>
      <c r="L46" s="46"/>
      <c r="M46" s="46"/>
      <c r="N46" s="46"/>
      <c r="O46" s="46"/>
      <c r="P46" s="46"/>
      <c r="Q46" s="46"/>
      <c r="R46" s="46"/>
      <c r="S46" s="45"/>
      <c r="T46" s="46"/>
      <c r="U46" s="78"/>
      <c r="V46" s="78"/>
      <c r="W46" s="79"/>
      <c r="X46" s="79"/>
      <c r="Y46" s="80"/>
      <c r="Z46" s="46"/>
      <c r="AA46" s="46"/>
      <c r="AB46" s="45"/>
      <c r="AC46" s="45"/>
      <c r="AD46" s="45"/>
      <c r="AE46" s="45"/>
      <c r="AF46" s="45"/>
      <c r="AG46" s="45"/>
      <c r="AH46" s="43"/>
      <c r="AI46" s="43"/>
      <c r="AJ46" s="43"/>
      <c r="AK46" s="43"/>
      <c r="AL46" s="43"/>
      <c r="AM46" s="43"/>
      <c r="AN46" s="43"/>
      <c r="AO46" s="43"/>
      <c r="AP46" s="43"/>
      <c r="AQ46" s="43"/>
      <c r="AR46" s="43"/>
      <c r="AS46" s="43"/>
      <c r="AT46" s="43"/>
      <c r="AU46" s="43"/>
      <c r="AV46" s="43"/>
      <c r="AW46" s="43"/>
      <c r="AX46" s="43"/>
      <c r="AY46" s="43"/>
      <c r="AZ46" s="43"/>
      <c r="BA46" s="43"/>
      <c r="BB46" s="43"/>
    </row>
    <row r="47" spans="1:54" s="82" customFormat="1" x14ac:dyDescent="0.3">
      <c r="A47" s="46"/>
      <c r="B47" s="45"/>
      <c r="C47" s="46"/>
      <c r="D47" s="47"/>
      <c r="E47" s="48"/>
      <c r="F47" s="47"/>
      <c r="G47" s="45"/>
      <c r="H47" s="46"/>
      <c r="I47" s="46"/>
      <c r="J47" s="46"/>
      <c r="K47" s="46"/>
      <c r="L47" s="46"/>
      <c r="M47" s="46"/>
      <c r="N47" s="46"/>
      <c r="O47" s="46"/>
      <c r="P47" s="46"/>
      <c r="Q47" s="46"/>
      <c r="R47" s="46"/>
      <c r="S47" s="45"/>
      <c r="T47" s="46"/>
      <c r="U47" s="78"/>
      <c r="V47" s="78"/>
      <c r="W47" s="79"/>
      <c r="X47" s="79"/>
      <c r="Y47" s="80"/>
      <c r="Z47" s="46"/>
      <c r="AA47" s="46"/>
      <c r="AB47" s="45"/>
      <c r="AC47" s="45"/>
      <c r="AD47" s="45"/>
      <c r="AE47" s="45"/>
      <c r="AF47" s="45"/>
      <c r="AG47" s="45"/>
      <c r="AH47" s="43"/>
      <c r="AI47" s="43"/>
      <c r="AJ47" s="43"/>
      <c r="AK47" s="43"/>
      <c r="AL47" s="43"/>
      <c r="AM47" s="43"/>
      <c r="AN47" s="43"/>
      <c r="AO47" s="43"/>
      <c r="AP47" s="43"/>
      <c r="AQ47" s="43"/>
      <c r="AR47" s="43"/>
      <c r="AS47" s="43"/>
      <c r="AT47" s="43"/>
      <c r="AU47" s="43"/>
      <c r="AV47" s="43"/>
      <c r="AW47" s="43"/>
      <c r="AX47" s="43"/>
      <c r="AY47" s="43"/>
      <c r="AZ47" s="43"/>
      <c r="BA47" s="43"/>
      <c r="BB47" s="43"/>
    </row>
    <row r="48" spans="1:54" s="82" customFormat="1" x14ac:dyDescent="0.3">
      <c r="A48" s="46"/>
      <c r="B48" s="45"/>
      <c r="C48" s="46"/>
      <c r="D48" s="47"/>
      <c r="E48" s="48"/>
      <c r="F48" s="47"/>
      <c r="G48" s="45"/>
      <c r="H48" s="46"/>
      <c r="I48" s="46"/>
      <c r="J48" s="46"/>
      <c r="K48" s="46"/>
      <c r="L48" s="46"/>
      <c r="M48" s="46"/>
      <c r="N48" s="46"/>
      <c r="O48" s="46"/>
      <c r="P48" s="46"/>
      <c r="Q48" s="46"/>
      <c r="R48" s="46"/>
      <c r="S48" s="45"/>
      <c r="T48" s="46"/>
      <c r="U48" s="78"/>
      <c r="V48" s="78"/>
      <c r="W48" s="79"/>
      <c r="X48" s="79"/>
      <c r="Y48" s="80"/>
      <c r="Z48" s="46"/>
      <c r="AA48" s="46"/>
      <c r="AB48" s="45"/>
      <c r="AC48" s="45"/>
      <c r="AD48" s="45"/>
      <c r="AE48" s="45"/>
      <c r="AF48" s="45"/>
      <c r="AG48" s="45"/>
      <c r="AH48" s="43"/>
      <c r="AI48" s="43"/>
      <c r="AJ48" s="43"/>
      <c r="AK48" s="43"/>
      <c r="AL48" s="43"/>
      <c r="AM48" s="43"/>
      <c r="AN48" s="43"/>
      <c r="AO48" s="43"/>
      <c r="AP48" s="43"/>
      <c r="AQ48" s="43"/>
      <c r="AR48" s="43"/>
      <c r="AS48" s="43"/>
      <c r="AT48" s="43"/>
      <c r="AU48" s="43"/>
      <c r="AV48" s="43"/>
      <c r="AW48" s="43"/>
      <c r="AX48" s="43"/>
      <c r="AY48" s="43"/>
      <c r="AZ48" s="43"/>
      <c r="BA48" s="43"/>
      <c r="BB48" s="43"/>
    </row>
    <row r="49" spans="1:54" s="82" customFormat="1" x14ac:dyDescent="0.3">
      <c r="A49" s="46"/>
      <c r="B49" s="45"/>
      <c r="C49" s="46"/>
      <c r="D49" s="47"/>
      <c r="E49" s="48"/>
      <c r="F49" s="47"/>
      <c r="G49" s="45"/>
      <c r="H49" s="46"/>
      <c r="I49" s="46"/>
      <c r="J49" s="46"/>
      <c r="K49" s="46"/>
      <c r="L49" s="46"/>
      <c r="M49" s="46"/>
      <c r="N49" s="46"/>
      <c r="O49" s="46"/>
      <c r="P49" s="46"/>
      <c r="Q49" s="46"/>
      <c r="R49" s="46"/>
      <c r="S49" s="45"/>
      <c r="T49" s="46"/>
      <c r="U49" s="78"/>
      <c r="V49" s="78"/>
      <c r="W49" s="79"/>
      <c r="X49" s="79"/>
      <c r="Y49" s="80"/>
      <c r="Z49" s="46"/>
      <c r="AA49" s="46"/>
      <c r="AB49" s="45"/>
      <c r="AC49" s="45"/>
      <c r="AD49" s="45"/>
      <c r="AE49" s="45"/>
      <c r="AF49" s="45"/>
      <c r="AG49" s="45"/>
      <c r="AH49" s="43"/>
      <c r="AI49" s="43"/>
      <c r="AJ49" s="43"/>
      <c r="AK49" s="43"/>
      <c r="AL49" s="43"/>
      <c r="AM49" s="43"/>
      <c r="AN49" s="43"/>
      <c r="AO49" s="43"/>
      <c r="AP49" s="43"/>
      <c r="AQ49" s="43"/>
      <c r="AR49" s="43"/>
      <c r="AS49" s="43"/>
      <c r="AT49" s="43"/>
      <c r="AU49" s="43"/>
      <c r="AV49" s="43"/>
      <c r="AW49" s="43"/>
      <c r="AX49" s="43"/>
      <c r="AY49" s="43"/>
      <c r="AZ49" s="43"/>
      <c r="BA49" s="43"/>
      <c r="BB49" s="43"/>
    </row>
    <row r="50" spans="1:54" s="82" customFormat="1" x14ac:dyDescent="0.3">
      <c r="A50" s="46"/>
      <c r="B50" s="45"/>
      <c r="C50" s="46"/>
      <c r="D50" s="47"/>
      <c r="E50" s="48"/>
      <c r="F50" s="47"/>
      <c r="G50" s="45"/>
      <c r="H50" s="46"/>
      <c r="I50" s="46"/>
      <c r="J50" s="46"/>
      <c r="K50" s="46"/>
      <c r="L50" s="46"/>
      <c r="M50" s="46"/>
      <c r="N50" s="46"/>
      <c r="O50" s="46"/>
      <c r="P50" s="46"/>
      <c r="Q50" s="46"/>
      <c r="R50" s="46"/>
      <c r="S50" s="45"/>
      <c r="T50" s="46"/>
      <c r="U50" s="78"/>
      <c r="V50" s="78"/>
      <c r="W50" s="79"/>
      <c r="X50" s="79"/>
      <c r="Y50" s="80"/>
      <c r="Z50" s="46"/>
      <c r="AA50" s="46"/>
      <c r="AB50" s="45"/>
      <c r="AC50" s="45"/>
      <c r="AD50" s="45"/>
      <c r="AE50" s="45"/>
      <c r="AF50" s="45"/>
      <c r="AG50" s="45"/>
      <c r="AH50" s="43"/>
      <c r="AI50" s="43"/>
      <c r="AJ50" s="43"/>
      <c r="AK50" s="43"/>
      <c r="AL50" s="43"/>
      <c r="AM50" s="43"/>
      <c r="AN50" s="43"/>
      <c r="AO50" s="43"/>
      <c r="AP50" s="43"/>
      <c r="AQ50" s="43"/>
      <c r="AR50" s="43"/>
      <c r="AS50" s="43"/>
      <c r="AT50" s="43"/>
      <c r="AU50" s="43"/>
      <c r="AV50" s="43"/>
      <c r="AW50" s="43"/>
      <c r="AX50" s="43"/>
      <c r="AY50" s="43"/>
      <c r="AZ50" s="43"/>
      <c r="BA50" s="43"/>
      <c r="BB50" s="43"/>
    </row>
    <row r="51" spans="1:54" s="82" customFormat="1" x14ac:dyDescent="0.3">
      <c r="A51" s="46"/>
      <c r="B51" s="45"/>
      <c r="C51" s="46"/>
      <c r="D51" s="47"/>
      <c r="E51" s="48"/>
      <c r="F51" s="47"/>
      <c r="G51" s="45"/>
      <c r="H51" s="46"/>
      <c r="I51" s="46"/>
      <c r="J51" s="46"/>
      <c r="K51" s="46"/>
      <c r="L51" s="46"/>
      <c r="M51" s="46"/>
      <c r="N51" s="46"/>
      <c r="O51" s="46"/>
      <c r="P51" s="46"/>
      <c r="Q51" s="46"/>
      <c r="R51" s="46"/>
      <c r="S51" s="45"/>
      <c r="T51" s="46"/>
      <c r="U51" s="78"/>
      <c r="V51" s="78"/>
      <c r="W51" s="79"/>
      <c r="X51" s="79"/>
      <c r="Y51" s="80"/>
      <c r="Z51" s="46"/>
      <c r="AA51" s="46"/>
      <c r="AB51" s="45"/>
      <c r="AC51" s="45"/>
      <c r="AD51" s="45"/>
      <c r="AE51" s="45"/>
      <c r="AF51" s="45"/>
      <c r="AG51" s="45"/>
      <c r="AH51" s="43"/>
      <c r="AI51" s="43"/>
      <c r="AJ51" s="43"/>
      <c r="AK51" s="43"/>
      <c r="AL51" s="43"/>
      <c r="AM51" s="43"/>
      <c r="AN51" s="43"/>
      <c r="AO51" s="43"/>
      <c r="AP51" s="43"/>
      <c r="AQ51" s="43"/>
      <c r="AR51" s="43"/>
      <c r="AS51" s="43"/>
      <c r="AT51" s="43"/>
      <c r="AU51" s="43"/>
      <c r="AV51" s="43"/>
      <c r="AW51" s="43"/>
      <c r="AX51" s="43"/>
      <c r="AY51" s="43"/>
      <c r="AZ51" s="43"/>
      <c r="BA51" s="43"/>
      <c r="BB51" s="43"/>
    </row>
    <row r="52" spans="1:54" s="82" customFormat="1" x14ac:dyDescent="0.3">
      <c r="A52" s="46"/>
      <c r="B52" s="45"/>
      <c r="C52" s="46"/>
      <c r="D52" s="47"/>
      <c r="E52" s="48"/>
      <c r="F52" s="47"/>
      <c r="G52" s="45"/>
      <c r="H52" s="46"/>
      <c r="I52" s="46"/>
      <c r="J52" s="46"/>
      <c r="K52" s="46"/>
      <c r="L52" s="46"/>
      <c r="M52" s="46"/>
      <c r="N52" s="46"/>
      <c r="O52" s="46"/>
      <c r="P52" s="46"/>
      <c r="Q52" s="46"/>
      <c r="R52" s="46"/>
      <c r="S52" s="45"/>
      <c r="T52" s="46"/>
      <c r="U52" s="78"/>
      <c r="V52" s="78"/>
      <c r="W52" s="79"/>
      <c r="X52" s="79"/>
      <c r="Y52" s="80"/>
      <c r="Z52" s="46"/>
      <c r="AA52" s="46"/>
      <c r="AB52" s="45"/>
      <c r="AC52" s="45"/>
      <c r="AD52" s="45"/>
      <c r="AE52" s="45"/>
      <c r="AF52" s="45"/>
      <c r="AG52" s="45"/>
      <c r="AH52" s="43"/>
      <c r="AI52" s="43"/>
      <c r="AJ52" s="43"/>
      <c r="AK52" s="43"/>
      <c r="AL52" s="43"/>
      <c r="AM52" s="43"/>
      <c r="AN52" s="43"/>
      <c r="AO52" s="43"/>
      <c r="AP52" s="43"/>
      <c r="AQ52" s="43"/>
      <c r="AR52" s="43"/>
      <c r="AS52" s="43"/>
      <c r="AT52" s="43"/>
      <c r="AU52" s="43"/>
      <c r="AV52" s="43"/>
      <c r="AW52" s="43"/>
      <c r="AX52" s="43"/>
      <c r="AY52" s="43"/>
      <c r="AZ52" s="43"/>
      <c r="BA52" s="43"/>
      <c r="BB52" s="43"/>
    </row>
    <row r="53" spans="1:54" s="82" customFormat="1" x14ac:dyDescent="0.3">
      <c r="A53" s="46"/>
      <c r="B53" s="45"/>
      <c r="C53" s="46"/>
      <c r="D53" s="47"/>
      <c r="E53" s="48"/>
      <c r="F53" s="47"/>
      <c r="G53" s="45"/>
      <c r="H53" s="46"/>
      <c r="I53" s="46"/>
      <c r="J53" s="46"/>
      <c r="K53" s="46"/>
      <c r="L53" s="46"/>
      <c r="M53" s="46"/>
      <c r="N53" s="46"/>
      <c r="O53" s="46"/>
      <c r="P53" s="46"/>
      <c r="Q53" s="46"/>
      <c r="R53" s="46"/>
      <c r="S53" s="45"/>
      <c r="T53" s="46"/>
      <c r="U53" s="78"/>
      <c r="V53" s="78"/>
      <c r="W53" s="79"/>
      <c r="X53" s="79"/>
      <c r="Y53" s="80"/>
      <c r="Z53" s="46"/>
      <c r="AA53" s="46"/>
      <c r="AB53" s="45"/>
      <c r="AC53" s="45"/>
      <c r="AD53" s="45"/>
      <c r="AE53" s="45"/>
      <c r="AF53" s="45"/>
      <c r="AG53" s="45"/>
      <c r="AH53" s="43"/>
      <c r="AI53" s="43"/>
      <c r="AJ53" s="43"/>
      <c r="AK53" s="43"/>
      <c r="AL53" s="43"/>
      <c r="AM53" s="43"/>
      <c r="AN53" s="43"/>
      <c r="AO53" s="43"/>
      <c r="AP53" s="43"/>
      <c r="AQ53" s="43"/>
      <c r="AR53" s="43"/>
      <c r="AS53" s="43"/>
      <c r="AT53" s="43"/>
      <c r="AU53" s="43"/>
      <c r="AV53" s="43"/>
      <c r="AW53" s="43"/>
      <c r="AX53" s="43"/>
      <c r="AY53" s="43"/>
      <c r="AZ53" s="43"/>
      <c r="BA53" s="43"/>
      <c r="BB53" s="43"/>
    </row>
    <row r="54" spans="1:54" s="82" customFormat="1" x14ac:dyDescent="0.3">
      <c r="A54" s="46"/>
      <c r="B54" s="45"/>
      <c r="C54" s="46"/>
      <c r="D54" s="47"/>
      <c r="E54" s="48"/>
      <c r="F54" s="47"/>
      <c r="G54" s="45"/>
      <c r="H54" s="46"/>
      <c r="I54" s="46"/>
      <c r="J54" s="46"/>
      <c r="K54" s="46"/>
      <c r="L54" s="46"/>
      <c r="M54" s="46"/>
      <c r="N54" s="46"/>
      <c r="O54" s="46"/>
      <c r="P54" s="46"/>
      <c r="Q54" s="46"/>
      <c r="R54" s="46"/>
      <c r="S54" s="45"/>
      <c r="T54" s="46"/>
      <c r="U54" s="78"/>
      <c r="V54" s="78"/>
      <c r="W54" s="79"/>
      <c r="X54" s="79"/>
      <c r="Y54" s="80"/>
      <c r="Z54" s="46"/>
      <c r="AA54" s="46"/>
      <c r="AB54" s="45"/>
      <c r="AC54" s="45"/>
      <c r="AD54" s="45"/>
      <c r="AE54" s="45"/>
      <c r="AF54" s="45"/>
      <c r="AG54" s="45"/>
      <c r="AH54" s="43"/>
      <c r="AI54" s="43"/>
      <c r="AJ54" s="43"/>
      <c r="AK54" s="43"/>
      <c r="AL54" s="43"/>
      <c r="AM54" s="43"/>
      <c r="AN54" s="43"/>
      <c r="AO54" s="43"/>
      <c r="AP54" s="43"/>
      <c r="AQ54" s="43"/>
      <c r="AR54" s="43"/>
      <c r="AS54" s="43"/>
      <c r="AT54" s="43"/>
      <c r="AU54" s="43"/>
      <c r="AV54" s="43"/>
      <c r="AW54" s="43"/>
      <c r="AX54" s="43"/>
      <c r="AY54" s="43"/>
      <c r="AZ54" s="43"/>
      <c r="BA54" s="43"/>
      <c r="BB54" s="43"/>
    </row>
    <row r="55" spans="1:54" s="82" customFormat="1" x14ac:dyDescent="0.3">
      <c r="A55" s="46"/>
      <c r="B55" s="45"/>
      <c r="C55" s="46"/>
      <c r="D55" s="47"/>
      <c r="E55" s="48"/>
      <c r="F55" s="47"/>
      <c r="G55" s="45"/>
      <c r="H55" s="46"/>
      <c r="I55" s="46"/>
      <c r="J55" s="46"/>
      <c r="K55" s="46"/>
      <c r="L55" s="46"/>
      <c r="M55" s="46"/>
      <c r="N55" s="46"/>
      <c r="O55" s="46"/>
      <c r="P55" s="46"/>
      <c r="Q55" s="46"/>
      <c r="R55" s="46"/>
      <c r="S55" s="45"/>
      <c r="T55" s="46"/>
      <c r="U55" s="78"/>
      <c r="V55" s="78"/>
      <c r="W55" s="79"/>
      <c r="X55" s="79"/>
      <c r="Y55" s="80"/>
      <c r="Z55" s="46"/>
      <c r="AA55" s="46"/>
      <c r="AB55" s="45"/>
      <c r="AC55" s="45"/>
      <c r="AD55" s="45"/>
      <c r="AE55" s="45"/>
      <c r="AF55" s="45"/>
      <c r="AG55" s="45"/>
      <c r="AH55" s="43"/>
      <c r="AI55" s="43"/>
      <c r="AJ55" s="43"/>
      <c r="AK55" s="43"/>
      <c r="AL55" s="43"/>
      <c r="AM55" s="43"/>
      <c r="AN55" s="43"/>
      <c r="AO55" s="43"/>
      <c r="AP55" s="43"/>
      <c r="AQ55" s="43"/>
      <c r="AR55" s="43"/>
      <c r="AS55" s="43"/>
      <c r="AT55" s="43"/>
      <c r="AU55" s="43"/>
      <c r="AV55" s="43"/>
      <c r="AW55" s="43"/>
      <c r="AX55" s="43"/>
      <c r="AY55" s="43"/>
      <c r="AZ55" s="43"/>
      <c r="BA55" s="43"/>
      <c r="BB55" s="43"/>
    </row>
  </sheetData>
  <sheetProtection formatCells="0" formatColumns="0" formatRows="0" insertColumns="0" insertRows="0" insertHyperlinks="0" deleteColumns="0" deleteRows="0" sort="0" autoFilter="0" pivotTables="0"/>
  <autoFilter ref="A2:AG26" xr:uid="{00000000-0009-0000-0000-000001000000}"/>
  <mergeCells count="2">
    <mergeCell ref="AE1:AG1"/>
    <mergeCell ref="AH1:AJ1"/>
  </mergeCells>
  <conditionalFormatting sqref="I12:I18 I3:I10">
    <cfRule type="cellIs" dxfId="44" priority="5" operator="equal">
      <formula>"OK"</formula>
    </cfRule>
    <cfRule type="cellIs" dxfId="43" priority="6" operator="equal">
      <formula>"DIFIERE"</formula>
    </cfRule>
  </conditionalFormatting>
  <conditionalFormatting sqref="C12:C18 C3:C10">
    <cfRule type="cellIs" dxfId="42" priority="4" operator="equal">
      <formula>"COD. REPETIDO"</formula>
    </cfRule>
  </conditionalFormatting>
  <conditionalFormatting sqref="I20:I21">
    <cfRule type="cellIs" dxfId="41" priority="2" operator="equal">
      <formula>"OK"</formula>
    </cfRule>
    <cfRule type="cellIs" dxfId="40" priority="3" operator="equal">
      <formula>"DIFIERE"</formula>
    </cfRule>
  </conditionalFormatting>
  <conditionalFormatting sqref="C20:C21">
    <cfRule type="cellIs" dxfId="39" priority="1" operator="equal">
      <formula>"COD. REPETIDO"</formula>
    </cfRule>
  </conditionalFormatting>
  <pageMargins left="0.7" right="0.7" top="0.75" bottom="0.75" header="0.3" footer="0.3"/>
  <pageSetup paperSize="142"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70C0"/>
  </sheetPr>
  <dimension ref="A1:BH86"/>
  <sheetViews>
    <sheetView topLeftCell="A7" workbookViewId="0">
      <selection activeCell="AM11" sqref="AM11"/>
    </sheetView>
  </sheetViews>
  <sheetFormatPr baseColWidth="10" defaultRowHeight="16.5" x14ac:dyDescent="0.3"/>
  <cols>
    <col min="1" max="1" width="11.42578125" style="22"/>
    <col min="2" max="2" width="12.140625" style="2" hidden="1" customWidth="1"/>
    <col min="3" max="3" width="0" style="3" hidden="1" customWidth="1"/>
    <col min="4" max="4" width="39.28515625" style="4" customWidth="1"/>
    <col min="5" max="5" width="14.42578125" style="5" bestFit="1" customWidth="1"/>
    <col min="6" max="6" width="27.5703125" style="4" hidden="1" customWidth="1"/>
    <col min="7" max="7" width="11.42578125" style="2" hidden="1" customWidth="1"/>
    <col min="8" max="8" width="12.140625" style="3" hidden="1" customWidth="1"/>
    <col min="9" max="9" width="13.5703125" style="3" hidden="1" customWidth="1"/>
    <col min="10" max="10" width="11.42578125" style="3" hidden="1" customWidth="1"/>
    <col min="11" max="13" width="9.28515625" style="3" hidden="1" customWidth="1"/>
    <col min="14" max="14" width="9.7109375" style="3" hidden="1" customWidth="1"/>
    <col min="15" max="15" width="9.28515625" style="3" hidden="1" customWidth="1"/>
    <col min="16" max="16" width="9.7109375" style="3" hidden="1" customWidth="1"/>
    <col min="17" max="17" width="9.28515625" style="3" hidden="1" customWidth="1"/>
    <col min="18" max="18" width="11.28515625" style="3" hidden="1" customWidth="1"/>
    <col min="19" max="19" width="26.85546875" style="10" hidden="1" customWidth="1"/>
    <col min="20" max="21" width="26.85546875" style="9" hidden="1" customWidth="1"/>
    <col min="22" max="22" width="16.5703125" style="22" hidden="1" customWidth="1"/>
    <col min="23" max="23" width="17.7109375" style="72" hidden="1" customWidth="1"/>
    <col min="24" max="24" width="17.7109375" style="30" hidden="1" customWidth="1"/>
    <col min="25" max="25" width="16.5703125" style="29" hidden="1" customWidth="1"/>
    <col min="26" max="26" width="17.85546875" style="29" hidden="1" customWidth="1"/>
    <col min="27" max="27" width="17.5703125" style="29" hidden="1" customWidth="1"/>
    <col min="28" max="28" width="17.5703125" style="1" hidden="1" customWidth="1"/>
    <col min="29" max="29" width="0" style="10" hidden="1" customWidth="1"/>
    <col min="30" max="30" width="0" hidden="1" customWidth="1"/>
    <col min="31" max="31" width="0" style="109" hidden="1" customWidth="1"/>
    <col min="32" max="32" width="11.42578125" style="85"/>
    <col min="35" max="60" width="11.42578125" style="86"/>
  </cols>
  <sheetData>
    <row r="1" spans="1:60" ht="49.5" x14ac:dyDescent="0.3">
      <c r="T1" s="6" t="s">
        <v>0</v>
      </c>
      <c r="U1" s="7" t="s">
        <v>1</v>
      </c>
      <c r="V1" s="7" t="s">
        <v>2</v>
      </c>
      <c r="W1" s="6" t="s">
        <v>125</v>
      </c>
      <c r="X1" s="6" t="s">
        <v>4</v>
      </c>
      <c r="Y1" s="8" t="s">
        <v>5</v>
      </c>
      <c r="Z1" s="8" t="s">
        <v>6</v>
      </c>
      <c r="AA1" s="7" t="s">
        <v>7</v>
      </c>
      <c r="AB1" s="7" t="s">
        <v>8</v>
      </c>
      <c r="AE1" s="84" t="s">
        <v>9</v>
      </c>
      <c r="AF1" s="174" t="s">
        <v>9</v>
      </c>
      <c r="AG1" s="174"/>
      <c r="AH1" s="174"/>
    </row>
    <row r="2" spans="1:60" ht="66" x14ac:dyDescent="0.3">
      <c r="A2" s="17" t="s">
        <v>171</v>
      </c>
      <c r="B2" s="87" t="s">
        <v>11</v>
      </c>
      <c r="C2" s="64" t="s">
        <v>12</v>
      </c>
      <c r="D2" s="65" t="s">
        <v>13</v>
      </c>
      <c r="E2" s="66" t="s">
        <v>14</v>
      </c>
      <c r="F2" s="65" t="s">
        <v>15</v>
      </c>
      <c r="G2" s="60" t="s">
        <v>126</v>
      </c>
      <c r="H2" s="60" t="s">
        <v>127</v>
      </c>
      <c r="I2" s="60" t="s">
        <v>128</v>
      </c>
      <c r="J2" s="88" t="s">
        <v>129</v>
      </c>
      <c r="K2" s="66" t="s">
        <v>130</v>
      </c>
      <c r="L2" s="66" t="s">
        <v>131</v>
      </c>
      <c r="M2" s="66" t="s">
        <v>132</v>
      </c>
      <c r="N2" s="66" t="s">
        <v>133</v>
      </c>
      <c r="O2" s="66" t="s">
        <v>134</v>
      </c>
      <c r="P2" s="66" t="s">
        <v>135</v>
      </c>
      <c r="Q2" s="66" t="s">
        <v>136</v>
      </c>
      <c r="R2" s="66" t="s">
        <v>137</v>
      </c>
      <c r="S2" s="89" t="s">
        <v>138</v>
      </c>
      <c r="T2" s="67" t="s">
        <v>16</v>
      </c>
      <c r="U2" s="67" t="s">
        <v>16</v>
      </c>
      <c r="V2" s="67" t="s">
        <v>16</v>
      </c>
      <c r="W2" s="68" t="s">
        <v>16</v>
      </c>
      <c r="X2" s="68" t="s">
        <v>16</v>
      </c>
      <c r="Y2" s="20" t="s">
        <v>16</v>
      </c>
      <c r="Z2" s="8" t="s">
        <v>16</v>
      </c>
      <c r="AA2" s="7" t="s">
        <v>16</v>
      </c>
      <c r="AB2" s="7" t="s">
        <v>16</v>
      </c>
      <c r="AE2" s="84" t="s">
        <v>172</v>
      </c>
      <c r="AF2" s="111" t="s">
        <v>16</v>
      </c>
      <c r="AG2" s="90" t="s">
        <v>173</v>
      </c>
      <c r="AH2" s="111" t="s">
        <v>19</v>
      </c>
    </row>
    <row r="3" spans="1:60" ht="33" x14ac:dyDescent="0.3">
      <c r="A3" s="22">
        <v>1</v>
      </c>
      <c r="B3" s="23">
        <v>1123256566</v>
      </c>
      <c r="C3" s="24" t="s">
        <v>20</v>
      </c>
      <c r="D3" s="25" t="s">
        <v>174</v>
      </c>
      <c r="E3" s="26" t="s">
        <v>175</v>
      </c>
      <c r="F3" s="27" t="s">
        <v>174</v>
      </c>
      <c r="G3" s="69" t="e">
        <v>#N/A</v>
      </c>
      <c r="H3" s="26" t="e">
        <v>#N/A</v>
      </c>
      <c r="I3" s="26" t="s">
        <v>20</v>
      </c>
      <c r="J3" s="70">
        <v>1</v>
      </c>
      <c r="K3" s="71">
        <v>0</v>
      </c>
      <c r="L3" s="71">
        <v>0</v>
      </c>
      <c r="M3" s="71">
        <v>0</v>
      </c>
      <c r="N3" s="71">
        <v>0</v>
      </c>
      <c r="O3" s="71">
        <v>0</v>
      </c>
      <c r="P3" s="71">
        <v>0</v>
      </c>
      <c r="Q3" s="71">
        <v>0</v>
      </c>
      <c r="R3" s="71">
        <v>0</v>
      </c>
      <c r="S3" s="91"/>
      <c r="T3" s="92" t="s">
        <v>176</v>
      </c>
      <c r="U3" s="92" t="s">
        <v>176</v>
      </c>
      <c r="V3" s="22" t="s">
        <v>25</v>
      </c>
      <c r="W3" s="72">
        <v>9900</v>
      </c>
      <c r="X3" s="30" t="s">
        <v>25</v>
      </c>
      <c r="Y3" s="29" t="s">
        <v>25</v>
      </c>
      <c r="Z3" s="29" t="s">
        <v>24</v>
      </c>
      <c r="AA3" s="30" t="s">
        <v>24</v>
      </c>
      <c r="AB3" s="22" t="s">
        <v>176</v>
      </c>
      <c r="AE3" s="93">
        <f>MIN(T3:AB3)</f>
        <v>9900</v>
      </c>
      <c r="AF3" s="29">
        <v>9900</v>
      </c>
      <c r="AG3" s="94">
        <v>1881</v>
      </c>
      <c r="AH3" s="29">
        <v>11781</v>
      </c>
    </row>
    <row r="4" spans="1:60" x14ac:dyDescent="0.3">
      <c r="A4" s="22">
        <v>2</v>
      </c>
      <c r="B4" s="23">
        <v>1125561187</v>
      </c>
      <c r="C4" s="24" t="s">
        <v>20</v>
      </c>
      <c r="D4" s="25" t="s">
        <v>177</v>
      </c>
      <c r="E4" s="26" t="s">
        <v>22</v>
      </c>
      <c r="F4" s="27" t="s">
        <v>177</v>
      </c>
      <c r="G4" s="69" t="e">
        <v>#N/A</v>
      </c>
      <c r="H4" s="26" t="e">
        <v>#N/A</v>
      </c>
      <c r="I4" s="26" t="s">
        <v>20</v>
      </c>
      <c r="J4" s="70">
        <v>13722.93</v>
      </c>
      <c r="K4" s="71">
        <v>0</v>
      </c>
      <c r="L4" s="71">
        <v>0</v>
      </c>
      <c r="M4" s="71">
        <v>0</v>
      </c>
      <c r="N4" s="71">
        <v>0</v>
      </c>
      <c r="O4" s="71">
        <v>2</v>
      </c>
      <c r="P4" s="71">
        <v>0.16666666666666666</v>
      </c>
      <c r="Q4" s="71">
        <v>0</v>
      </c>
      <c r="R4" s="71">
        <v>0</v>
      </c>
      <c r="S4" s="91"/>
      <c r="T4" s="92" t="s">
        <v>176</v>
      </c>
      <c r="U4" s="92" t="s">
        <v>176</v>
      </c>
      <c r="V4" s="22" t="s">
        <v>25</v>
      </c>
      <c r="W4" s="72">
        <v>45100</v>
      </c>
      <c r="X4" s="30" t="s">
        <v>25</v>
      </c>
      <c r="Y4" s="29">
        <v>33600</v>
      </c>
      <c r="Z4" s="29" t="s">
        <v>24</v>
      </c>
      <c r="AA4" s="30" t="s">
        <v>24</v>
      </c>
      <c r="AB4" s="22" t="s">
        <v>176</v>
      </c>
      <c r="AE4" s="93">
        <f t="shared" ref="AE4:AE25" si="0">MIN(T4:AB4)</f>
        <v>33600</v>
      </c>
      <c r="AF4" s="29">
        <v>39350</v>
      </c>
      <c r="AG4" s="94">
        <v>7476.5</v>
      </c>
      <c r="AH4" s="29">
        <v>46826.5</v>
      </c>
    </row>
    <row r="5" spans="1:60" x14ac:dyDescent="0.3">
      <c r="A5" s="22">
        <v>3</v>
      </c>
      <c r="B5" s="23">
        <v>1125561188</v>
      </c>
      <c r="C5" s="24" t="s">
        <v>20</v>
      </c>
      <c r="D5" s="25" t="s">
        <v>178</v>
      </c>
      <c r="E5" s="26" t="s">
        <v>22</v>
      </c>
      <c r="F5" s="27" t="s">
        <v>178</v>
      </c>
      <c r="G5" s="69" t="e">
        <v>#N/A</v>
      </c>
      <c r="H5" s="26" t="e">
        <v>#N/A</v>
      </c>
      <c r="I5" s="26" t="s">
        <v>20</v>
      </c>
      <c r="J5" s="70">
        <v>24285.06</v>
      </c>
      <c r="K5" s="71">
        <v>0</v>
      </c>
      <c r="L5" s="71">
        <v>0</v>
      </c>
      <c r="M5" s="71">
        <v>0</v>
      </c>
      <c r="N5" s="71">
        <v>0</v>
      </c>
      <c r="O5" s="71">
        <v>2</v>
      </c>
      <c r="P5" s="71">
        <v>0.16666666666666666</v>
      </c>
      <c r="Q5" s="71">
        <v>0</v>
      </c>
      <c r="R5" s="71">
        <v>0</v>
      </c>
      <c r="S5" s="91"/>
      <c r="T5" s="92" t="s">
        <v>176</v>
      </c>
      <c r="U5" s="92" t="s">
        <v>176</v>
      </c>
      <c r="V5" s="22" t="s">
        <v>25</v>
      </c>
      <c r="W5" s="72">
        <v>49900</v>
      </c>
      <c r="X5" s="30" t="s">
        <v>25</v>
      </c>
      <c r="Y5" s="29">
        <v>57400</v>
      </c>
      <c r="Z5" s="29" t="s">
        <v>24</v>
      </c>
      <c r="AA5" s="30" t="s">
        <v>24</v>
      </c>
      <c r="AB5" s="22" t="s">
        <v>176</v>
      </c>
      <c r="AE5" s="93">
        <f t="shared" si="0"/>
        <v>49900</v>
      </c>
      <c r="AF5" s="29">
        <v>53650</v>
      </c>
      <c r="AG5" s="94">
        <v>10193.5</v>
      </c>
      <c r="AH5" s="29">
        <v>63843.5</v>
      </c>
    </row>
    <row r="6" spans="1:60" x14ac:dyDescent="0.3">
      <c r="A6" s="22">
        <v>4</v>
      </c>
      <c r="B6" s="23">
        <v>1125561189</v>
      </c>
      <c r="C6" s="24" t="s">
        <v>20</v>
      </c>
      <c r="D6" s="25" t="s">
        <v>179</v>
      </c>
      <c r="E6" s="26" t="s">
        <v>22</v>
      </c>
      <c r="F6" s="27" t="s">
        <v>179</v>
      </c>
      <c r="G6" s="69" t="e">
        <v>#N/A</v>
      </c>
      <c r="H6" s="26" t="e">
        <v>#N/A</v>
      </c>
      <c r="I6" s="26" t="s">
        <v>20</v>
      </c>
      <c r="J6" s="70">
        <v>60965.93</v>
      </c>
      <c r="K6" s="71">
        <v>0</v>
      </c>
      <c r="L6" s="71">
        <v>0</v>
      </c>
      <c r="M6" s="71">
        <v>0</v>
      </c>
      <c r="N6" s="71">
        <v>0</v>
      </c>
      <c r="O6" s="71">
        <v>4</v>
      </c>
      <c r="P6" s="71">
        <v>0.33333333333333331</v>
      </c>
      <c r="Q6" s="71">
        <v>0</v>
      </c>
      <c r="R6" s="71">
        <v>0</v>
      </c>
      <c r="S6" s="91"/>
      <c r="T6" s="92" t="s">
        <v>176</v>
      </c>
      <c r="U6" s="92" t="s">
        <v>176</v>
      </c>
      <c r="V6" s="22" t="s">
        <v>25</v>
      </c>
      <c r="W6" s="72">
        <v>64900</v>
      </c>
      <c r="X6" s="30" t="s">
        <v>25</v>
      </c>
      <c r="Y6" s="29">
        <v>63220</v>
      </c>
      <c r="Z6" s="29" t="s">
        <v>24</v>
      </c>
      <c r="AA6" s="30" t="s">
        <v>24</v>
      </c>
      <c r="AB6" s="22" t="s">
        <v>176</v>
      </c>
      <c r="AE6" s="93">
        <f t="shared" si="0"/>
        <v>63220</v>
      </c>
      <c r="AF6" s="29">
        <v>64060</v>
      </c>
      <c r="AG6" s="94">
        <v>12171.4</v>
      </c>
      <c r="AH6" s="29">
        <v>76231.399999999994</v>
      </c>
    </row>
    <row r="7" spans="1:60" s="95" customFormat="1" x14ac:dyDescent="0.3">
      <c r="A7" s="22">
        <v>5</v>
      </c>
      <c r="B7" s="23">
        <v>1125561157</v>
      </c>
      <c r="C7" s="24" t="s">
        <v>20</v>
      </c>
      <c r="D7" s="25" t="s">
        <v>180</v>
      </c>
      <c r="E7" s="26" t="s">
        <v>22</v>
      </c>
      <c r="F7" s="27" t="s">
        <v>180</v>
      </c>
      <c r="G7" s="69" t="e">
        <v>#N/A</v>
      </c>
      <c r="H7" s="26" t="e">
        <v>#N/A</v>
      </c>
      <c r="I7" s="26" t="s">
        <v>20</v>
      </c>
      <c r="J7" s="70">
        <v>1</v>
      </c>
      <c r="K7" s="71">
        <v>0</v>
      </c>
      <c r="L7" s="71">
        <v>0</v>
      </c>
      <c r="M7" s="71">
        <v>0</v>
      </c>
      <c r="N7" s="71">
        <v>0</v>
      </c>
      <c r="O7" s="71">
        <v>0</v>
      </c>
      <c r="P7" s="71">
        <v>0</v>
      </c>
      <c r="Q7" s="71">
        <v>0</v>
      </c>
      <c r="R7" s="71">
        <v>0</v>
      </c>
      <c r="S7" s="91"/>
      <c r="T7" s="92" t="s">
        <v>176</v>
      </c>
      <c r="U7" s="92" t="s">
        <v>176</v>
      </c>
      <c r="V7" s="22" t="s">
        <v>25</v>
      </c>
      <c r="W7" s="72" t="s">
        <v>25</v>
      </c>
      <c r="X7" s="30" t="s">
        <v>25</v>
      </c>
      <c r="Y7" s="29">
        <v>64000</v>
      </c>
      <c r="Z7" s="29" t="s">
        <v>24</v>
      </c>
      <c r="AA7" s="30" t="s">
        <v>24</v>
      </c>
      <c r="AB7" s="22" t="s">
        <v>176</v>
      </c>
      <c r="AC7" s="10"/>
      <c r="AE7" s="93">
        <f t="shared" si="0"/>
        <v>64000</v>
      </c>
      <c r="AF7" s="29">
        <v>64000</v>
      </c>
      <c r="AG7" s="94">
        <v>12160</v>
      </c>
      <c r="AH7" s="29">
        <v>76160</v>
      </c>
      <c r="AI7" s="96"/>
      <c r="AJ7" s="96"/>
      <c r="AK7" s="96"/>
      <c r="AL7" s="96"/>
      <c r="AM7" s="96"/>
      <c r="AN7" s="96"/>
      <c r="AO7" s="96"/>
      <c r="AP7" s="96"/>
      <c r="AQ7" s="96"/>
      <c r="AR7" s="96"/>
      <c r="AS7" s="96"/>
      <c r="AT7" s="96"/>
      <c r="AU7" s="96"/>
      <c r="AV7" s="96"/>
      <c r="AW7" s="96"/>
      <c r="AX7" s="96"/>
      <c r="AY7" s="96"/>
      <c r="AZ7" s="96"/>
      <c r="BA7" s="96"/>
      <c r="BB7" s="96"/>
      <c r="BC7" s="96"/>
      <c r="BD7" s="96"/>
      <c r="BE7" s="96"/>
      <c r="BF7" s="96"/>
      <c r="BG7" s="96"/>
      <c r="BH7" s="96"/>
    </row>
    <row r="8" spans="1:60" x14ac:dyDescent="0.3">
      <c r="A8" s="22">
        <v>6</v>
      </c>
      <c r="B8" s="23">
        <v>1125561378</v>
      </c>
      <c r="C8" s="24" t="s">
        <v>20</v>
      </c>
      <c r="D8" s="25" t="s">
        <v>181</v>
      </c>
      <c r="E8" s="26" t="s">
        <v>22</v>
      </c>
      <c r="F8" s="27" t="s">
        <v>181</v>
      </c>
      <c r="G8" s="69" t="e">
        <v>#N/A</v>
      </c>
      <c r="H8" s="26" t="e">
        <v>#N/A</v>
      </c>
      <c r="I8" s="26" t="s">
        <v>20</v>
      </c>
      <c r="J8" s="70">
        <v>75568.960000000006</v>
      </c>
      <c r="K8" s="71">
        <v>0</v>
      </c>
      <c r="L8" s="71">
        <v>0</v>
      </c>
      <c r="M8" s="71">
        <v>0</v>
      </c>
      <c r="N8" s="71">
        <v>0</v>
      </c>
      <c r="O8" s="71">
        <v>10</v>
      </c>
      <c r="P8" s="71">
        <v>0.83333333333333337</v>
      </c>
      <c r="Q8" s="71">
        <v>0</v>
      </c>
      <c r="R8" s="71">
        <v>0</v>
      </c>
      <c r="S8" s="91"/>
      <c r="T8" s="92" t="s">
        <v>176</v>
      </c>
      <c r="U8" s="92" t="s">
        <v>176</v>
      </c>
      <c r="V8" s="22" t="s">
        <v>25</v>
      </c>
      <c r="W8" s="72">
        <v>135100</v>
      </c>
      <c r="X8" s="30" t="s">
        <v>25</v>
      </c>
      <c r="Y8" s="29" t="s">
        <v>25</v>
      </c>
      <c r="Z8" s="29" t="s">
        <v>24</v>
      </c>
      <c r="AA8" s="30" t="s">
        <v>24</v>
      </c>
      <c r="AB8" s="22" t="s">
        <v>176</v>
      </c>
      <c r="AE8" s="93">
        <f t="shared" si="0"/>
        <v>135100</v>
      </c>
      <c r="AF8" s="29">
        <v>135100</v>
      </c>
      <c r="AG8" s="94">
        <v>25669</v>
      </c>
      <c r="AH8" s="29">
        <v>160769</v>
      </c>
    </row>
    <row r="9" spans="1:60" x14ac:dyDescent="0.3">
      <c r="A9" s="22">
        <v>7</v>
      </c>
      <c r="B9" s="23">
        <v>1041518333</v>
      </c>
      <c r="C9" s="24" t="s">
        <v>20</v>
      </c>
      <c r="D9" s="25" t="s">
        <v>182</v>
      </c>
      <c r="E9" s="26" t="s">
        <v>22</v>
      </c>
      <c r="F9" s="27" t="s">
        <v>182</v>
      </c>
      <c r="G9" s="69" t="e">
        <v>#N/A</v>
      </c>
      <c r="H9" s="26" t="e">
        <v>#N/A</v>
      </c>
      <c r="I9" s="26" t="s">
        <v>20</v>
      </c>
      <c r="J9" s="70">
        <v>32980.067779999998</v>
      </c>
      <c r="K9" s="71">
        <v>0</v>
      </c>
      <c r="L9" s="71">
        <v>0</v>
      </c>
      <c r="M9" s="71">
        <v>0</v>
      </c>
      <c r="N9" s="71">
        <v>0</v>
      </c>
      <c r="O9" s="71">
        <v>29</v>
      </c>
      <c r="P9" s="71">
        <v>2.4166666666666665</v>
      </c>
      <c r="Q9" s="71">
        <v>0</v>
      </c>
      <c r="R9" s="71">
        <v>0</v>
      </c>
      <c r="S9" s="91"/>
      <c r="T9" s="92" t="s">
        <v>176</v>
      </c>
      <c r="U9" s="92" t="s">
        <v>176</v>
      </c>
      <c r="V9" s="22" t="s">
        <v>25</v>
      </c>
      <c r="W9" s="72" t="s">
        <v>25</v>
      </c>
      <c r="X9" s="30" t="s">
        <v>25</v>
      </c>
      <c r="Y9" s="29" t="s">
        <v>25</v>
      </c>
      <c r="Z9" s="29">
        <v>16659</v>
      </c>
      <c r="AA9" s="30">
        <v>13017</v>
      </c>
      <c r="AB9" s="22" t="s">
        <v>176</v>
      </c>
      <c r="AE9" s="93">
        <f t="shared" si="0"/>
        <v>13017</v>
      </c>
      <c r="AF9" s="29">
        <v>14838</v>
      </c>
      <c r="AG9" s="94">
        <v>2819.22</v>
      </c>
      <c r="AH9" s="29">
        <v>17657.22</v>
      </c>
    </row>
    <row r="10" spans="1:60" ht="33" x14ac:dyDescent="0.3">
      <c r="A10" s="22">
        <v>8</v>
      </c>
      <c r="B10" s="23">
        <v>1041518039</v>
      </c>
      <c r="C10" s="24" t="s">
        <v>20</v>
      </c>
      <c r="D10" s="25" t="s">
        <v>183</v>
      </c>
      <c r="E10" s="26" t="s">
        <v>22</v>
      </c>
      <c r="F10" s="27" t="s">
        <v>183</v>
      </c>
      <c r="G10" s="69" t="e">
        <v>#N/A</v>
      </c>
      <c r="H10" s="26" t="e">
        <v>#N/A</v>
      </c>
      <c r="I10" s="26" t="s">
        <v>20</v>
      </c>
      <c r="J10" s="70">
        <v>92588.88</v>
      </c>
      <c r="K10" s="71">
        <v>57</v>
      </c>
      <c r="L10" s="71">
        <v>6</v>
      </c>
      <c r="M10" s="71">
        <v>10</v>
      </c>
      <c r="N10" s="71">
        <v>0.83333333333333337</v>
      </c>
      <c r="O10" s="71">
        <v>3</v>
      </c>
      <c r="P10" s="71">
        <v>0.25</v>
      </c>
      <c r="Q10" s="71">
        <v>0</v>
      </c>
      <c r="R10" s="71">
        <v>0</v>
      </c>
      <c r="S10" s="91"/>
      <c r="T10" s="92" t="s">
        <v>176</v>
      </c>
      <c r="U10" s="92" t="s">
        <v>176</v>
      </c>
      <c r="V10" s="22" t="s">
        <v>25</v>
      </c>
      <c r="W10" s="72">
        <v>169900</v>
      </c>
      <c r="X10" s="30" t="s">
        <v>25</v>
      </c>
      <c r="Y10" s="29" t="s">
        <v>25</v>
      </c>
      <c r="Z10" s="29" t="s">
        <v>24</v>
      </c>
      <c r="AA10" s="30" t="s">
        <v>24</v>
      </c>
      <c r="AB10" s="22" t="s">
        <v>176</v>
      </c>
      <c r="AE10" s="93">
        <f t="shared" si="0"/>
        <v>169900</v>
      </c>
      <c r="AF10" s="29">
        <v>169900</v>
      </c>
      <c r="AG10" s="94">
        <v>32281</v>
      </c>
      <c r="AH10" s="29">
        <v>202181</v>
      </c>
    </row>
    <row r="11" spans="1:60" ht="33" x14ac:dyDescent="0.3">
      <c r="A11" s="22">
        <v>9</v>
      </c>
      <c r="B11" s="23">
        <v>1041518068</v>
      </c>
      <c r="C11" s="24" t="s">
        <v>20</v>
      </c>
      <c r="D11" s="25" t="s">
        <v>184</v>
      </c>
      <c r="E11" s="26" t="s">
        <v>22</v>
      </c>
      <c r="F11" s="27" t="s">
        <v>184</v>
      </c>
      <c r="G11" s="69" t="e">
        <v>#N/A</v>
      </c>
      <c r="H11" s="26" t="e">
        <v>#N/A</v>
      </c>
      <c r="I11" s="26" t="s">
        <v>20</v>
      </c>
      <c r="J11" s="70">
        <v>1</v>
      </c>
      <c r="K11" s="71">
        <v>0</v>
      </c>
      <c r="L11" s="71">
        <v>0</v>
      </c>
      <c r="M11" s="71">
        <v>0</v>
      </c>
      <c r="N11" s="71">
        <v>0</v>
      </c>
      <c r="O11" s="71">
        <v>0</v>
      </c>
      <c r="P11" s="71">
        <v>0</v>
      </c>
      <c r="Q11" s="71">
        <v>0</v>
      </c>
      <c r="R11" s="71">
        <v>0</v>
      </c>
      <c r="S11" s="91"/>
      <c r="T11" s="92">
        <v>699900</v>
      </c>
      <c r="U11" s="92">
        <v>951900</v>
      </c>
      <c r="V11" s="22" t="s">
        <v>25</v>
      </c>
      <c r="W11" s="72" t="s">
        <v>25</v>
      </c>
      <c r="X11" s="30" t="s">
        <v>25</v>
      </c>
      <c r="Y11" s="29" t="s">
        <v>25</v>
      </c>
      <c r="Z11" s="29" t="s">
        <v>24</v>
      </c>
      <c r="AA11" s="30" t="s">
        <v>24</v>
      </c>
      <c r="AB11" s="1" t="s">
        <v>24</v>
      </c>
      <c r="AE11" s="93">
        <f>MIN(T11:AB11)</f>
        <v>699900</v>
      </c>
      <c r="AF11" s="29">
        <v>825900</v>
      </c>
      <c r="AG11" s="94">
        <v>156921</v>
      </c>
      <c r="AH11" s="29">
        <v>982821</v>
      </c>
    </row>
    <row r="12" spans="1:60" x14ac:dyDescent="0.3">
      <c r="A12" s="22">
        <v>10</v>
      </c>
      <c r="B12" s="23">
        <v>1041518072</v>
      </c>
      <c r="C12" s="24" t="s">
        <v>20</v>
      </c>
      <c r="D12" s="25" t="s">
        <v>185</v>
      </c>
      <c r="E12" s="26" t="s">
        <v>22</v>
      </c>
      <c r="F12" s="27" t="s">
        <v>185</v>
      </c>
      <c r="G12" s="69" t="e">
        <v>#N/A</v>
      </c>
      <c r="H12" s="26" t="e">
        <v>#N/A</v>
      </c>
      <c r="I12" s="26" t="s">
        <v>20</v>
      </c>
      <c r="J12" s="70">
        <v>1</v>
      </c>
      <c r="K12" s="71">
        <v>0</v>
      </c>
      <c r="L12" s="71">
        <v>0</v>
      </c>
      <c r="M12" s="71">
        <v>0</v>
      </c>
      <c r="N12" s="71">
        <v>0</v>
      </c>
      <c r="O12" s="71">
        <v>0</v>
      </c>
      <c r="P12" s="71">
        <v>0</v>
      </c>
      <c r="Q12" s="71">
        <v>0</v>
      </c>
      <c r="R12" s="71">
        <v>0</v>
      </c>
      <c r="S12" s="91"/>
      <c r="T12" s="92">
        <v>27900</v>
      </c>
      <c r="U12" s="92">
        <v>21800</v>
      </c>
      <c r="V12" s="22" t="s">
        <v>25</v>
      </c>
      <c r="W12" s="72" t="s">
        <v>25</v>
      </c>
      <c r="X12" s="30" t="s">
        <v>25</v>
      </c>
      <c r="Y12" s="29" t="s">
        <v>25</v>
      </c>
      <c r="Z12" s="29" t="s">
        <v>24</v>
      </c>
      <c r="AA12" s="30" t="s">
        <v>24</v>
      </c>
      <c r="AB12" s="1" t="s">
        <v>24</v>
      </c>
      <c r="AE12" s="93">
        <f t="shared" si="0"/>
        <v>21800</v>
      </c>
      <c r="AF12" s="29">
        <v>24850</v>
      </c>
      <c r="AG12" s="94">
        <v>4721.5</v>
      </c>
      <c r="AH12" s="29">
        <v>29571.5</v>
      </c>
    </row>
    <row r="13" spans="1:60" ht="33" x14ac:dyDescent="0.3">
      <c r="A13" s="22">
        <v>11</v>
      </c>
      <c r="B13" s="23">
        <v>1041518074</v>
      </c>
      <c r="C13" s="24" t="s">
        <v>20</v>
      </c>
      <c r="D13" s="25" t="s">
        <v>186</v>
      </c>
      <c r="E13" s="26" t="s">
        <v>22</v>
      </c>
      <c r="F13" s="27" t="s">
        <v>186</v>
      </c>
      <c r="G13" s="69" t="e">
        <v>#N/A</v>
      </c>
      <c r="H13" s="26" t="e">
        <v>#N/A</v>
      </c>
      <c r="I13" s="26" t="s">
        <v>20</v>
      </c>
      <c r="J13" s="70">
        <v>1</v>
      </c>
      <c r="K13" s="71">
        <v>0</v>
      </c>
      <c r="L13" s="71">
        <v>0</v>
      </c>
      <c r="M13" s="71">
        <v>0</v>
      </c>
      <c r="N13" s="71">
        <v>0</v>
      </c>
      <c r="O13" s="71">
        <v>0</v>
      </c>
      <c r="P13" s="71">
        <v>0</v>
      </c>
      <c r="Q13" s="71">
        <v>0</v>
      </c>
      <c r="R13" s="71">
        <v>0</v>
      </c>
      <c r="S13" s="91"/>
      <c r="T13" s="92" t="s">
        <v>176</v>
      </c>
      <c r="U13" s="92" t="s">
        <v>176</v>
      </c>
      <c r="V13" s="22" t="s">
        <v>25</v>
      </c>
      <c r="W13" s="72">
        <v>7500</v>
      </c>
      <c r="X13" s="30" t="s">
        <v>25</v>
      </c>
      <c r="Y13" s="29" t="s">
        <v>25</v>
      </c>
      <c r="Z13" s="29" t="s">
        <v>24</v>
      </c>
      <c r="AA13" s="30" t="s">
        <v>24</v>
      </c>
      <c r="AB13" s="22" t="s">
        <v>176</v>
      </c>
      <c r="AE13" s="93">
        <f t="shared" si="0"/>
        <v>7500</v>
      </c>
      <c r="AF13" s="29">
        <v>7500</v>
      </c>
      <c r="AG13" s="94">
        <v>1425</v>
      </c>
      <c r="AH13" s="29">
        <v>8925</v>
      </c>
    </row>
    <row r="14" spans="1:60" x14ac:dyDescent="0.3">
      <c r="A14" s="22">
        <v>12</v>
      </c>
      <c r="B14" s="23">
        <v>1041518077</v>
      </c>
      <c r="C14" s="24" t="s">
        <v>20</v>
      </c>
      <c r="D14" s="25" t="s">
        <v>187</v>
      </c>
      <c r="E14" s="26" t="s">
        <v>22</v>
      </c>
      <c r="F14" s="27" t="s">
        <v>187</v>
      </c>
      <c r="G14" s="69" t="e">
        <v>#N/A</v>
      </c>
      <c r="H14" s="26" t="e">
        <v>#N/A</v>
      </c>
      <c r="I14" s="26" t="s">
        <v>20</v>
      </c>
      <c r="J14" s="70">
        <v>4070.00333</v>
      </c>
      <c r="K14" s="71">
        <v>0</v>
      </c>
      <c r="L14" s="71">
        <v>0</v>
      </c>
      <c r="M14" s="71">
        <v>0</v>
      </c>
      <c r="N14" s="71">
        <v>0</v>
      </c>
      <c r="O14" s="71">
        <v>62</v>
      </c>
      <c r="P14" s="71">
        <v>5.166666666666667</v>
      </c>
      <c r="Q14" s="71">
        <v>0</v>
      </c>
      <c r="R14" s="71">
        <v>28</v>
      </c>
      <c r="S14" s="91"/>
      <c r="T14" s="92" t="s">
        <v>176</v>
      </c>
      <c r="U14" s="92" t="s">
        <v>176</v>
      </c>
      <c r="V14" s="22" t="s">
        <v>25</v>
      </c>
      <c r="W14" s="72">
        <v>7900</v>
      </c>
      <c r="X14" s="30" t="s">
        <v>25</v>
      </c>
      <c r="Y14" s="29" t="s">
        <v>25</v>
      </c>
      <c r="Z14" s="29" t="s">
        <v>24</v>
      </c>
      <c r="AA14" s="30" t="s">
        <v>24</v>
      </c>
      <c r="AB14" s="22" t="s">
        <v>176</v>
      </c>
      <c r="AE14" s="93">
        <f t="shared" si="0"/>
        <v>7900</v>
      </c>
      <c r="AF14" s="29">
        <v>7900</v>
      </c>
      <c r="AG14" s="94">
        <v>1501</v>
      </c>
      <c r="AH14" s="29">
        <v>9401</v>
      </c>
    </row>
    <row r="15" spans="1:60" x14ac:dyDescent="0.3">
      <c r="A15" s="22">
        <v>13</v>
      </c>
      <c r="B15" s="23">
        <v>1041518079</v>
      </c>
      <c r="C15" s="24" t="s">
        <v>20</v>
      </c>
      <c r="D15" s="25" t="s">
        <v>188</v>
      </c>
      <c r="E15" s="26" t="s">
        <v>22</v>
      </c>
      <c r="F15" s="27" t="s">
        <v>188</v>
      </c>
      <c r="G15" s="69" t="e">
        <v>#N/A</v>
      </c>
      <c r="H15" s="26" t="e">
        <v>#N/A</v>
      </c>
      <c r="I15" s="26" t="s">
        <v>20</v>
      </c>
      <c r="J15" s="70">
        <v>4070.0137500000001</v>
      </c>
      <c r="K15" s="71">
        <v>0</v>
      </c>
      <c r="L15" s="71">
        <v>0</v>
      </c>
      <c r="M15" s="71">
        <v>0</v>
      </c>
      <c r="N15" s="71">
        <v>0</v>
      </c>
      <c r="O15" s="71">
        <v>25</v>
      </c>
      <c r="P15" s="71">
        <v>2.0833333333333335</v>
      </c>
      <c r="Q15" s="71">
        <v>0</v>
      </c>
      <c r="R15" s="71">
        <v>7</v>
      </c>
      <c r="S15" s="91"/>
      <c r="T15" s="92" t="s">
        <v>176</v>
      </c>
      <c r="U15" s="92" t="s">
        <v>176</v>
      </c>
      <c r="V15" s="22" t="s">
        <v>25</v>
      </c>
      <c r="W15" s="72" t="s">
        <v>25</v>
      </c>
      <c r="X15" s="30" t="s">
        <v>25</v>
      </c>
      <c r="Y15" s="29" t="s">
        <v>25</v>
      </c>
      <c r="Z15" s="29">
        <v>3395</v>
      </c>
      <c r="AA15" s="30" t="s">
        <v>24</v>
      </c>
      <c r="AB15" s="22" t="s">
        <v>176</v>
      </c>
      <c r="AE15" s="93">
        <f t="shared" si="0"/>
        <v>3395</v>
      </c>
      <c r="AF15" s="29">
        <v>3395</v>
      </c>
      <c r="AG15" s="94">
        <v>645.04999999999995</v>
      </c>
      <c r="AH15" s="29">
        <v>4040.05</v>
      </c>
    </row>
    <row r="16" spans="1:60" ht="33" x14ac:dyDescent="0.3">
      <c r="A16" s="22">
        <v>14</v>
      </c>
      <c r="B16" s="23">
        <v>1041518081</v>
      </c>
      <c r="C16" s="24" t="s">
        <v>20</v>
      </c>
      <c r="D16" s="25" t="s">
        <v>189</v>
      </c>
      <c r="E16" s="26" t="s">
        <v>22</v>
      </c>
      <c r="F16" s="27" t="s">
        <v>189</v>
      </c>
      <c r="G16" s="69" t="e">
        <v>#N/A</v>
      </c>
      <c r="H16" s="26" t="e">
        <v>#N/A</v>
      </c>
      <c r="I16" s="26" t="s">
        <v>20</v>
      </c>
      <c r="J16" s="70">
        <v>1</v>
      </c>
      <c r="K16" s="71">
        <v>0</v>
      </c>
      <c r="L16" s="71">
        <v>0</v>
      </c>
      <c r="M16" s="71">
        <v>0</v>
      </c>
      <c r="N16" s="71">
        <v>0</v>
      </c>
      <c r="O16" s="71">
        <v>0</v>
      </c>
      <c r="P16" s="71">
        <v>0</v>
      </c>
      <c r="Q16" s="71">
        <v>0</v>
      </c>
      <c r="R16" s="71">
        <v>0</v>
      </c>
      <c r="S16" s="91"/>
      <c r="T16" s="92" t="s">
        <v>176</v>
      </c>
      <c r="U16" s="92" t="s">
        <v>176</v>
      </c>
      <c r="V16" s="22" t="s">
        <v>25</v>
      </c>
      <c r="W16" s="72">
        <v>10500</v>
      </c>
      <c r="X16" s="30" t="s">
        <v>25</v>
      </c>
      <c r="Y16" s="29" t="s">
        <v>25</v>
      </c>
      <c r="Z16" s="29" t="s">
        <v>24</v>
      </c>
      <c r="AA16" s="30" t="s">
        <v>24</v>
      </c>
      <c r="AB16" s="22" t="s">
        <v>176</v>
      </c>
      <c r="AE16" s="93">
        <f t="shared" si="0"/>
        <v>10500</v>
      </c>
      <c r="AF16" s="29">
        <v>10500</v>
      </c>
      <c r="AG16" s="94">
        <v>1995</v>
      </c>
      <c r="AH16" s="29">
        <v>12495</v>
      </c>
    </row>
    <row r="17" spans="1:60" x14ac:dyDescent="0.3">
      <c r="A17" s="22">
        <v>15</v>
      </c>
      <c r="B17" s="31">
        <v>1111000299</v>
      </c>
      <c r="C17" s="32"/>
      <c r="D17" s="33" t="s">
        <v>190</v>
      </c>
      <c r="E17" s="60"/>
      <c r="F17" s="33" t="s">
        <v>190</v>
      </c>
      <c r="G17" s="59"/>
      <c r="H17" s="32"/>
      <c r="I17" s="32"/>
      <c r="J17" s="32"/>
      <c r="K17" s="32"/>
      <c r="L17" s="32"/>
      <c r="M17" s="32"/>
      <c r="N17" s="32"/>
      <c r="O17" s="32"/>
      <c r="P17" s="32"/>
      <c r="Q17" s="32"/>
      <c r="R17" s="32"/>
      <c r="S17" s="97"/>
      <c r="T17" s="92" t="s">
        <v>176</v>
      </c>
      <c r="U17" s="92" t="s">
        <v>176</v>
      </c>
      <c r="V17" s="22" t="s">
        <v>25</v>
      </c>
      <c r="W17" s="72">
        <v>22900</v>
      </c>
      <c r="X17" s="30" t="s">
        <v>25</v>
      </c>
      <c r="Y17" s="29" t="s">
        <v>25</v>
      </c>
      <c r="Z17" s="29" t="s">
        <v>24</v>
      </c>
      <c r="AA17" s="30" t="s">
        <v>24</v>
      </c>
      <c r="AB17" s="22" t="s">
        <v>176</v>
      </c>
      <c r="AE17" s="93">
        <f t="shared" si="0"/>
        <v>22900</v>
      </c>
      <c r="AF17" s="29">
        <v>22900</v>
      </c>
      <c r="AG17" s="94">
        <v>4351</v>
      </c>
      <c r="AH17" s="29">
        <v>27251</v>
      </c>
    </row>
    <row r="18" spans="1:60" ht="33" x14ac:dyDescent="0.3">
      <c r="A18" s="22">
        <v>16</v>
      </c>
      <c r="B18" s="23">
        <v>1206610900</v>
      </c>
      <c r="C18" s="24" t="s">
        <v>20</v>
      </c>
      <c r="D18" s="25" t="s">
        <v>191</v>
      </c>
      <c r="E18" s="26" t="s">
        <v>192</v>
      </c>
      <c r="F18" s="27" t="s">
        <v>191</v>
      </c>
      <c r="G18" s="69" t="e">
        <v>#N/A</v>
      </c>
      <c r="H18" s="26" t="e">
        <v>#N/A</v>
      </c>
      <c r="I18" s="26" t="s">
        <v>20</v>
      </c>
      <c r="J18" s="70">
        <v>1</v>
      </c>
      <c r="K18" s="71">
        <v>0</v>
      </c>
      <c r="L18" s="71">
        <v>0</v>
      </c>
      <c r="M18" s="71">
        <v>0</v>
      </c>
      <c r="N18" s="71">
        <v>0</v>
      </c>
      <c r="O18" s="71">
        <v>0</v>
      </c>
      <c r="P18" s="71">
        <v>0</v>
      </c>
      <c r="Q18" s="71">
        <v>0</v>
      </c>
      <c r="R18" s="71">
        <v>0</v>
      </c>
      <c r="S18" s="91"/>
      <c r="T18" s="92" t="s">
        <v>176</v>
      </c>
      <c r="U18" s="92" t="s">
        <v>176</v>
      </c>
      <c r="V18" s="22" t="s">
        <v>25</v>
      </c>
      <c r="W18" s="72" t="s">
        <v>25</v>
      </c>
      <c r="X18" s="98">
        <v>4000</v>
      </c>
      <c r="Y18" s="29" t="s">
        <v>25</v>
      </c>
      <c r="Z18" s="29" t="s">
        <v>24</v>
      </c>
      <c r="AA18" s="30" t="s">
        <v>24</v>
      </c>
      <c r="AB18" s="22" t="s">
        <v>176</v>
      </c>
      <c r="AE18" s="93">
        <f t="shared" si="0"/>
        <v>4000</v>
      </c>
      <c r="AF18" s="29">
        <v>4000</v>
      </c>
      <c r="AG18" s="94">
        <v>760</v>
      </c>
      <c r="AH18" s="29">
        <v>4760</v>
      </c>
    </row>
    <row r="19" spans="1:60" ht="33" x14ac:dyDescent="0.3">
      <c r="A19" s="22">
        <v>17</v>
      </c>
      <c r="B19" s="23">
        <v>1206610901</v>
      </c>
      <c r="C19" s="24" t="s">
        <v>20</v>
      </c>
      <c r="D19" s="25" t="s">
        <v>193</v>
      </c>
      <c r="E19" s="26" t="s">
        <v>192</v>
      </c>
      <c r="F19" s="27" t="s">
        <v>193</v>
      </c>
      <c r="G19" s="69" t="e">
        <v>#N/A</v>
      </c>
      <c r="H19" s="26" t="e">
        <v>#N/A</v>
      </c>
      <c r="I19" s="26" t="s">
        <v>20</v>
      </c>
      <c r="J19" s="70">
        <v>1</v>
      </c>
      <c r="K19" s="71">
        <v>0</v>
      </c>
      <c r="L19" s="71">
        <v>0</v>
      </c>
      <c r="M19" s="71">
        <v>0</v>
      </c>
      <c r="N19" s="71">
        <v>0</v>
      </c>
      <c r="O19" s="71">
        <v>0</v>
      </c>
      <c r="P19" s="71">
        <v>0</v>
      </c>
      <c r="Q19" s="71">
        <v>0</v>
      </c>
      <c r="R19" s="71">
        <v>0</v>
      </c>
      <c r="S19" s="91"/>
      <c r="T19" s="92">
        <v>20400</v>
      </c>
      <c r="U19" s="92" t="s">
        <v>24</v>
      </c>
      <c r="V19" s="22" t="s">
        <v>25</v>
      </c>
      <c r="W19" s="72" t="s">
        <v>25</v>
      </c>
      <c r="X19" s="30" t="s">
        <v>25</v>
      </c>
      <c r="Y19" s="29" t="s">
        <v>25</v>
      </c>
      <c r="Z19" s="29" t="s">
        <v>24</v>
      </c>
      <c r="AA19" s="30" t="s">
        <v>24</v>
      </c>
      <c r="AB19" s="1" t="s">
        <v>24</v>
      </c>
      <c r="AE19" s="93">
        <f t="shared" si="0"/>
        <v>20400</v>
      </c>
      <c r="AF19" s="29">
        <v>20400</v>
      </c>
      <c r="AG19" s="94">
        <v>3876</v>
      </c>
      <c r="AH19" s="29">
        <v>24276</v>
      </c>
    </row>
    <row r="20" spans="1:60" x14ac:dyDescent="0.3">
      <c r="A20" s="22">
        <v>18</v>
      </c>
      <c r="B20" s="23">
        <v>1111000151</v>
      </c>
      <c r="C20" s="24" t="s">
        <v>20</v>
      </c>
      <c r="D20" s="25" t="s">
        <v>194</v>
      </c>
      <c r="E20" s="26" t="s">
        <v>195</v>
      </c>
      <c r="F20" s="27" t="s">
        <v>194</v>
      </c>
      <c r="G20" s="69" t="e">
        <v>#N/A</v>
      </c>
      <c r="H20" s="26" t="e">
        <v>#N/A</v>
      </c>
      <c r="I20" s="26" t="s">
        <v>20</v>
      </c>
      <c r="J20" s="70">
        <v>10203</v>
      </c>
      <c r="K20" s="71">
        <v>0</v>
      </c>
      <c r="L20" s="71">
        <v>3</v>
      </c>
      <c r="M20" s="71">
        <v>0</v>
      </c>
      <c r="N20" s="71">
        <v>0</v>
      </c>
      <c r="O20" s="71">
        <v>0</v>
      </c>
      <c r="P20" s="71">
        <v>0</v>
      </c>
      <c r="Q20" s="71">
        <v>0</v>
      </c>
      <c r="R20" s="71">
        <v>0</v>
      </c>
      <c r="S20" s="91"/>
      <c r="T20" s="92" t="s">
        <v>176</v>
      </c>
      <c r="U20" s="92" t="s">
        <v>176</v>
      </c>
      <c r="V20" s="22" t="s">
        <v>25</v>
      </c>
      <c r="W20" s="72">
        <v>10900</v>
      </c>
      <c r="X20" s="30" t="s">
        <v>25</v>
      </c>
      <c r="Y20" s="29">
        <v>8845</v>
      </c>
      <c r="Z20" s="29" t="s">
        <v>24</v>
      </c>
      <c r="AA20" s="30" t="s">
        <v>24</v>
      </c>
      <c r="AB20" s="22" t="s">
        <v>176</v>
      </c>
      <c r="AE20" s="93">
        <f t="shared" si="0"/>
        <v>8845</v>
      </c>
      <c r="AF20" s="29">
        <v>9872.5</v>
      </c>
      <c r="AG20" s="94">
        <v>1875.7750000000001</v>
      </c>
      <c r="AH20" s="29">
        <v>11748.275</v>
      </c>
    </row>
    <row r="21" spans="1:60" x14ac:dyDescent="0.3">
      <c r="A21" s="22">
        <v>19</v>
      </c>
      <c r="B21" s="23">
        <v>1121550118</v>
      </c>
      <c r="C21" s="24" t="s">
        <v>20</v>
      </c>
      <c r="D21" s="25" t="s">
        <v>196</v>
      </c>
      <c r="E21" s="26" t="s">
        <v>22</v>
      </c>
      <c r="F21" s="27" t="s">
        <v>196</v>
      </c>
      <c r="G21" s="69" t="e">
        <v>#N/A</v>
      </c>
      <c r="H21" s="26" t="e">
        <v>#N/A</v>
      </c>
      <c r="I21" s="26" t="s">
        <v>20</v>
      </c>
      <c r="J21" s="70">
        <v>72646.899999999994</v>
      </c>
      <c r="K21" s="71">
        <v>0</v>
      </c>
      <c r="L21" s="71">
        <v>200</v>
      </c>
      <c r="M21" s="71">
        <v>240</v>
      </c>
      <c r="N21" s="71">
        <v>20</v>
      </c>
      <c r="O21" s="71">
        <v>2</v>
      </c>
      <c r="P21" s="71">
        <v>0.16666666666666666</v>
      </c>
      <c r="Q21" s="71">
        <v>0</v>
      </c>
      <c r="R21" s="71">
        <v>0</v>
      </c>
      <c r="S21" s="91"/>
      <c r="T21" s="92" t="s">
        <v>176</v>
      </c>
      <c r="U21" s="92" t="s">
        <v>176</v>
      </c>
      <c r="V21" s="22" t="s">
        <v>25</v>
      </c>
      <c r="W21" s="72" t="s">
        <v>25</v>
      </c>
      <c r="X21" s="30" t="s">
        <v>25</v>
      </c>
      <c r="Y21" s="29" t="s">
        <v>25</v>
      </c>
      <c r="Z21" s="29">
        <v>1092</v>
      </c>
      <c r="AA21" s="30" t="s">
        <v>24</v>
      </c>
      <c r="AB21" s="22" t="s">
        <v>176</v>
      </c>
      <c r="AE21" s="93">
        <f t="shared" si="0"/>
        <v>1092</v>
      </c>
      <c r="AF21" s="29">
        <v>1092</v>
      </c>
      <c r="AG21" s="94">
        <v>207.48</v>
      </c>
      <c r="AH21" s="29">
        <v>1299.48</v>
      </c>
    </row>
    <row r="22" spans="1:60" x14ac:dyDescent="0.3">
      <c r="A22" s="22">
        <v>20</v>
      </c>
      <c r="B22" s="23">
        <v>1121550127</v>
      </c>
      <c r="C22" s="24" t="s">
        <v>20</v>
      </c>
      <c r="D22" s="25" t="s">
        <v>197</v>
      </c>
      <c r="E22" s="26" t="s">
        <v>22</v>
      </c>
      <c r="F22" s="27" t="s">
        <v>197</v>
      </c>
      <c r="G22" s="69" t="e">
        <v>#N/A</v>
      </c>
      <c r="H22" s="26" t="e">
        <v>#N/A</v>
      </c>
      <c r="I22" s="26" t="s">
        <v>20</v>
      </c>
      <c r="J22" s="70">
        <v>39103.599999999999</v>
      </c>
      <c r="K22" s="71">
        <v>0</v>
      </c>
      <c r="L22" s="71">
        <v>0</v>
      </c>
      <c r="M22" s="71">
        <v>0</v>
      </c>
      <c r="N22" s="71">
        <v>0</v>
      </c>
      <c r="O22" s="71">
        <v>0</v>
      </c>
      <c r="P22" s="71">
        <v>0</v>
      </c>
      <c r="Q22" s="71">
        <v>0</v>
      </c>
      <c r="R22" s="71">
        <v>0</v>
      </c>
      <c r="S22" s="91"/>
      <c r="T22" s="92" t="s">
        <v>176</v>
      </c>
      <c r="U22" s="92" t="s">
        <v>176</v>
      </c>
      <c r="V22" s="22" t="s">
        <v>25</v>
      </c>
      <c r="W22" s="72" t="s">
        <v>25</v>
      </c>
      <c r="X22" s="30" t="s">
        <v>25</v>
      </c>
      <c r="Y22" s="29" t="s">
        <v>25</v>
      </c>
      <c r="Z22" s="29">
        <v>1092</v>
      </c>
      <c r="AA22" s="30" t="s">
        <v>24</v>
      </c>
      <c r="AB22" s="22" t="s">
        <v>176</v>
      </c>
      <c r="AE22" s="93">
        <f t="shared" si="0"/>
        <v>1092</v>
      </c>
      <c r="AF22" s="29">
        <v>1092</v>
      </c>
      <c r="AG22" s="94">
        <v>207.48</v>
      </c>
      <c r="AH22" s="29">
        <v>1299.48</v>
      </c>
    </row>
    <row r="23" spans="1:60" x14ac:dyDescent="0.3">
      <c r="A23" s="22">
        <v>21</v>
      </c>
      <c r="B23" s="23">
        <v>10420990100</v>
      </c>
      <c r="C23" s="24" t="s">
        <v>20</v>
      </c>
      <c r="D23" s="25" t="s">
        <v>198</v>
      </c>
      <c r="E23" s="26" t="s">
        <v>22</v>
      </c>
      <c r="F23" s="27" t="s">
        <v>198</v>
      </c>
      <c r="G23" s="69" t="e">
        <v>#N/A</v>
      </c>
      <c r="H23" s="26" t="e">
        <v>#N/A</v>
      </c>
      <c r="I23" s="26" t="s">
        <v>20</v>
      </c>
      <c r="J23" s="70">
        <v>3342.94</v>
      </c>
      <c r="K23" s="71">
        <v>0</v>
      </c>
      <c r="L23" s="71">
        <v>0</v>
      </c>
      <c r="M23" s="71">
        <v>0</v>
      </c>
      <c r="N23" s="71">
        <v>0</v>
      </c>
      <c r="O23" s="71">
        <v>10</v>
      </c>
      <c r="P23" s="71">
        <v>0.83333333333333337</v>
      </c>
      <c r="Q23" s="71">
        <v>0</v>
      </c>
      <c r="R23" s="71">
        <v>0</v>
      </c>
      <c r="S23" s="91"/>
      <c r="T23" s="92" t="s">
        <v>176</v>
      </c>
      <c r="U23" s="92" t="s">
        <v>176</v>
      </c>
      <c r="V23" s="22" t="s">
        <v>25</v>
      </c>
      <c r="W23" s="72">
        <v>15900</v>
      </c>
      <c r="X23" s="30" t="s">
        <v>25</v>
      </c>
      <c r="Y23" s="29" t="s">
        <v>25</v>
      </c>
      <c r="Z23" s="29" t="s">
        <v>24</v>
      </c>
      <c r="AA23" s="30" t="s">
        <v>24</v>
      </c>
      <c r="AB23" s="22" t="s">
        <v>176</v>
      </c>
      <c r="AE23" s="93">
        <f t="shared" si="0"/>
        <v>15900</v>
      </c>
      <c r="AF23" s="29">
        <v>15900</v>
      </c>
      <c r="AG23" s="94">
        <v>3021</v>
      </c>
      <c r="AH23" s="29">
        <v>18921</v>
      </c>
    </row>
    <row r="24" spans="1:60" x14ac:dyDescent="0.3">
      <c r="A24" s="34">
        <v>22</v>
      </c>
      <c r="B24" s="35">
        <v>11110005152</v>
      </c>
      <c r="C24" s="36" t="s">
        <v>20</v>
      </c>
      <c r="D24" s="37" t="s">
        <v>199</v>
      </c>
      <c r="E24" s="38" t="s">
        <v>22</v>
      </c>
      <c r="F24" s="39" t="s">
        <v>199</v>
      </c>
      <c r="G24" s="99" t="e">
        <v>#N/A</v>
      </c>
      <c r="H24" s="38" t="e">
        <v>#N/A</v>
      </c>
      <c r="I24" s="38" t="s">
        <v>20</v>
      </c>
      <c r="J24" s="100">
        <v>1</v>
      </c>
      <c r="K24" s="101">
        <v>0</v>
      </c>
      <c r="L24" s="101">
        <v>0</v>
      </c>
      <c r="M24" s="101">
        <v>0</v>
      </c>
      <c r="N24" s="101">
        <v>0</v>
      </c>
      <c r="O24" s="101">
        <v>0</v>
      </c>
      <c r="P24" s="101">
        <v>0</v>
      </c>
      <c r="Q24" s="101">
        <v>0</v>
      </c>
      <c r="R24" s="101">
        <v>0</v>
      </c>
      <c r="S24" s="102"/>
      <c r="T24" s="103" t="s">
        <v>176</v>
      </c>
      <c r="U24" s="103" t="s">
        <v>176</v>
      </c>
      <c r="V24" s="34" t="s">
        <v>25</v>
      </c>
      <c r="W24" s="77">
        <v>10900</v>
      </c>
      <c r="X24" s="42" t="s">
        <v>25</v>
      </c>
      <c r="Y24" s="41" t="s">
        <v>25</v>
      </c>
      <c r="Z24" s="41" t="s">
        <v>24</v>
      </c>
      <c r="AA24" s="42" t="s">
        <v>24</v>
      </c>
      <c r="AB24" s="34" t="s">
        <v>176</v>
      </c>
      <c r="AE24" s="104">
        <f t="shared" si="0"/>
        <v>10900</v>
      </c>
      <c r="AF24" s="41">
        <v>10900</v>
      </c>
      <c r="AG24" s="105">
        <v>2071</v>
      </c>
      <c r="AH24" s="41">
        <v>12971</v>
      </c>
    </row>
    <row r="25" spans="1:60" s="107" customFormat="1" x14ac:dyDescent="0.3">
      <c r="A25" s="22">
        <v>23</v>
      </c>
      <c r="B25" s="24">
        <v>1125561669</v>
      </c>
      <c r="C25" s="24" t="s">
        <v>20</v>
      </c>
      <c r="D25" s="25" t="s">
        <v>200</v>
      </c>
      <c r="E25" s="26" t="s">
        <v>22</v>
      </c>
      <c r="F25" s="27" t="s">
        <v>200</v>
      </c>
      <c r="G25" s="69" t="e">
        <v>#N/A</v>
      </c>
      <c r="H25" s="26" t="e">
        <v>#N/A</v>
      </c>
      <c r="I25" s="26" t="s">
        <v>20</v>
      </c>
      <c r="J25" s="70">
        <v>1</v>
      </c>
      <c r="K25" s="71">
        <v>0</v>
      </c>
      <c r="L25" s="71">
        <v>0</v>
      </c>
      <c r="M25" s="71">
        <v>0</v>
      </c>
      <c r="N25" s="71">
        <v>0</v>
      </c>
      <c r="O25" s="71">
        <v>0</v>
      </c>
      <c r="P25" s="71">
        <v>0</v>
      </c>
      <c r="Q25" s="71">
        <v>0</v>
      </c>
      <c r="R25" s="71">
        <v>0</v>
      </c>
      <c r="S25" s="14"/>
      <c r="T25" s="106" t="s">
        <v>176</v>
      </c>
      <c r="U25" s="106" t="s">
        <v>176</v>
      </c>
      <c r="V25" s="22" t="s">
        <v>25</v>
      </c>
      <c r="W25" s="72">
        <v>9600</v>
      </c>
      <c r="X25" s="30" t="s">
        <v>25</v>
      </c>
      <c r="Y25" s="29" t="s">
        <v>25</v>
      </c>
      <c r="Z25" s="29" t="s">
        <v>24</v>
      </c>
      <c r="AA25" s="30" t="s">
        <v>24</v>
      </c>
      <c r="AB25" s="22" t="s">
        <v>176</v>
      </c>
      <c r="AC25" s="43"/>
      <c r="AD25" s="43"/>
      <c r="AE25" s="93">
        <f t="shared" si="0"/>
        <v>9600</v>
      </c>
      <c r="AF25" s="29">
        <v>9600</v>
      </c>
      <c r="AG25" s="29">
        <v>1824</v>
      </c>
      <c r="AH25" s="29">
        <v>11424</v>
      </c>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row>
    <row r="26" spans="1:60" s="85" customFormat="1" x14ac:dyDescent="0.3">
      <c r="A26" s="49"/>
      <c r="B26" s="45"/>
      <c r="C26" s="46"/>
      <c r="D26" s="47"/>
      <c r="E26" s="48"/>
      <c r="F26" s="47"/>
      <c r="G26" s="45"/>
      <c r="H26" s="46"/>
      <c r="I26" s="46"/>
      <c r="J26" s="46"/>
      <c r="K26" s="46"/>
      <c r="L26" s="46"/>
      <c r="M26" s="46"/>
      <c r="N26" s="46"/>
      <c r="O26" s="46"/>
      <c r="P26" s="46"/>
      <c r="Q26" s="46"/>
      <c r="R26" s="46"/>
      <c r="S26" s="43"/>
      <c r="T26" s="49"/>
      <c r="U26" s="49"/>
      <c r="V26" s="49"/>
      <c r="W26" s="79"/>
      <c r="X26" s="51"/>
      <c r="Y26" s="52"/>
      <c r="Z26" s="52"/>
      <c r="AA26" s="52"/>
      <c r="AB26" s="43"/>
      <c r="AC26" s="43"/>
      <c r="AD26" s="43"/>
      <c r="AG26"/>
      <c r="AI26" s="86"/>
    </row>
    <row r="27" spans="1:60" s="85" customFormat="1" x14ac:dyDescent="0.3">
      <c r="A27" s="49"/>
      <c r="B27" s="45"/>
      <c r="C27" s="46"/>
      <c r="D27" s="47"/>
      <c r="E27" s="48"/>
      <c r="F27" s="47"/>
      <c r="G27" s="45"/>
      <c r="H27" s="46"/>
      <c r="I27" s="46"/>
      <c r="J27" s="46"/>
      <c r="K27" s="46"/>
      <c r="L27" s="46"/>
      <c r="M27" s="46"/>
      <c r="N27" s="46"/>
      <c r="O27" s="46"/>
      <c r="P27" s="46"/>
      <c r="Q27" s="46"/>
      <c r="R27" s="46"/>
      <c r="S27" s="43"/>
      <c r="T27" s="49"/>
      <c r="U27" s="49"/>
      <c r="V27" s="49"/>
      <c r="W27" s="79"/>
      <c r="X27" s="51"/>
      <c r="Y27" s="52"/>
      <c r="Z27" s="52"/>
      <c r="AA27" s="52"/>
      <c r="AB27" s="43"/>
      <c r="AC27" s="43"/>
      <c r="AG27"/>
      <c r="AI27" s="86"/>
    </row>
    <row r="28" spans="1:60" s="85" customFormat="1" x14ac:dyDescent="0.3">
      <c r="A28" s="49"/>
      <c r="B28" s="45"/>
      <c r="C28" s="46"/>
      <c r="D28" s="47"/>
      <c r="E28" s="48"/>
      <c r="F28" s="47"/>
      <c r="G28" s="45"/>
      <c r="H28" s="46"/>
      <c r="I28" s="46"/>
      <c r="J28" s="46"/>
      <c r="K28" s="46"/>
      <c r="L28" s="46"/>
      <c r="M28" s="46"/>
      <c r="N28" s="46"/>
      <c r="O28" s="46"/>
      <c r="P28" s="46"/>
      <c r="Q28" s="46"/>
      <c r="R28" s="46"/>
      <c r="S28" s="43"/>
      <c r="T28" s="49"/>
      <c r="U28" s="49"/>
      <c r="V28" s="49"/>
      <c r="W28" s="79"/>
      <c r="X28" s="51"/>
      <c r="Y28" s="52"/>
      <c r="Z28" s="52"/>
      <c r="AA28" s="52"/>
      <c r="AB28" s="43"/>
      <c r="AC28" s="43"/>
    </row>
    <row r="29" spans="1:60" s="85" customFormat="1" x14ac:dyDescent="0.3">
      <c r="A29" s="49"/>
      <c r="B29" s="45"/>
      <c r="C29" s="46"/>
      <c r="D29" s="47"/>
      <c r="E29" s="48"/>
      <c r="F29" s="47"/>
      <c r="G29" s="45"/>
      <c r="H29" s="46"/>
      <c r="I29" s="46"/>
      <c r="J29" s="46"/>
      <c r="K29" s="46"/>
      <c r="L29" s="46"/>
      <c r="M29" s="46"/>
      <c r="N29" s="46"/>
      <c r="O29" s="46"/>
      <c r="P29" s="46"/>
      <c r="Q29" s="46"/>
      <c r="R29" s="46"/>
      <c r="S29" s="43"/>
      <c r="T29" s="49"/>
      <c r="U29" s="49"/>
      <c r="V29" s="49"/>
      <c r="W29" s="79"/>
      <c r="X29" s="51"/>
      <c r="Y29" s="52"/>
      <c r="Z29" s="52"/>
      <c r="AA29" s="52"/>
      <c r="AB29" s="43"/>
      <c r="AC29" s="43"/>
    </row>
    <row r="30" spans="1:60" s="85" customFormat="1" x14ac:dyDescent="0.3">
      <c r="A30" s="49"/>
      <c r="B30" s="45"/>
      <c r="C30" s="46"/>
      <c r="D30" s="47"/>
      <c r="E30" s="48"/>
      <c r="F30" s="47"/>
      <c r="G30" s="45"/>
      <c r="H30" s="46"/>
      <c r="I30" s="46"/>
      <c r="J30" s="46"/>
      <c r="K30" s="46"/>
      <c r="L30" s="46"/>
      <c r="M30" s="46"/>
      <c r="N30" s="46"/>
      <c r="O30" s="46"/>
      <c r="P30" s="46"/>
      <c r="Q30" s="46"/>
      <c r="R30" s="46"/>
      <c r="S30" s="43"/>
      <c r="T30" s="49"/>
      <c r="U30" s="49"/>
      <c r="V30" s="49"/>
      <c r="W30" s="79"/>
      <c r="X30" s="51"/>
      <c r="Y30" s="52"/>
      <c r="Z30" s="52"/>
      <c r="AA30" s="52"/>
      <c r="AB30" s="43"/>
      <c r="AC30" s="43"/>
    </row>
    <row r="31" spans="1:60" s="85" customFormat="1" x14ac:dyDescent="0.3">
      <c r="A31" s="49"/>
      <c r="B31" s="45"/>
      <c r="C31" s="46"/>
      <c r="D31" s="47"/>
      <c r="E31" s="48"/>
      <c r="F31" s="47"/>
      <c r="G31" s="45"/>
      <c r="H31" s="46"/>
      <c r="I31" s="46"/>
      <c r="J31" s="46"/>
      <c r="K31" s="46"/>
      <c r="L31" s="46"/>
      <c r="M31" s="46"/>
      <c r="N31" s="46"/>
      <c r="O31" s="46"/>
      <c r="P31" s="46"/>
      <c r="Q31" s="46"/>
      <c r="R31" s="46"/>
      <c r="S31" s="43"/>
      <c r="T31" s="49"/>
      <c r="U31" s="49"/>
      <c r="V31" s="49"/>
      <c r="W31" s="79"/>
      <c r="X31" s="51"/>
      <c r="Y31" s="52"/>
      <c r="Z31" s="52"/>
      <c r="AA31" s="52"/>
      <c r="AB31" s="43"/>
      <c r="AC31" s="43"/>
    </row>
    <row r="32" spans="1:60" s="85" customFormat="1" x14ac:dyDescent="0.3">
      <c r="A32" s="49"/>
      <c r="B32" s="45"/>
      <c r="C32" s="46"/>
      <c r="D32" s="47"/>
      <c r="E32" s="48"/>
      <c r="F32" s="47"/>
      <c r="G32" s="45"/>
      <c r="H32" s="46"/>
      <c r="I32" s="46"/>
      <c r="J32" s="46"/>
      <c r="K32" s="46"/>
      <c r="L32" s="46"/>
      <c r="M32" s="46"/>
      <c r="N32" s="46"/>
      <c r="O32" s="46"/>
      <c r="P32" s="46"/>
      <c r="Q32" s="46"/>
      <c r="R32" s="46"/>
      <c r="S32" s="43"/>
      <c r="T32" s="49"/>
      <c r="U32" s="49"/>
      <c r="V32" s="49"/>
      <c r="W32" s="79"/>
      <c r="X32" s="51"/>
      <c r="Y32" s="52"/>
      <c r="Z32" s="52"/>
      <c r="AA32" s="52"/>
      <c r="AB32" s="43"/>
      <c r="AC32" s="43"/>
    </row>
    <row r="33" spans="1:29" s="85" customFormat="1" x14ac:dyDescent="0.3">
      <c r="A33" s="49"/>
      <c r="B33" s="45"/>
      <c r="C33" s="46"/>
      <c r="D33" s="47"/>
      <c r="E33" s="48"/>
      <c r="F33" s="47"/>
      <c r="G33" s="45"/>
      <c r="H33" s="46"/>
      <c r="I33" s="46"/>
      <c r="J33" s="46"/>
      <c r="K33" s="46"/>
      <c r="L33" s="46"/>
      <c r="M33" s="46"/>
      <c r="N33" s="46"/>
      <c r="O33" s="46"/>
      <c r="P33" s="46"/>
      <c r="Q33" s="46"/>
      <c r="R33" s="46"/>
      <c r="S33" s="43"/>
      <c r="T33" s="49"/>
      <c r="U33" s="49"/>
      <c r="V33" s="49"/>
      <c r="W33" s="79"/>
      <c r="X33" s="51"/>
      <c r="Y33" s="52"/>
      <c r="Z33" s="52"/>
      <c r="AA33" s="52"/>
      <c r="AB33" s="43"/>
      <c r="AC33" s="43"/>
    </row>
    <row r="34" spans="1:29" s="85" customFormat="1" x14ac:dyDescent="0.3">
      <c r="A34" s="49"/>
      <c r="B34" s="45"/>
      <c r="C34" s="46"/>
      <c r="D34" s="47"/>
      <c r="E34" s="48"/>
      <c r="F34" s="47"/>
      <c r="G34" s="45"/>
      <c r="H34" s="46"/>
      <c r="I34" s="46"/>
      <c r="J34" s="46"/>
      <c r="K34" s="46"/>
      <c r="L34" s="46"/>
      <c r="M34" s="46"/>
      <c r="N34" s="46"/>
      <c r="O34" s="46"/>
      <c r="P34" s="46"/>
      <c r="Q34" s="46"/>
      <c r="R34" s="46"/>
      <c r="S34" s="43"/>
      <c r="T34" s="49"/>
      <c r="U34" s="49"/>
      <c r="V34" s="49"/>
      <c r="W34" s="79"/>
      <c r="X34" s="51"/>
      <c r="Y34" s="52"/>
      <c r="Z34" s="52"/>
      <c r="AA34" s="52"/>
      <c r="AB34" s="43"/>
      <c r="AC34" s="43"/>
    </row>
    <row r="35" spans="1:29" s="85" customFormat="1" x14ac:dyDescent="0.3">
      <c r="A35" s="49"/>
      <c r="B35" s="45"/>
      <c r="C35" s="46"/>
      <c r="D35" s="47"/>
      <c r="E35" s="48"/>
      <c r="F35" s="47"/>
      <c r="G35" s="45"/>
      <c r="H35" s="46"/>
      <c r="I35" s="46"/>
      <c r="J35" s="46"/>
      <c r="K35" s="46"/>
      <c r="L35" s="46"/>
      <c r="M35" s="46"/>
      <c r="N35" s="46"/>
      <c r="O35" s="46"/>
      <c r="P35" s="46"/>
      <c r="Q35" s="46"/>
      <c r="R35" s="46"/>
      <c r="S35" s="43"/>
      <c r="T35" s="49"/>
      <c r="U35" s="49"/>
      <c r="V35" s="49"/>
      <c r="W35" s="79"/>
      <c r="X35" s="51"/>
      <c r="Y35" s="52"/>
      <c r="Z35" s="52"/>
      <c r="AA35" s="52"/>
      <c r="AB35" s="43"/>
      <c r="AC35" s="43"/>
    </row>
    <row r="36" spans="1:29" s="85" customFormat="1" x14ac:dyDescent="0.3">
      <c r="A36" s="49"/>
      <c r="B36" s="45"/>
      <c r="C36" s="46"/>
      <c r="D36" s="47"/>
      <c r="E36" s="48"/>
      <c r="F36" s="47"/>
      <c r="G36" s="45"/>
      <c r="H36" s="46"/>
      <c r="I36" s="46"/>
      <c r="J36" s="46"/>
      <c r="K36" s="46"/>
      <c r="L36" s="46"/>
      <c r="M36" s="46"/>
      <c r="N36" s="46"/>
      <c r="O36" s="46"/>
      <c r="P36" s="46"/>
      <c r="Q36" s="46"/>
      <c r="R36" s="46"/>
      <c r="S36" s="43"/>
      <c r="T36" s="49"/>
      <c r="U36" s="49"/>
      <c r="V36" s="49"/>
      <c r="W36" s="79"/>
      <c r="X36" s="51"/>
      <c r="Y36" s="52"/>
      <c r="Z36" s="52"/>
      <c r="AA36" s="52"/>
      <c r="AB36" s="43"/>
      <c r="AC36" s="43"/>
    </row>
    <row r="37" spans="1:29" s="85" customFormat="1" x14ac:dyDescent="0.3">
      <c r="A37" s="49"/>
      <c r="B37" s="45"/>
      <c r="C37" s="46"/>
      <c r="D37" s="47"/>
      <c r="E37" s="48"/>
      <c r="F37" s="47"/>
      <c r="G37" s="45"/>
      <c r="H37" s="46"/>
      <c r="I37" s="46"/>
      <c r="J37" s="46"/>
      <c r="K37" s="46"/>
      <c r="L37" s="46"/>
      <c r="M37" s="46"/>
      <c r="N37" s="46"/>
      <c r="O37" s="46"/>
      <c r="P37" s="46"/>
      <c r="Q37" s="46"/>
      <c r="R37" s="46"/>
      <c r="S37" s="43"/>
      <c r="T37" s="49"/>
      <c r="U37" s="49"/>
      <c r="V37" s="49"/>
      <c r="W37" s="79"/>
      <c r="X37" s="51"/>
      <c r="Y37" s="52"/>
      <c r="Z37" s="52"/>
      <c r="AA37" s="52"/>
      <c r="AB37" s="43"/>
      <c r="AC37" s="43"/>
    </row>
    <row r="38" spans="1:29" s="85" customFormat="1" x14ac:dyDescent="0.3">
      <c r="A38" s="49"/>
      <c r="B38" s="45"/>
      <c r="C38" s="46"/>
      <c r="D38" s="47"/>
      <c r="E38" s="48"/>
      <c r="F38" s="47"/>
      <c r="G38" s="45"/>
      <c r="H38" s="46"/>
      <c r="I38" s="46"/>
      <c r="J38" s="46"/>
      <c r="K38" s="46"/>
      <c r="L38" s="46"/>
      <c r="M38" s="46"/>
      <c r="N38" s="46"/>
      <c r="O38" s="46"/>
      <c r="P38" s="46"/>
      <c r="Q38" s="46"/>
      <c r="R38" s="46"/>
      <c r="S38" s="43"/>
      <c r="T38" s="49"/>
      <c r="U38" s="49"/>
      <c r="V38" s="49"/>
      <c r="W38" s="79"/>
      <c r="X38" s="51"/>
      <c r="Y38" s="52"/>
      <c r="Z38" s="52"/>
      <c r="AA38" s="52"/>
      <c r="AB38" s="43"/>
      <c r="AC38" s="43"/>
    </row>
    <row r="39" spans="1:29" s="85" customFormat="1" x14ac:dyDescent="0.3">
      <c r="A39" s="49"/>
      <c r="B39" s="45"/>
      <c r="C39" s="46"/>
      <c r="D39" s="47"/>
      <c r="E39" s="48"/>
      <c r="F39" s="47"/>
      <c r="G39" s="45"/>
      <c r="H39" s="46"/>
      <c r="I39" s="46"/>
      <c r="J39" s="46"/>
      <c r="K39" s="46"/>
      <c r="L39" s="46"/>
      <c r="M39" s="46"/>
      <c r="N39" s="46"/>
      <c r="O39" s="46"/>
      <c r="P39" s="46"/>
      <c r="Q39" s="46"/>
      <c r="R39" s="46"/>
      <c r="S39" s="43"/>
      <c r="T39" s="49"/>
      <c r="U39" s="49"/>
      <c r="V39" s="49"/>
      <c r="W39" s="79"/>
      <c r="X39" s="51"/>
      <c r="Y39" s="52"/>
      <c r="Z39" s="52"/>
      <c r="AA39" s="52"/>
      <c r="AB39" s="43"/>
      <c r="AC39" s="43"/>
    </row>
    <row r="40" spans="1:29" s="85" customFormat="1" x14ac:dyDescent="0.3">
      <c r="A40" s="49"/>
      <c r="B40" s="45"/>
      <c r="C40" s="46"/>
      <c r="D40" s="47"/>
      <c r="E40" s="48"/>
      <c r="F40" s="47"/>
      <c r="G40" s="45"/>
      <c r="H40" s="46"/>
      <c r="I40" s="46"/>
      <c r="J40" s="46"/>
      <c r="K40" s="46"/>
      <c r="L40" s="46"/>
      <c r="M40" s="46"/>
      <c r="N40" s="46"/>
      <c r="O40" s="46"/>
      <c r="P40" s="46"/>
      <c r="Q40" s="46"/>
      <c r="R40" s="46"/>
      <c r="S40" s="43"/>
      <c r="T40" s="49"/>
      <c r="U40" s="49"/>
      <c r="V40" s="49"/>
      <c r="W40" s="79"/>
      <c r="X40" s="51"/>
      <c r="Y40" s="52"/>
      <c r="Z40" s="52"/>
      <c r="AA40" s="52"/>
      <c r="AB40" s="43"/>
      <c r="AC40" s="43"/>
    </row>
    <row r="41" spans="1:29" s="85" customFormat="1" x14ac:dyDescent="0.3">
      <c r="A41" s="49"/>
      <c r="B41" s="45"/>
      <c r="C41" s="46"/>
      <c r="D41" s="47"/>
      <c r="E41" s="48"/>
      <c r="F41" s="47"/>
      <c r="G41" s="45"/>
      <c r="H41" s="46"/>
      <c r="I41" s="46"/>
      <c r="J41" s="46"/>
      <c r="K41" s="46"/>
      <c r="L41" s="46"/>
      <c r="M41" s="46"/>
      <c r="N41" s="46"/>
      <c r="O41" s="46"/>
      <c r="P41" s="46"/>
      <c r="Q41" s="46"/>
      <c r="R41" s="46"/>
      <c r="S41" s="43"/>
      <c r="T41" s="49"/>
      <c r="U41" s="49"/>
      <c r="V41" s="49"/>
      <c r="W41" s="79"/>
      <c r="X41" s="51"/>
      <c r="Y41" s="52"/>
      <c r="Z41" s="52"/>
      <c r="AA41" s="52"/>
      <c r="AB41" s="43"/>
      <c r="AC41" s="43"/>
    </row>
    <row r="42" spans="1:29" s="85" customFormat="1" x14ac:dyDescent="0.3">
      <c r="A42" s="49"/>
      <c r="B42" s="45"/>
      <c r="C42" s="46"/>
      <c r="D42" s="47"/>
      <c r="E42" s="48"/>
      <c r="F42" s="47"/>
      <c r="G42" s="45"/>
      <c r="H42" s="46"/>
      <c r="I42" s="46"/>
      <c r="J42" s="46"/>
      <c r="K42" s="46"/>
      <c r="L42" s="46"/>
      <c r="M42" s="46"/>
      <c r="N42" s="46"/>
      <c r="O42" s="46"/>
      <c r="P42" s="46"/>
      <c r="Q42" s="46"/>
      <c r="R42" s="46"/>
      <c r="S42" s="43"/>
      <c r="T42" s="49"/>
      <c r="U42" s="49"/>
      <c r="V42" s="49"/>
      <c r="W42" s="79"/>
      <c r="X42" s="51"/>
      <c r="Y42" s="52"/>
      <c r="Z42" s="52"/>
      <c r="AA42" s="52"/>
      <c r="AB42" s="43"/>
      <c r="AC42" s="43"/>
    </row>
    <row r="43" spans="1:29" s="85" customFormat="1" x14ac:dyDescent="0.3">
      <c r="A43" s="49"/>
      <c r="B43" s="45"/>
      <c r="C43" s="46"/>
      <c r="D43" s="47"/>
      <c r="E43" s="48"/>
      <c r="F43" s="47"/>
      <c r="G43" s="45"/>
      <c r="H43" s="46"/>
      <c r="I43" s="46"/>
      <c r="J43" s="46"/>
      <c r="K43" s="46"/>
      <c r="L43" s="46"/>
      <c r="M43" s="46"/>
      <c r="N43" s="46"/>
      <c r="O43" s="46"/>
      <c r="P43" s="46"/>
      <c r="Q43" s="46"/>
      <c r="R43" s="46"/>
      <c r="S43" s="43"/>
      <c r="T43" s="49"/>
      <c r="U43" s="49"/>
      <c r="V43" s="49"/>
      <c r="W43" s="79"/>
      <c r="X43" s="51"/>
      <c r="Y43" s="52"/>
      <c r="Z43" s="52"/>
      <c r="AA43" s="52"/>
      <c r="AB43" s="43"/>
      <c r="AC43" s="43"/>
    </row>
    <row r="44" spans="1:29" s="85" customFormat="1" x14ac:dyDescent="0.3">
      <c r="A44" s="49"/>
      <c r="B44" s="45"/>
      <c r="C44" s="46"/>
      <c r="D44" s="47"/>
      <c r="E44" s="48"/>
      <c r="F44" s="47"/>
      <c r="G44" s="45"/>
      <c r="H44" s="46"/>
      <c r="I44" s="46"/>
      <c r="J44" s="46"/>
      <c r="K44" s="46"/>
      <c r="L44" s="46"/>
      <c r="M44" s="46"/>
      <c r="N44" s="46"/>
      <c r="O44" s="46"/>
      <c r="P44" s="46"/>
      <c r="Q44" s="46"/>
      <c r="R44" s="46"/>
      <c r="S44" s="43"/>
      <c r="T44" s="49"/>
      <c r="U44" s="49"/>
      <c r="V44" s="49"/>
      <c r="W44" s="79"/>
      <c r="X44" s="51"/>
      <c r="Y44" s="52"/>
      <c r="Z44" s="52"/>
      <c r="AA44" s="52"/>
      <c r="AB44" s="43"/>
      <c r="AC44" s="43"/>
    </row>
    <row r="45" spans="1:29" s="85" customFormat="1" x14ac:dyDescent="0.3">
      <c r="A45" s="49"/>
      <c r="B45" s="45"/>
      <c r="C45" s="46"/>
      <c r="D45" s="47"/>
      <c r="E45" s="48"/>
      <c r="F45" s="47"/>
      <c r="G45" s="45"/>
      <c r="H45" s="46"/>
      <c r="I45" s="46"/>
      <c r="J45" s="46"/>
      <c r="K45" s="46"/>
      <c r="L45" s="46"/>
      <c r="M45" s="46"/>
      <c r="N45" s="46"/>
      <c r="O45" s="46"/>
      <c r="P45" s="46"/>
      <c r="Q45" s="46"/>
      <c r="R45" s="46"/>
      <c r="S45" s="43"/>
      <c r="T45" s="49"/>
      <c r="U45" s="49"/>
      <c r="V45" s="49"/>
      <c r="W45" s="79"/>
      <c r="X45" s="51"/>
      <c r="Y45" s="52"/>
      <c r="Z45" s="52"/>
      <c r="AA45" s="52"/>
      <c r="AB45" s="43"/>
      <c r="AC45" s="43"/>
    </row>
    <row r="46" spans="1:29" s="85" customFormat="1" x14ac:dyDescent="0.3">
      <c r="A46" s="49"/>
      <c r="B46" s="45"/>
      <c r="C46" s="46"/>
      <c r="D46" s="47"/>
      <c r="E46" s="48"/>
      <c r="F46" s="47"/>
      <c r="G46" s="45"/>
      <c r="H46" s="46"/>
      <c r="I46" s="46"/>
      <c r="J46" s="46"/>
      <c r="K46" s="46"/>
      <c r="L46" s="46"/>
      <c r="M46" s="46"/>
      <c r="N46" s="46"/>
      <c r="O46" s="46"/>
      <c r="P46" s="46"/>
      <c r="Q46" s="46"/>
      <c r="R46" s="46"/>
      <c r="S46" s="43"/>
      <c r="T46" s="49"/>
      <c r="U46" s="49"/>
      <c r="V46" s="49"/>
      <c r="W46" s="79"/>
      <c r="X46" s="51"/>
      <c r="Y46" s="52"/>
      <c r="Z46" s="52"/>
      <c r="AA46" s="52"/>
      <c r="AB46" s="43"/>
      <c r="AC46" s="43"/>
    </row>
    <row r="47" spans="1:29" s="85" customFormat="1" x14ac:dyDescent="0.3">
      <c r="A47" s="49"/>
      <c r="B47" s="45"/>
      <c r="C47" s="46"/>
      <c r="D47" s="47"/>
      <c r="E47" s="48"/>
      <c r="F47" s="47"/>
      <c r="G47" s="45"/>
      <c r="H47" s="46"/>
      <c r="I47" s="46"/>
      <c r="J47" s="46"/>
      <c r="K47" s="46"/>
      <c r="L47" s="46"/>
      <c r="M47" s="46"/>
      <c r="N47" s="46"/>
      <c r="O47" s="46"/>
      <c r="P47" s="46"/>
      <c r="Q47" s="46"/>
      <c r="R47" s="46"/>
      <c r="S47" s="43"/>
      <c r="T47" s="49"/>
      <c r="U47" s="49"/>
      <c r="V47" s="49"/>
      <c r="W47" s="79"/>
      <c r="X47" s="51"/>
      <c r="Y47" s="52"/>
      <c r="Z47" s="52"/>
      <c r="AA47" s="52"/>
      <c r="AB47" s="43"/>
      <c r="AC47" s="43"/>
    </row>
    <row r="48" spans="1:29" s="85" customFormat="1" x14ac:dyDescent="0.3">
      <c r="A48" s="49"/>
      <c r="B48" s="45"/>
      <c r="C48" s="46"/>
      <c r="D48" s="47"/>
      <c r="E48" s="48"/>
      <c r="F48" s="47"/>
      <c r="G48" s="45"/>
      <c r="H48" s="46"/>
      <c r="I48" s="46"/>
      <c r="J48" s="46"/>
      <c r="K48" s="46"/>
      <c r="L48" s="46"/>
      <c r="M48" s="46"/>
      <c r="N48" s="46"/>
      <c r="O48" s="46"/>
      <c r="P48" s="46"/>
      <c r="Q48" s="46"/>
      <c r="R48" s="46"/>
      <c r="S48" s="43"/>
      <c r="T48" s="49"/>
      <c r="U48" s="49"/>
      <c r="V48" s="49"/>
      <c r="W48" s="79"/>
      <c r="X48" s="51"/>
      <c r="Y48" s="52"/>
      <c r="Z48" s="52"/>
      <c r="AA48" s="52"/>
      <c r="AB48" s="43"/>
      <c r="AC48" s="43"/>
    </row>
    <row r="49" spans="1:29" s="85" customFormat="1" x14ac:dyDescent="0.3">
      <c r="A49" s="49"/>
      <c r="B49" s="45"/>
      <c r="C49" s="46"/>
      <c r="D49" s="47"/>
      <c r="E49" s="48"/>
      <c r="F49" s="47"/>
      <c r="G49" s="45"/>
      <c r="H49" s="46"/>
      <c r="I49" s="46"/>
      <c r="J49" s="46"/>
      <c r="K49" s="46"/>
      <c r="L49" s="46"/>
      <c r="M49" s="46"/>
      <c r="N49" s="46"/>
      <c r="O49" s="46"/>
      <c r="P49" s="46"/>
      <c r="Q49" s="46"/>
      <c r="R49" s="46"/>
      <c r="S49" s="43"/>
      <c r="T49" s="49"/>
      <c r="U49" s="49"/>
      <c r="V49" s="49"/>
      <c r="W49" s="79"/>
      <c r="X49" s="51"/>
      <c r="Y49" s="52"/>
      <c r="Z49" s="52"/>
      <c r="AA49" s="52"/>
      <c r="AB49" s="43"/>
      <c r="AC49" s="43"/>
    </row>
    <row r="50" spans="1:29" s="85" customFormat="1" x14ac:dyDescent="0.3">
      <c r="A50" s="49"/>
      <c r="B50" s="45"/>
      <c r="C50" s="46"/>
      <c r="D50" s="47"/>
      <c r="E50" s="48"/>
      <c r="F50" s="47"/>
      <c r="G50" s="45"/>
      <c r="H50" s="46"/>
      <c r="I50" s="46"/>
      <c r="J50" s="46"/>
      <c r="K50" s="46"/>
      <c r="L50" s="46"/>
      <c r="M50" s="46"/>
      <c r="N50" s="46"/>
      <c r="O50" s="46"/>
      <c r="P50" s="46"/>
      <c r="Q50" s="46"/>
      <c r="R50" s="46"/>
      <c r="S50" s="43"/>
      <c r="T50" s="49"/>
      <c r="U50" s="49"/>
      <c r="V50" s="49"/>
      <c r="W50" s="79"/>
      <c r="X50" s="51"/>
      <c r="Y50" s="52"/>
      <c r="Z50" s="52"/>
      <c r="AA50" s="52"/>
      <c r="AB50" s="43"/>
      <c r="AC50" s="43"/>
    </row>
    <row r="51" spans="1:29" s="85" customFormat="1" x14ac:dyDescent="0.3">
      <c r="A51" s="49"/>
      <c r="B51" s="45"/>
      <c r="C51" s="46"/>
      <c r="D51" s="47"/>
      <c r="E51" s="48"/>
      <c r="F51" s="47"/>
      <c r="G51" s="45"/>
      <c r="H51" s="46"/>
      <c r="I51" s="46"/>
      <c r="J51" s="46"/>
      <c r="K51" s="46"/>
      <c r="L51" s="46"/>
      <c r="M51" s="46"/>
      <c r="N51" s="46"/>
      <c r="O51" s="46"/>
      <c r="P51" s="46"/>
      <c r="Q51" s="46"/>
      <c r="R51" s="46"/>
      <c r="S51" s="43"/>
      <c r="T51" s="49"/>
      <c r="U51" s="49"/>
      <c r="V51" s="49"/>
      <c r="W51" s="79"/>
      <c r="X51" s="51"/>
      <c r="Y51" s="52"/>
      <c r="Z51" s="52"/>
      <c r="AA51" s="52"/>
      <c r="AB51" s="43"/>
      <c r="AC51" s="43"/>
    </row>
    <row r="52" spans="1:29" s="85" customFormat="1" x14ac:dyDescent="0.3">
      <c r="A52" s="49"/>
      <c r="B52" s="45"/>
      <c r="C52" s="46"/>
      <c r="D52" s="47"/>
      <c r="E52" s="48"/>
      <c r="F52" s="47"/>
      <c r="G52" s="45"/>
      <c r="H52" s="46"/>
      <c r="I52" s="46"/>
      <c r="J52" s="46"/>
      <c r="K52" s="46"/>
      <c r="L52" s="46"/>
      <c r="M52" s="46"/>
      <c r="N52" s="46"/>
      <c r="O52" s="46"/>
      <c r="P52" s="46"/>
      <c r="Q52" s="46"/>
      <c r="R52" s="46"/>
      <c r="S52" s="43"/>
      <c r="T52" s="49"/>
      <c r="U52" s="49"/>
      <c r="V52" s="49"/>
      <c r="W52" s="79"/>
      <c r="X52" s="51"/>
      <c r="Y52" s="52"/>
      <c r="Z52" s="52"/>
      <c r="AA52" s="52"/>
      <c r="AB52" s="43"/>
      <c r="AC52" s="43"/>
    </row>
    <row r="53" spans="1:29" s="85" customFormat="1" x14ac:dyDescent="0.3">
      <c r="A53" s="49"/>
      <c r="B53" s="45"/>
      <c r="C53" s="46"/>
      <c r="D53" s="47"/>
      <c r="E53" s="48"/>
      <c r="F53" s="47"/>
      <c r="G53" s="45"/>
      <c r="H53" s="46"/>
      <c r="I53" s="46"/>
      <c r="J53" s="46"/>
      <c r="K53" s="46"/>
      <c r="L53" s="46"/>
      <c r="M53" s="46"/>
      <c r="N53" s="46"/>
      <c r="O53" s="46"/>
      <c r="P53" s="46"/>
      <c r="Q53" s="46"/>
      <c r="R53" s="46"/>
      <c r="S53" s="43"/>
      <c r="T53" s="49"/>
      <c r="U53" s="49"/>
      <c r="V53" s="49"/>
      <c r="W53" s="79"/>
      <c r="X53" s="51"/>
      <c r="Y53" s="52"/>
      <c r="Z53" s="52"/>
      <c r="AA53" s="52"/>
      <c r="AB53" s="43"/>
      <c r="AC53" s="43"/>
    </row>
    <row r="54" spans="1:29" s="85" customFormat="1" x14ac:dyDescent="0.3">
      <c r="A54" s="49"/>
      <c r="B54" s="45"/>
      <c r="C54" s="46"/>
      <c r="D54" s="47"/>
      <c r="E54" s="48"/>
      <c r="F54" s="47"/>
      <c r="G54" s="45"/>
      <c r="H54" s="46"/>
      <c r="I54" s="46"/>
      <c r="J54" s="46"/>
      <c r="K54" s="46"/>
      <c r="L54" s="46"/>
      <c r="M54" s="46"/>
      <c r="N54" s="46"/>
      <c r="O54" s="46"/>
      <c r="P54" s="46"/>
      <c r="Q54" s="46"/>
      <c r="R54" s="46"/>
      <c r="S54" s="43"/>
      <c r="T54" s="49"/>
      <c r="U54" s="49"/>
      <c r="V54" s="49"/>
      <c r="W54" s="79"/>
      <c r="X54" s="51"/>
      <c r="Y54" s="52"/>
      <c r="Z54" s="52"/>
      <c r="AA54" s="52"/>
      <c r="AB54" s="43"/>
      <c r="AC54" s="43"/>
    </row>
    <row r="55" spans="1:29" s="85" customFormat="1" x14ac:dyDescent="0.3">
      <c r="A55" s="49"/>
      <c r="B55" s="45"/>
      <c r="C55" s="46"/>
      <c r="D55" s="47"/>
      <c r="E55" s="48"/>
      <c r="F55" s="47"/>
      <c r="G55" s="45"/>
      <c r="H55" s="46"/>
      <c r="I55" s="46"/>
      <c r="J55" s="46"/>
      <c r="K55" s="46"/>
      <c r="L55" s="46"/>
      <c r="M55" s="46"/>
      <c r="N55" s="46"/>
      <c r="O55" s="46"/>
      <c r="P55" s="46"/>
      <c r="Q55" s="46"/>
      <c r="R55" s="46"/>
      <c r="S55" s="43"/>
      <c r="T55" s="49"/>
      <c r="U55" s="49"/>
      <c r="V55" s="49"/>
      <c r="W55" s="79"/>
      <c r="X55" s="51"/>
      <c r="Y55" s="52"/>
      <c r="Z55" s="52"/>
      <c r="AA55" s="52"/>
      <c r="AB55" s="43"/>
      <c r="AC55" s="43"/>
    </row>
    <row r="56" spans="1:29" s="85" customFormat="1" x14ac:dyDescent="0.3">
      <c r="A56" s="49"/>
      <c r="B56" s="45"/>
      <c r="C56" s="46"/>
      <c r="D56" s="47"/>
      <c r="E56" s="48"/>
      <c r="F56" s="47"/>
      <c r="G56" s="45"/>
      <c r="H56" s="46"/>
      <c r="I56" s="46"/>
      <c r="J56" s="46"/>
      <c r="K56" s="46"/>
      <c r="L56" s="46"/>
      <c r="M56" s="46"/>
      <c r="N56" s="46"/>
      <c r="O56" s="46"/>
      <c r="P56" s="46"/>
      <c r="Q56" s="46"/>
      <c r="R56" s="46"/>
      <c r="S56" s="43"/>
      <c r="T56" s="49"/>
      <c r="U56" s="49"/>
      <c r="V56" s="49"/>
      <c r="W56" s="79"/>
      <c r="X56" s="51"/>
      <c r="Y56" s="52"/>
      <c r="Z56" s="52"/>
      <c r="AA56" s="52"/>
      <c r="AB56" s="43"/>
      <c r="AC56" s="43"/>
    </row>
    <row r="57" spans="1:29" s="85" customFormat="1" x14ac:dyDescent="0.3">
      <c r="A57" s="49"/>
      <c r="B57" s="45"/>
      <c r="C57" s="46"/>
      <c r="D57" s="47"/>
      <c r="E57" s="48"/>
      <c r="F57" s="47"/>
      <c r="G57" s="45"/>
      <c r="H57" s="46"/>
      <c r="I57" s="46"/>
      <c r="J57" s="46"/>
      <c r="K57" s="46"/>
      <c r="L57" s="46"/>
      <c r="M57" s="46"/>
      <c r="N57" s="46"/>
      <c r="O57" s="46"/>
      <c r="P57" s="46"/>
      <c r="Q57" s="46"/>
      <c r="R57" s="46"/>
      <c r="S57" s="43"/>
      <c r="T57" s="49"/>
      <c r="U57" s="49"/>
      <c r="V57" s="49"/>
      <c r="W57" s="79"/>
      <c r="X57" s="51"/>
      <c r="Y57" s="52"/>
      <c r="Z57" s="52"/>
      <c r="AA57" s="52"/>
      <c r="AB57" s="43"/>
      <c r="AC57" s="43"/>
    </row>
    <row r="58" spans="1:29" s="85" customFormat="1" x14ac:dyDescent="0.3">
      <c r="A58" s="49"/>
      <c r="B58" s="45"/>
      <c r="C58" s="46"/>
      <c r="D58" s="47"/>
      <c r="E58" s="48"/>
      <c r="F58" s="47"/>
      <c r="G58" s="45"/>
      <c r="H58" s="46"/>
      <c r="I58" s="46"/>
      <c r="J58" s="46"/>
      <c r="K58" s="46"/>
      <c r="L58" s="46"/>
      <c r="M58" s="46"/>
      <c r="N58" s="46"/>
      <c r="O58" s="46"/>
      <c r="P58" s="46"/>
      <c r="Q58" s="46"/>
      <c r="R58" s="46"/>
      <c r="S58" s="43"/>
      <c r="T58" s="49"/>
      <c r="U58" s="49"/>
      <c r="V58" s="49"/>
      <c r="W58" s="79"/>
      <c r="X58" s="51"/>
      <c r="Y58" s="52"/>
      <c r="Z58" s="52"/>
      <c r="AA58" s="52"/>
      <c r="AB58" s="43"/>
      <c r="AC58" s="43"/>
    </row>
    <row r="59" spans="1:29" s="85" customFormat="1" x14ac:dyDescent="0.3">
      <c r="A59" s="49"/>
      <c r="B59" s="45"/>
      <c r="C59" s="46"/>
      <c r="D59" s="47"/>
      <c r="E59" s="48"/>
      <c r="F59" s="47"/>
      <c r="G59" s="45"/>
      <c r="H59" s="46"/>
      <c r="I59" s="46"/>
      <c r="J59" s="46"/>
      <c r="K59" s="46"/>
      <c r="L59" s="46"/>
      <c r="M59" s="46"/>
      <c r="N59" s="46"/>
      <c r="O59" s="46"/>
      <c r="P59" s="46"/>
      <c r="Q59" s="46"/>
      <c r="R59" s="46"/>
      <c r="S59" s="43"/>
      <c r="T59" s="49"/>
      <c r="U59" s="49"/>
      <c r="V59" s="49"/>
      <c r="W59" s="79"/>
      <c r="X59" s="51"/>
      <c r="Y59" s="52"/>
      <c r="Z59" s="52"/>
      <c r="AA59" s="52"/>
      <c r="AB59" s="43"/>
      <c r="AC59" s="43"/>
    </row>
    <row r="60" spans="1:29" s="85" customFormat="1" x14ac:dyDescent="0.3">
      <c r="A60" s="49"/>
      <c r="B60" s="45"/>
      <c r="C60" s="46"/>
      <c r="D60" s="47"/>
      <c r="E60" s="48"/>
      <c r="F60" s="47"/>
      <c r="G60" s="45"/>
      <c r="H60" s="46"/>
      <c r="I60" s="46"/>
      <c r="J60" s="46"/>
      <c r="K60" s="46"/>
      <c r="L60" s="46"/>
      <c r="M60" s="46"/>
      <c r="N60" s="46"/>
      <c r="O60" s="46"/>
      <c r="P60" s="46"/>
      <c r="Q60" s="46"/>
      <c r="R60" s="46"/>
      <c r="S60" s="43"/>
      <c r="T60" s="49"/>
      <c r="U60" s="49"/>
      <c r="V60" s="49"/>
      <c r="W60" s="79"/>
      <c r="X60" s="51"/>
      <c r="Y60" s="52"/>
      <c r="Z60" s="52"/>
      <c r="AA60" s="52"/>
      <c r="AB60" s="43"/>
      <c r="AC60" s="43"/>
    </row>
    <row r="61" spans="1:29" s="85" customFormat="1" x14ac:dyDescent="0.3">
      <c r="A61" s="49"/>
      <c r="B61" s="45"/>
      <c r="C61" s="46"/>
      <c r="D61" s="47"/>
      <c r="E61" s="48"/>
      <c r="F61" s="47"/>
      <c r="G61" s="45"/>
      <c r="H61" s="46"/>
      <c r="I61" s="46"/>
      <c r="J61" s="46"/>
      <c r="K61" s="46"/>
      <c r="L61" s="46"/>
      <c r="M61" s="46"/>
      <c r="N61" s="46"/>
      <c r="O61" s="46"/>
      <c r="P61" s="46"/>
      <c r="Q61" s="46"/>
      <c r="R61" s="46"/>
      <c r="S61" s="43"/>
      <c r="T61" s="49"/>
      <c r="U61" s="49"/>
      <c r="V61" s="49"/>
      <c r="W61" s="79"/>
      <c r="X61" s="51"/>
      <c r="Y61" s="52"/>
      <c r="Z61" s="52"/>
      <c r="AA61" s="52"/>
      <c r="AB61" s="43"/>
      <c r="AC61" s="43"/>
    </row>
    <row r="62" spans="1:29" s="85" customFormat="1" x14ac:dyDescent="0.3">
      <c r="A62" s="49"/>
      <c r="B62" s="45"/>
      <c r="C62" s="46"/>
      <c r="D62" s="47"/>
      <c r="E62" s="48"/>
      <c r="F62" s="47"/>
      <c r="G62" s="45"/>
      <c r="H62" s="46"/>
      <c r="I62" s="46"/>
      <c r="J62" s="46"/>
      <c r="K62" s="46"/>
      <c r="L62" s="46"/>
      <c r="M62" s="46"/>
      <c r="N62" s="46"/>
      <c r="O62" s="46"/>
      <c r="P62" s="46"/>
      <c r="Q62" s="46"/>
      <c r="R62" s="46"/>
      <c r="S62" s="43"/>
      <c r="T62" s="49"/>
      <c r="U62" s="49"/>
      <c r="V62" s="49"/>
      <c r="W62" s="79"/>
      <c r="X62" s="51"/>
      <c r="Y62" s="52"/>
      <c r="Z62" s="52"/>
      <c r="AA62" s="52"/>
      <c r="AB62" s="43"/>
      <c r="AC62" s="43"/>
    </row>
    <row r="63" spans="1:29" s="85" customFormat="1" x14ac:dyDescent="0.3">
      <c r="A63" s="49"/>
      <c r="B63" s="45"/>
      <c r="C63" s="46"/>
      <c r="D63" s="47"/>
      <c r="E63" s="48"/>
      <c r="F63" s="47"/>
      <c r="G63" s="45"/>
      <c r="H63" s="46"/>
      <c r="I63" s="46"/>
      <c r="J63" s="46"/>
      <c r="K63" s="46"/>
      <c r="L63" s="46"/>
      <c r="M63" s="46"/>
      <c r="N63" s="46"/>
      <c r="O63" s="46"/>
      <c r="P63" s="46"/>
      <c r="Q63" s="46"/>
      <c r="R63" s="46"/>
      <c r="S63" s="43"/>
      <c r="T63" s="49"/>
      <c r="U63" s="49"/>
      <c r="V63" s="49"/>
      <c r="W63" s="79"/>
      <c r="X63" s="51"/>
      <c r="Y63" s="52"/>
      <c r="Z63" s="52"/>
      <c r="AA63" s="52"/>
      <c r="AB63" s="43"/>
      <c r="AC63" s="43"/>
    </row>
    <row r="64" spans="1:29" s="85" customFormat="1" x14ac:dyDescent="0.3">
      <c r="A64" s="49"/>
      <c r="B64" s="45"/>
      <c r="C64" s="46"/>
      <c r="D64" s="47"/>
      <c r="E64" s="48"/>
      <c r="F64" s="47"/>
      <c r="G64" s="45"/>
      <c r="H64" s="46"/>
      <c r="I64" s="46"/>
      <c r="J64" s="46"/>
      <c r="K64" s="46"/>
      <c r="L64" s="46"/>
      <c r="M64" s="46"/>
      <c r="N64" s="46"/>
      <c r="O64" s="46"/>
      <c r="P64" s="46"/>
      <c r="Q64" s="46"/>
      <c r="R64" s="46"/>
      <c r="S64" s="43"/>
      <c r="T64" s="49"/>
      <c r="U64" s="49"/>
      <c r="V64" s="49"/>
      <c r="W64" s="79"/>
      <c r="X64" s="51"/>
      <c r="Y64" s="52"/>
      <c r="Z64" s="52"/>
      <c r="AA64" s="52"/>
      <c r="AB64" s="43"/>
      <c r="AC64" s="43"/>
    </row>
    <row r="65" spans="1:29" s="85" customFormat="1" x14ac:dyDescent="0.3">
      <c r="A65" s="49"/>
      <c r="B65" s="45"/>
      <c r="C65" s="46"/>
      <c r="D65" s="47"/>
      <c r="E65" s="48"/>
      <c r="F65" s="47"/>
      <c r="G65" s="45"/>
      <c r="H65" s="46"/>
      <c r="I65" s="46"/>
      <c r="J65" s="46"/>
      <c r="K65" s="46"/>
      <c r="L65" s="46"/>
      <c r="M65" s="46"/>
      <c r="N65" s="46"/>
      <c r="O65" s="46"/>
      <c r="P65" s="46"/>
      <c r="Q65" s="46"/>
      <c r="R65" s="46"/>
      <c r="S65" s="43"/>
      <c r="T65" s="49"/>
      <c r="U65" s="49"/>
      <c r="V65" s="49"/>
      <c r="W65" s="79"/>
      <c r="X65" s="51"/>
      <c r="Y65" s="52"/>
      <c r="Z65" s="52"/>
      <c r="AA65" s="52"/>
      <c r="AB65" s="43"/>
      <c r="AC65" s="43"/>
    </row>
    <row r="66" spans="1:29" s="85" customFormat="1" x14ac:dyDescent="0.3">
      <c r="A66" s="49"/>
      <c r="B66" s="45"/>
      <c r="C66" s="46"/>
      <c r="D66" s="47"/>
      <c r="E66" s="48"/>
      <c r="F66" s="47"/>
      <c r="G66" s="45"/>
      <c r="H66" s="46"/>
      <c r="I66" s="46"/>
      <c r="J66" s="46"/>
      <c r="K66" s="46"/>
      <c r="L66" s="46"/>
      <c r="M66" s="46"/>
      <c r="N66" s="46"/>
      <c r="O66" s="46"/>
      <c r="P66" s="46"/>
      <c r="Q66" s="46"/>
      <c r="R66" s="46"/>
      <c r="S66" s="43"/>
      <c r="T66" s="49"/>
      <c r="U66" s="49"/>
      <c r="V66" s="49"/>
      <c r="W66" s="79"/>
      <c r="X66" s="51"/>
      <c r="Y66" s="52"/>
      <c r="Z66" s="52"/>
      <c r="AA66" s="52"/>
      <c r="AB66" s="43"/>
      <c r="AC66" s="43"/>
    </row>
    <row r="67" spans="1:29" s="85" customFormat="1" x14ac:dyDescent="0.3">
      <c r="A67" s="49"/>
      <c r="B67" s="45"/>
      <c r="C67" s="46"/>
      <c r="D67" s="47"/>
      <c r="E67" s="48"/>
      <c r="F67" s="47"/>
      <c r="G67" s="45"/>
      <c r="H67" s="46"/>
      <c r="I67" s="46"/>
      <c r="J67" s="46"/>
      <c r="K67" s="46"/>
      <c r="L67" s="46"/>
      <c r="M67" s="46"/>
      <c r="N67" s="46"/>
      <c r="O67" s="46"/>
      <c r="P67" s="46"/>
      <c r="Q67" s="46"/>
      <c r="R67" s="46"/>
      <c r="S67" s="43"/>
      <c r="T67" s="49"/>
      <c r="U67" s="49"/>
      <c r="V67" s="49"/>
      <c r="W67" s="79"/>
      <c r="X67" s="51"/>
      <c r="Y67" s="52"/>
      <c r="Z67" s="52"/>
      <c r="AA67" s="52"/>
      <c r="AB67" s="43"/>
      <c r="AC67" s="43"/>
    </row>
    <row r="68" spans="1:29" s="85" customFormat="1" x14ac:dyDescent="0.3">
      <c r="A68" s="49"/>
      <c r="B68" s="45"/>
      <c r="C68" s="46"/>
      <c r="D68" s="47"/>
      <c r="E68" s="48"/>
      <c r="F68" s="47"/>
      <c r="G68" s="45"/>
      <c r="H68" s="46"/>
      <c r="I68" s="46"/>
      <c r="J68" s="46"/>
      <c r="K68" s="46"/>
      <c r="L68" s="46"/>
      <c r="M68" s="46"/>
      <c r="N68" s="46"/>
      <c r="O68" s="46"/>
      <c r="P68" s="46"/>
      <c r="Q68" s="46"/>
      <c r="R68" s="46"/>
      <c r="S68" s="43"/>
      <c r="T68" s="49"/>
      <c r="U68" s="49"/>
      <c r="V68" s="49"/>
      <c r="W68" s="79"/>
      <c r="X68" s="51"/>
      <c r="Y68" s="52"/>
      <c r="Z68" s="52"/>
      <c r="AA68" s="52"/>
      <c r="AB68" s="43"/>
      <c r="AC68" s="43"/>
    </row>
    <row r="69" spans="1:29" s="85" customFormat="1" x14ac:dyDescent="0.3">
      <c r="A69" s="49"/>
      <c r="B69" s="45"/>
      <c r="C69" s="46"/>
      <c r="D69" s="47"/>
      <c r="E69" s="48"/>
      <c r="F69" s="47"/>
      <c r="G69" s="45"/>
      <c r="H69" s="46"/>
      <c r="I69" s="46"/>
      <c r="J69" s="46"/>
      <c r="K69" s="46"/>
      <c r="L69" s="46"/>
      <c r="M69" s="46"/>
      <c r="N69" s="46"/>
      <c r="O69" s="46"/>
      <c r="P69" s="46"/>
      <c r="Q69" s="46"/>
      <c r="R69" s="46"/>
      <c r="S69" s="43"/>
      <c r="T69" s="49"/>
      <c r="U69" s="49"/>
      <c r="V69" s="49"/>
      <c r="W69" s="79"/>
      <c r="X69" s="51"/>
      <c r="Y69" s="52"/>
      <c r="Z69" s="52"/>
      <c r="AA69" s="52"/>
      <c r="AB69" s="43"/>
      <c r="AC69" s="43"/>
    </row>
    <row r="70" spans="1:29" s="85" customFormat="1" x14ac:dyDescent="0.3">
      <c r="A70" s="49"/>
      <c r="B70" s="45"/>
      <c r="C70" s="46"/>
      <c r="D70" s="47"/>
      <c r="E70" s="48"/>
      <c r="F70" s="47"/>
      <c r="G70" s="45"/>
      <c r="H70" s="46"/>
      <c r="I70" s="46"/>
      <c r="J70" s="46"/>
      <c r="K70" s="46"/>
      <c r="L70" s="46"/>
      <c r="M70" s="46"/>
      <c r="N70" s="46"/>
      <c r="O70" s="46"/>
      <c r="P70" s="46"/>
      <c r="Q70" s="46"/>
      <c r="R70" s="46"/>
      <c r="S70" s="43"/>
      <c r="T70" s="49"/>
      <c r="U70" s="49"/>
      <c r="V70" s="49"/>
      <c r="W70" s="79"/>
      <c r="X70" s="51"/>
      <c r="Y70" s="52"/>
      <c r="Z70" s="52"/>
      <c r="AA70" s="52"/>
      <c r="AB70" s="43"/>
      <c r="AC70" s="43"/>
    </row>
    <row r="71" spans="1:29" s="85" customFormat="1" x14ac:dyDescent="0.3">
      <c r="A71" s="49"/>
      <c r="B71" s="45"/>
      <c r="C71" s="46"/>
      <c r="D71" s="47"/>
      <c r="E71" s="48"/>
      <c r="F71" s="47"/>
      <c r="G71" s="45"/>
      <c r="H71" s="46"/>
      <c r="I71" s="46"/>
      <c r="J71" s="46"/>
      <c r="K71" s="46"/>
      <c r="L71" s="46"/>
      <c r="M71" s="46"/>
      <c r="N71" s="46"/>
      <c r="O71" s="46"/>
      <c r="P71" s="46"/>
      <c r="Q71" s="46"/>
      <c r="R71" s="46"/>
      <c r="S71" s="43"/>
      <c r="T71" s="49"/>
      <c r="U71" s="49"/>
      <c r="V71" s="49"/>
      <c r="W71" s="79"/>
      <c r="X71" s="51"/>
      <c r="Y71" s="52"/>
      <c r="Z71" s="52"/>
      <c r="AA71" s="52"/>
      <c r="AB71" s="43"/>
      <c r="AC71" s="43"/>
    </row>
    <row r="72" spans="1:29" s="85" customFormat="1" x14ac:dyDescent="0.3">
      <c r="A72" s="49"/>
      <c r="B72" s="45"/>
      <c r="C72" s="46"/>
      <c r="D72" s="47"/>
      <c r="E72" s="48"/>
      <c r="F72" s="47"/>
      <c r="G72" s="45"/>
      <c r="H72" s="46"/>
      <c r="I72" s="46"/>
      <c r="J72" s="46"/>
      <c r="K72" s="46"/>
      <c r="L72" s="46"/>
      <c r="M72" s="46"/>
      <c r="N72" s="46"/>
      <c r="O72" s="46"/>
      <c r="P72" s="46"/>
      <c r="Q72" s="46"/>
      <c r="R72" s="46"/>
      <c r="S72" s="43"/>
      <c r="T72" s="49"/>
      <c r="U72" s="49"/>
      <c r="V72" s="49"/>
      <c r="W72" s="79"/>
      <c r="X72" s="51"/>
      <c r="Y72" s="52"/>
      <c r="Z72" s="52"/>
      <c r="AA72" s="52"/>
      <c r="AB72" s="43"/>
      <c r="AC72" s="43"/>
    </row>
    <row r="73" spans="1:29" s="85" customFormat="1" x14ac:dyDescent="0.3">
      <c r="A73" s="49"/>
      <c r="B73" s="45"/>
      <c r="C73" s="46"/>
      <c r="D73" s="47"/>
      <c r="E73" s="48"/>
      <c r="F73" s="47"/>
      <c r="G73" s="45"/>
      <c r="H73" s="46"/>
      <c r="I73" s="46"/>
      <c r="J73" s="46"/>
      <c r="K73" s="46"/>
      <c r="L73" s="46"/>
      <c r="M73" s="46"/>
      <c r="N73" s="46"/>
      <c r="O73" s="46"/>
      <c r="P73" s="46"/>
      <c r="Q73" s="46"/>
      <c r="R73" s="46"/>
      <c r="S73" s="43"/>
      <c r="T73" s="49"/>
      <c r="U73" s="49"/>
      <c r="V73" s="49"/>
      <c r="W73" s="79"/>
      <c r="X73" s="51"/>
      <c r="Y73" s="52"/>
      <c r="Z73" s="52"/>
      <c r="AA73" s="52"/>
      <c r="AB73" s="43"/>
      <c r="AC73" s="43"/>
    </row>
    <row r="74" spans="1:29" s="85" customFormat="1" x14ac:dyDescent="0.3">
      <c r="A74" s="49"/>
      <c r="B74" s="45"/>
      <c r="C74" s="46"/>
      <c r="D74" s="47"/>
      <c r="E74" s="48"/>
      <c r="F74" s="47"/>
      <c r="G74" s="45"/>
      <c r="H74" s="46"/>
      <c r="I74" s="46"/>
      <c r="J74" s="46"/>
      <c r="K74" s="46"/>
      <c r="L74" s="46"/>
      <c r="M74" s="46"/>
      <c r="N74" s="46"/>
      <c r="O74" s="46"/>
      <c r="P74" s="46"/>
      <c r="Q74" s="46"/>
      <c r="R74" s="46"/>
      <c r="S74" s="43"/>
      <c r="T74" s="49"/>
      <c r="U74" s="49"/>
      <c r="V74" s="49"/>
      <c r="W74" s="79"/>
      <c r="X74" s="51"/>
      <c r="Y74" s="52"/>
      <c r="Z74" s="52"/>
      <c r="AA74" s="52"/>
      <c r="AB74" s="43"/>
      <c r="AC74" s="43"/>
    </row>
    <row r="75" spans="1:29" s="85" customFormat="1" x14ac:dyDescent="0.3">
      <c r="A75" s="49"/>
      <c r="B75" s="45"/>
      <c r="C75" s="46"/>
      <c r="D75" s="47"/>
      <c r="E75" s="48"/>
      <c r="F75" s="47"/>
      <c r="G75" s="45"/>
      <c r="H75" s="46"/>
      <c r="I75" s="46"/>
      <c r="J75" s="46"/>
      <c r="K75" s="46"/>
      <c r="L75" s="46"/>
      <c r="M75" s="46"/>
      <c r="N75" s="46"/>
      <c r="O75" s="46"/>
      <c r="P75" s="46"/>
      <c r="Q75" s="46"/>
      <c r="R75" s="46"/>
      <c r="S75" s="43"/>
      <c r="T75" s="49"/>
      <c r="U75" s="49"/>
      <c r="V75" s="49"/>
      <c r="W75" s="79"/>
      <c r="X75" s="51"/>
      <c r="Y75" s="52"/>
      <c r="Z75" s="52"/>
      <c r="AA75" s="52"/>
      <c r="AB75" s="43"/>
      <c r="AC75" s="43"/>
    </row>
    <row r="76" spans="1:29" s="85" customFormat="1" x14ac:dyDescent="0.3">
      <c r="A76" s="49"/>
      <c r="B76" s="45"/>
      <c r="C76" s="46"/>
      <c r="D76" s="47"/>
      <c r="E76" s="48"/>
      <c r="F76" s="47"/>
      <c r="G76" s="45"/>
      <c r="H76" s="46"/>
      <c r="I76" s="46"/>
      <c r="J76" s="46"/>
      <c r="K76" s="46"/>
      <c r="L76" s="46"/>
      <c r="M76" s="46"/>
      <c r="N76" s="46"/>
      <c r="O76" s="46"/>
      <c r="P76" s="46"/>
      <c r="Q76" s="46"/>
      <c r="R76" s="46"/>
      <c r="S76" s="43"/>
      <c r="T76" s="49"/>
      <c r="U76" s="49"/>
      <c r="V76" s="49"/>
      <c r="W76" s="79"/>
      <c r="X76" s="51"/>
      <c r="Y76" s="52"/>
      <c r="Z76" s="52"/>
      <c r="AA76" s="52"/>
      <c r="AB76" s="43"/>
      <c r="AC76" s="43"/>
    </row>
    <row r="77" spans="1:29" s="85" customFormat="1" x14ac:dyDescent="0.3">
      <c r="A77" s="49"/>
      <c r="B77" s="45"/>
      <c r="C77" s="46"/>
      <c r="D77" s="47"/>
      <c r="E77" s="48"/>
      <c r="F77" s="47"/>
      <c r="G77" s="45"/>
      <c r="H77" s="46"/>
      <c r="I77" s="46"/>
      <c r="J77" s="46"/>
      <c r="K77" s="46"/>
      <c r="L77" s="46"/>
      <c r="M77" s="46"/>
      <c r="N77" s="46"/>
      <c r="O77" s="46"/>
      <c r="P77" s="46"/>
      <c r="Q77" s="46"/>
      <c r="R77" s="46"/>
      <c r="S77" s="43"/>
      <c r="T77" s="49"/>
      <c r="U77" s="49"/>
      <c r="V77" s="49"/>
      <c r="W77" s="79"/>
      <c r="X77" s="51"/>
      <c r="Y77" s="52"/>
      <c r="Z77" s="52"/>
      <c r="AA77" s="52"/>
      <c r="AB77" s="43"/>
      <c r="AC77" s="43"/>
    </row>
    <row r="78" spans="1:29" s="85" customFormat="1" x14ac:dyDescent="0.3">
      <c r="A78" s="49"/>
      <c r="B78" s="45"/>
      <c r="C78" s="46"/>
      <c r="D78" s="47"/>
      <c r="E78" s="48"/>
      <c r="F78" s="47"/>
      <c r="G78" s="45"/>
      <c r="H78" s="46"/>
      <c r="I78" s="46"/>
      <c r="J78" s="46"/>
      <c r="K78" s="46"/>
      <c r="L78" s="46"/>
      <c r="M78" s="46"/>
      <c r="N78" s="46"/>
      <c r="O78" s="46"/>
      <c r="P78" s="46"/>
      <c r="Q78" s="46"/>
      <c r="R78" s="46"/>
      <c r="S78" s="43"/>
      <c r="T78" s="49"/>
      <c r="U78" s="49"/>
      <c r="V78" s="49"/>
      <c r="W78" s="79"/>
      <c r="X78" s="51"/>
      <c r="Y78" s="52"/>
      <c r="Z78" s="52"/>
      <c r="AA78" s="52"/>
      <c r="AB78" s="43"/>
      <c r="AC78" s="43"/>
    </row>
    <row r="79" spans="1:29" s="85" customFormat="1" x14ac:dyDescent="0.3">
      <c r="A79" s="49"/>
      <c r="B79" s="45"/>
      <c r="C79" s="46"/>
      <c r="D79" s="47"/>
      <c r="E79" s="48"/>
      <c r="F79" s="47"/>
      <c r="G79" s="45"/>
      <c r="H79" s="46"/>
      <c r="I79" s="46"/>
      <c r="J79" s="46"/>
      <c r="K79" s="46"/>
      <c r="L79" s="46"/>
      <c r="M79" s="46"/>
      <c r="N79" s="46"/>
      <c r="O79" s="46"/>
      <c r="P79" s="46"/>
      <c r="Q79" s="46"/>
      <c r="R79" s="46"/>
      <c r="S79" s="43"/>
      <c r="T79" s="49"/>
      <c r="U79" s="49"/>
      <c r="V79" s="49"/>
      <c r="W79" s="79"/>
      <c r="X79" s="51"/>
      <c r="Y79" s="52"/>
      <c r="Z79" s="52"/>
      <c r="AA79" s="52"/>
      <c r="AB79" s="43"/>
      <c r="AC79" s="43"/>
    </row>
    <row r="80" spans="1:29" s="85" customFormat="1" x14ac:dyDescent="0.3">
      <c r="A80" s="49"/>
      <c r="B80" s="45"/>
      <c r="C80" s="46"/>
      <c r="D80" s="47"/>
      <c r="E80" s="48"/>
      <c r="F80" s="47"/>
      <c r="G80" s="45"/>
      <c r="H80" s="46"/>
      <c r="I80" s="46"/>
      <c r="J80" s="46"/>
      <c r="K80" s="46"/>
      <c r="L80" s="46"/>
      <c r="M80" s="46"/>
      <c r="N80" s="46"/>
      <c r="O80" s="46"/>
      <c r="P80" s="46"/>
      <c r="Q80" s="46"/>
      <c r="R80" s="46"/>
      <c r="S80" s="43"/>
      <c r="T80" s="49"/>
      <c r="U80" s="49"/>
      <c r="V80" s="49"/>
      <c r="W80" s="79"/>
      <c r="X80" s="51"/>
      <c r="Y80" s="52"/>
      <c r="Z80" s="52"/>
      <c r="AA80" s="52"/>
      <c r="AB80" s="43"/>
      <c r="AC80" s="43"/>
    </row>
    <row r="81" spans="1:32" s="85" customFormat="1" x14ac:dyDescent="0.3">
      <c r="A81" s="49"/>
      <c r="B81" s="45"/>
      <c r="C81" s="46"/>
      <c r="D81" s="47"/>
      <c r="E81" s="48"/>
      <c r="F81" s="47"/>
      <c r="G81" s="45"/>
      <c r="H81" s="46"/>
      <c r="I81" s="46"/>
      <c r="J81" s="46"/>
      <c r="K81" s="46"/>
      <c r="L81" s="46"/>
      <c r="M81" s="46"/>
      <c r="N81" s="46"/>
      <c r="O81" s="46"/>
      <c r="P81" s="46"/>
      <c r="Q81" s="46"/>
      <c r="R81" s="46"/>
      <c r="S81" s="43"/>
      <c r="T81" s="49"/>
      <c r="U81" s="49"/>
      <c r="V81" s="49"/>
      <c r="W81" s="79"/>
      <c r="X81" s="51"/>
      <c r="Y81" s="52"/>
      <c r="Z81" s="52"/>
      <c r="AA81" s="52"/>
      <c r="AB81" s="43"/>
      <c r="AC81" s="43"/>
    </row>
    <row r="82" spans="1:32" s="85" customFormat="1" x14ac:dyDescent="0.3">
      <c r="A82" s="49"/>
      <c r="B82" s="45"/>
      <c r="C82" s="46"/>
      <c r="D82" s="47"/>
      <c r="E82" s="48"/>
      <c r="F82" s="47"/>
      <c r="G82" s="45"/>
      <c r="H82" s="46"/>
      <c r="I82" s="46"/>
      <c r="J82" s="46"/>
      <c r="K82" s="46"/>
      <c r="L82" s="46"/>
      <c r="M82" s="46"/>
      <c r="N82" s="46"/>
      <c r="O82" s="46"/>
      <c r="P82" s="46"/>
      <c r="Q82" s="46"/>
      <c r="R82" s="46"/>
      <c r="S82" s="43"/>
      <c r="T82" s="49"/>
      <c r="U82" s="49"/>
      <c r="V82" s="49"/>
      <c r="W82" s="79"/>
      <c r="X82" s="51"/>
      <c r="Y82" s="52"/>
      <c r="Z82" s="52"/>
      <c r="AA82" s="52"/>
      <c r="AB82" s="43"/>
      <c r="AC82" s="43"/>
    </row>
    <row r="83" spans="1:32" s="85" customFormat="1" x14ac:dyDescent="0.3">
      <c r="A83" s="49"/>
      <c r="B83" s="45"/>
      <c r="C83" s="46"/>
      <c r="D83" s="47"/>
      <c r="E83" s="48"/>
      <c r="F83" s="47"/>
      <c r="G83" s="45"/>
      <c r="H83" s="46"/>
      <c r="I83" s="46"/>
      <c r="J83" s="46"/>
      <c r="K83" s="46"/>
      <c r="L83" s="46"/>
      <c r="M83" s="46"/>
      <c r="N83" s="46"/>
      <c r="O83" s="46"/>
      <c r="P83" s="46"/>
      <c r="Q83" s="46"/>
      <c r="R83" s="46"/>
      <c r="S83" s="43"/>
      <c r="T83" s="49"/>
      <c r="U83" s="49"/>
      <c r="V83" s="49"/>
      <c r="W83" s="79"/>
      <c r="X83" s="51"/>
      <c r="Y83" s="52"/>
      <c r="Z83" s="52"/>
      <c r="AA83" s="52"/>
      <c r="AB83" s="43"/>
      <c r="AC83" s="43"/>
    </row>
    <row r="84" spans="1:32" s="85" customFormat="1" x14ac:dyDescent="0.3">
      <c r="A84" s="49"/>
      <c r="B84" s="45"/>
      <c r="C84" s="46"/>
      <c r="D84" s="47"/>
      <c r="E84" s="48"/>
      <c r="F84" s="47"/>
      <c r="G84" s="45"/>
      <c r="H84" s="46"/>
      <c r="I84" s="46"/>
      <c r="J84" s="46"/>
      <c r="K84" s="46"/>
      <c r="L84" s="46"/>
      <c r="M84" s="46"/>
      <c r="N84" s="46"/>
      <c r="O84" s="46"/>
      <c r="P84" s="46"/>
      <c r="Q84" s="46"/>
      <c r="R84" s="46"/>
      <c r="S84" s="43"/>
      <c r="T84" s="49"/>
      <c r="U84" s="49"/>
      <c r="V84" s="49"/>
      <c r="W84" s="79"/>
      <c r="X84" s="51"/>
      <c r="Y84" s="52"/>
      <c r="Z84" s="52"/>
      <c r="AA84" s="52"/>
      <c r="AB84" s="43"/>
      <c r="AC84" s="43"/>
    </row>
    <row r="85" spans="1:32" s="86" customFormat="1" x14ac:dyDescent="0.3">
      <c r="A85" s="49"/>
      <c r="B85" s="45"/>
      <c r="C85" s="46"/>
      <c r="D85" s="47"/>
      <c r="E85" s="48"/>
      <c r="F85" s="47"/>
      <c r="G85" s="45"/>
      <c r="H85" s="46"/>
      <c r="I85" s="46"/>
      <c r="J85" s="46"/>
      <c r="K85" s="46"/>
      <c r="L85" s="46"/>
      <c r="M85" s="46"/>
      <c r="N85" s="46"/>
      <c r="O85" s="46"/>
      <c r="P85" s="46"/>
      <c r="Q85" s="46"/>
      <c r="R85" s="46"/>
      <c r="S85" s="43"/>
      <c r="T85" s="49"/>
      <c r="U85" s="49"/>
      <c r="V85" s="49"/>
      <c r="W85" s="79"/>
      <c r="X85" s="51"/>
      <c r="Y85" s="52"/>
      <c r="Z85" s="52"/>
      <c r="AA85" s="52"/>
      <c r="AB85" s="43"/>
      <c r="AC85" s="43"/>
      <c r="AE85" s="108"/>
      <c r="AF85" s="85"/>
    </row>
    <row r="86" spans="1:32" s="86" customFormat="1" x14ac:dyDescent="0.3">
      <c r="A86" s="49"/>
      <c r="B86" s="45"/>
      <c r="C86" s="46"/>
      <c r="D86" s="47"/>
      <c r="E86" s="48"/>
      <c r="F86" s="47"/>
      <c r="G86" s="45"/>
      <c r="H86" s="46"/>
      <c r="I86" s="46"/>
      <c r="J86" s="46"/>
      <c r="K86" s="46"/>
      <c r="L86" s="46"/>
      <c r="M86" s="46"/>
      <c r="N86" s="46"/>
      <c r="O86" s="46"/>
      <c r="P86" s="46"/>
      <c r="Q86" s="46"/>
      <c r="R86" s="46"/>
      <c r="S86" s="43"/>
      <c r="T86" s="49"/>
      <c r="U86" s="49"/>
      <c r="V86" s="49"/>
      <c r="W86" s="79"/>
      <c r="X86" s="51"/>
      <c r="Y86" s="52"/>
      <c r="Z86" s="52"/>
      <c r="AA86" s="52"/>
      <c r="AB86" s="43"/>
      <c r="AC86" s="43"/>
      <c r="AE86" s="108"/>
      <c r="AF86" s="85"/>
    </row>
  </sheetData>
  <sheetProtection formatCells="0" formatColumns="0" formatRows="0" insertColumns="0" insertRows="0" insertHyperlinks="0" deleteColumns="0" deleteRows="0" sort="0" autoFilter="0" pivotTables="0"/>
  <autoFilter ref="A2:AE25" xr:uid="{00000000-0009-0000-0000-000002000000}"/>
  <mergeCells count="1">
    <mergeCell ref="AF1:AH1"/>
  </mergeCells>
  <conditionalFormatting sqref="I3:I23">
    <cfRule type="cellIs" dxfId="38" priority="5" operator="equal">
      <formula>"OK"</formula>
    </cfRule>
    <cfRule type="cellIs" dxfId="37" priority="6" operator="equal">
      <formula>"DIFIERE"</formula>
    </cfRule>
  </conditionalFormatting>
  <conditionalFormatting sqref="C3:C23">
    <cfRule type="cellIs" dxfId="36" priority="4" operator="equal">
      <formula>"COD. REPETIDO"</formula>
    </cfRule>
  </conditionalFormatting>
  <conditionalFormatting sqref="I24">
    <cfRule type="cellIs" dxfId="35" priority="2" operator="equal">
      <formula>"OK"</formula>
    </cfRule>
    <cfRule type="cellIs" dxfId="34" priority="3" operator="equal">
      <formula>"DIFIERE"</formula>
    </cfRule>
  </conditionalFormatting>
  <conditionalFormatting sqref="C24">
    <cfRule type="cellIs" dxfId="33" priority="1" operator="equal">
      <formula>"COD. REPETIDO"</formula>
    </cfRule>
  </conditionalFormatting>
  <pageMargins left="0.7" right="0.7" top="0.75" bottom="0.75" header="0.3" footer="0.3"/>
  <pageSetup paperSize="142"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AJ1048532"/>
  <sheetViews>
    <sheetView workbookViewId="0">
      <selection activeCell="AL116" sqref="AL116"/>
    </sheetView>
  </sheetViews>
  <sheetFormatPr baseColWidth="10" defaultRowHeight="16.5" x14ac:dyDescent="0.25"/>
  <cols>
    <col min="1" max="1" width="11.42578125" style="3"/>
    <col min="2" max="2" width="12.140625" style="3" hidden="1" customWidth="1"/>
    <col min="3" max="3" width="11.42578125" style="3" hidden="1" customWidth="1"/>
    <col min="4" max="4" width="39.28515625" style="110" customWidth="1"/>
    <col min="5" max="5" width="14.42578125" style="60" bestFit="1" customWidth="1"/>
    <col min="6" max="6" width="27.5703125" style="83" hidden="1" customWidth="1"/>
    <col min="7" max="7" width="11.42578125" style="32" hidden="1" customWidth="1"/>
    <col min="8" max="8" width="12.140625" style="32" hidden="1" customWidth="1"/>
    <col min="9" max="9" width="13.5703125" style="32" hidden="1" customWidth="1"/>
    <col min="10" max="10" width="11.42578125" style="32" hidden="1" customWidth="1"/>
    <col min="11" max="13" width="9.28515625" style="32" hidden="1" customWidth="1"/>
    <col min="14" max="14" width="9.7109375" style="32" hidden="1" customWidth="1"/>
    <col min="15" max="15" width="9.28515625" style="32" hidden="1" customWidth="1"/>
    <col min="16" max="16" width="9.7109375" style="32" hidden="1" customWidth="1"/>
    <col min="17" max="17" width="9.28515625" style="32" hidden="1" customWidth="1"/>
    <col min="18" max="18" width="11.28515625" style="32" hidden="1" customWidth="1"/>
    <col min="19" max="19" width="26.85546875" style="32" hidden="1" customWidth="1"/>
    <col min="20" max="21" width="26.85546875" style="72" hidden="1" customWidth="1"/>
    <col min="22" max="23" width="26.85546875" style="32" hidden="1" customWidth="1"/>
    <col min="24" max="24" width="16.5703125" style="32" hidden="1" customWidth="1"/>
    <col min="25" max="25" width="16.5703125" style="72" hidden="1" customWidth="1"/>
    <col min="26" max="26" width="15.85546875" style="72" hidden="1" customWidth="1"/>
    <col min="27" max="27" width="16.5703125" style="73" hidden="1" customWidth="1"/>
    <col min="28" max="28" width="18.140625" style="83" hidden="1" customWidth="1"/>
    <col min="29" max="29" width="14.85546875" style="32" hidden="1" customWidth="1"/>
    <col min="30" max="30" width="29" style="32" hidden="1" customWidth="1"/>
    <col min="31" max="32" width="0" style="3" hidden="1" customWidth="1"/>
    <col min="33" max="33" width="11.28515625" style="3" hidden="1" customWidth="1"/>
    <col min="34" max="16384" width="11.42578125" style="3"/>
  </cols>
  <sheetData>
    <row r="1" spans="1:36" ht="49.5" x14ac:dyDescent="0.25">
      <c r="V1" s="6" t="s">
        <v>0</v>
      </c>
      <c r="W1" s="7" t="s">
        <v>1</v>
      </c>
      <c r="X1" s="7" t="s">
        <v>2</v>
      </c>
      <c r="Y1" s="6" t="s">
        <v>3</v>
      </c>
      <c r="Z1" s="6" t="s">
        <v>4</v>
      </c>
      <c r="AA1" s="8" t="s">
        <v>5</v>
      </c>
      <c r="AB1" s="7" t="s">
        <v>6</v>
      </c>
      <c r="AC1" s="7" t="s">
        <v>7</v>
      </c>
      <c r="AD1" s="7" t="s">
        <v>8</v>
      </c>
      <c r="AG1" s="7" t="s">
        <v>9</v>
      </c>
      <c r="AH1" s="175" t="s">
        <v>9</v>
      </c>
      <c r="AI1" s="175"/>
      <c r="AJ1" s="175"/>
    </row>
    <row r="2" spans="1:36" ht="66" x14ac:dyDescent="0.25">
      <c r="A2" s="63" t="s">
        <v>10</v>
      </c>
      <c r="B2" s="64" t="s">
        <v>11</v>
      </c>
      <c r="C2" s="64" t="s">
        <v>12</v>
      </c>
      <c r="D2" s="112" t="s">
        <v>13</v>
      </c>
      <c r="E2" s="66" t="s">
        <v>14</v>
      </c>
      <c r="F2" s="7" t="s">
        <v>15</v>
      </c>
      <c r="G2" s="60" t="s">
        <v>126</v>
      </c>
      <c r="H2" s="60" t="s">
        <v>127</v>
      </c>
      <c r="I2" s="60" t="s">
        <v>128</v>
      </c>
      <c r="J2" s="88" t="s">
        <v>129</v>
      </c>
      <c r="K2" s="66" t="s">
        <v>130</v>
      </c>
      <c r="L2" s="66" t="s">
        <v>131</v>
      </c>
      <c r="M2" s="66" t="s">
        <v>132</v>
      </c>
      <c r="N2" s="66" t="s">
        <v>133</v>
      </c>
      <c r="O2" s="66" t="s">
        <v>134</v>
      </c>
      <c r="P2" s="66" t="s">
        <v>135</v>
      </c>
      <c r="Q2" s="66" t="s">
        <v>136</v>
      </c>
      <c r="R2" s="66" t="s">
        <v>137</v>
      </c>
      <c r="S2" s="66" t="s">
        <v>138</v>
      </c>
      <c r="T2" s="6"/>
      <c r="U2" s="6"/>
      <c r="V2" s="67" t="s">
        <v>16</v>
      </c>
      <c r="W2" s="67" t="s">
        <v>16</v>
      </c>
      <c r="X2" s="67" t="s">
        <v>16</v>
      </c>
      <c r="Y2" s="68" t="s">
        <v>16</v>
      </c>
      <c r="Z2" s="68" t="s">
        <v>16</v>
      </c>
      <c r="AA2" s="20" t="s">
        <v>16</v>
      </c>
      <c r="AB2" s="7" t="s">
        <v>16</v>
      </c>
      <c r="AC2" s="7" t="s">
        <v>16</v>
      </c>
      <c r="AD2" s="7" t="s">
        <v>16</v>
      </c>
      <c r="AG2" s="7" t="s">
        <v>172</v>
      </c>
      <c r="AH2" s="111" t="s">
        <v>16</v>
      </c>
      <c r="AI2" s="111" t="s">
        <v>173</v>
      </c>
      <c r="AJ2" s="111" t="s">
        <v>19</v>
      </c>
    </row>
    <row r="3" spans="1:36" ht="33" x14ac:dyDescent="0.25">
      <c r="A3" s="32">
        <v>1</v>
      </c>
      <c r="B3" s="23">
        <v>1042021248</v>
      </c>
      <c r="C3" s="24" t="s">
        <v>20</v>
      </c>
      <c r="D3" s="113" t="s">
        <v>201</v>
      </c>
      <c r="E3" s="26" t="s">
        <v>202</v>
      </c>
      <c r="F3" s="114" t="s">
        <v>203</v>
      </c>
      <c r="G3" s="26" t="e">
        <v>#N/A</v>
      </c>
      <c r="H3" s="26" t="e">
        <v>#N/A</v>
      </c>
      <c r="I3" s="26" t="s">
        <v>20</v>
      </c>
      <c r="J3" s="70">
        <v>1879.99667</v>
      </c>
      <c r="K3" s="71">
        <v>0</v>
      </c>
      <c r="L3" s="71">
        <v>60</v>
      </c>
      <c r="M3" s="71">
        <v>3</v>
      </c>
      <c r="N3" s="71">
        <v>0.25</v>
      </c>
      <c r="O3" s="71">
        <v>150</v>
      </c>
      <c r="P3" s="71">
        <v>12.5</v>
      </c>
      <c r="Q3" s="71">
        <v>0</v>
      </c>
      <c r="R3" s="71">
        <v>0</v>
      </c>
      <c r="S3" s="26"/>
      <c r="T3" s="28">
        <f>VLOOKUP(D3:D119,'[1]Lista de artículos (1)'!$A$3:$I$553,7)</f>
        <v>3508.9109379831934</v>
      </c>
      <c r="U3" s="28" t="e">
        <f>VLOOKUP(D3,'[1]Lista de artículos (1)'!$A$3:$G$553,7,0)</f>
        <v>#N/A</v>
      </c>
      <c r="V3" s="26" t="s">
        <v>176</v>
      </c>
      <c r="W3" s="26" t="s">
        <v>176</v>
      </c>
      <c r="X3" s="32" t="s">
        <v>25</v>
      </c>
      <c r="Y3" s="72" t="s">
        <v>25</v>
      </c>
      <c r="Z3" s="72" t="s">
        <v>25</v>
      </c>
      <c r="AA3" s="73" t="s">
        <v>25</v>
      </c>
      <c r="AB3" s="73" t="s">
        <v>24</v>
      </c>
      <c r="AC3" s="72">
        <v>33181</v>
      </c>
      <c r="AD3" s="32" t="s">
        <v>176</v>
      </c>
      <c r="AG3" s="73">
        <f>MIN(V3:AD3)</f>
        <v>33181</v>
      </c>
      <c r="AH3" s="73">
        <v>33181</v>
      </c>
      <c r="AI3" s="73">
        <v>6304.39</v>
      </c>
      <c r="AJ3" s="73">
        <v>39485.39</v>
      </c>
    </row>
    <row r="4" spans="1:36" x14ac:dyDescent="0.25">
      <c r="A4" s="32">
        <v>2</v>
      </c>
      <c r="B4" s="23">
        <v>1121020020</v>
      </c>
      <c r="C4" s="24" t="s">
        <v>20</v>
      </c>
      <c r="D4" s="113" t="s">
        <v>204</v>
      </c>
      <c r="E4" s="26" t="s">
        <v>66</v>
      </c>
      <c r="F4" s="114" t="s">
        <v>205</v>
      </c>
      <c r="G4" s="26" t="e">
        <v>#N/A</v>
      </c>
      <c r="H4" s="26" t="e">
        <v>#N/A</v>
      </c>
      <c r="I4" s="26" t="s">
        <v>20</v>
      </c>
      <c r="J4" s="70">
        <v>166700</v>
      </c>
      <c r="K4" s="71">
        <v>0</v>
      </c>
      <c r="L4" s="71">
        <v>0</v>
      </c>
      <c r="M4" s="71">
        <v>0</v>
      </c>
      <c r="N4" s="71">
        <v>0</v>
      </c>
      <c r="O4" s="71">
        <v>0</v>
      </c>
      <c r="P4" s="71">
        <v>0</v>
      </c>
      <c r="Q4" s="71">
        <v>0</v>
      </c>
      <c r="R4" s="71">
        <v>0</v>
      </c>
      <c r="S4" s="26"/>
      <c r="T4" s="28">
        <f>VLOOKUP(D4:D120,'[1]Lista de artículos (1)'!$A$3:$I$553,7)</f>
        <v>177247.4200835294</v>
      </c>
      <c r="U4" s="28" t="e">
        <f>VLOOKUP(D4,'[1]Lista de artículos (1)'!$A$3:$G$553,7,0)</f>
        <v>#N/A</v>
      </c>
      <c r="V4" s="26" t="s">
        <v>176</v>
      </c>
      <c r="W4" s="26" t="s">
        <v>176</v>
      </c>
      <c r="X4" s="32" t="s">
        <v>25</v>
      </c>
      <c r="Y4" s="72">
        <v>136900</v>
      </c>
      <c r="Z4" s="72" t="s">
        <v>25</v>
      </c>
      <c r="AA4" s="73" t="s">
        <v>25</v>
      </c>
      <c r="AB4" s="73" t="s">
        <v>24</v>
      </c>
      <c r="AC4" s="72" t="s">
        <v>24</v>
      </c>
      <c r="AD4" s="72">
        <v>208228</v>
      </c>
      <c r="AG4" s="73">
        <f t="shared" ref="AG4:AG67" si="0">MIN(V4:AD4)</f>
        <v>136900</v>
      </c>
      <c r="AH4" s="73">
        <v>172564</v>
      </c>
      <c r="AI4" s="73">
        <v>32787.160000000003</v>
      </c>
      <c r="AJ4" s="73">
        <v>205351.16</v>
      </c>
    </row>
    <row r="5" spans="1:36" x14ac:dyDescent="0.25">
      <c r="A5" s="32">
        <v>3</v>
      </c>
      <c r="B5" s="23">
        <v>1121020310</v>
      </c>
      <c r="C5" s="24" t="s">
        <v>20</v>
      </c>
      <c r="D5" s="113" t="s">
        <v>206</v>
      </c>
      <c r="E5" s="26" t="s">
        <v>66</v>
      </c>
      <c r="F5" s="114" t="s">
        <v>206</v>
      </c>
      <c r="G5" s="26" t="e">
        <v>#N/A</v>
      </c>
      <c r="H5" s="26" t="e">
        <v>#N/A</v>
      </c>
      <c r="I5" s="26" t="s">
        <v>20</v>
      </c>
      <c r="J5" s="70">
        <v>3829.05</v>
      </c>
      <c r="K5" s="71">
        <v>10</v>
      </c>
      <c r="L5" s="71">
        <v>10</v>
      </c>
      <c r="M5" s="71">
        <v>23</v>
      </c>
      <c r="N5" s="71">
        <v>1.9166666666666667</v>
      </c>
      <c r="O5" s="71">
        <v>10</v>
      </c>
      <c r="P5" s="71">
        <v>0.83333333333333337</v>
      </c>
      <c r="Q5" s="71">
        <v>0</v>
      </c>
      <c r="R5" s="71">
        <v>0</v>
      </c>
      <c r="S5" s="26"/>
      <c r="T5" s="28">
        <f>VLOOKUP(D5:D121,'[1]Lista de artículos (1)'!$A$3:$I$553,7)</f>
        <v>3573.6117458823533</v>
      </c>
      <c r="U5" s="28">
        <f>VLOOKUP(D5,'[1]Lista de artículos (1)'!$A$3:$G$553,7,0)</f>
        <v>3573.6117458823533</v>
      </c>
      <c r="V5" s="26" t="s">
        <v>176</v>
      </c>
      <c r="W5" s="26" t="s">
        <v>176</v>
      </c>
      <c r="X5" s="32" t="s">
        <v>25</v>
      </c>
      <c r="Y5" s="72" t="s">
        <v>25</v>
      </c>
      <c r="Z5" s="72" t="s">
        <v>25</v>
      </c>
      <c r="AA5" s="73" t="s">
        <v>25</v>
      </c>
      <c r="AB5" s="73" t="s">
        <v>24</v>
      </c>
      <c r="AC5" s="72">
        <v>4309</v>
      </c>
      <c r="AD5" s="32" t="s">
        <v>176</v>
      </c>
      <c r="AG5" s="73">
        <f t="shared" si="0"/>
        <v>4309</v>
      </c>
      <c r="AH5" s="73">
        <v>4309</v>
      </c>
      <c r="AI5" s="73">
        <v>818.71</v>
      </c>
      <c r="AJ5" s="73">
        <v>5127.71</v>
      </c>
    </row>
    <row r="6" spans="1:36" ht="33" x14ac:dyDescent="0.25">
      <c r="A6" s="32">
        <v>4</v>
      </c>
      <c r="B6" s="23">
        <v>1043205658</v>
      </c>
      <c r="C6" s="24" t="s">
        <v>20</v>
      </c>
      <c r="D6" s="113" t="s">
        <v>207</v>
      </c>
      <c r="E6" s="26" t="s">
        <v>22</v>
      </c>
      <c r="F6" s="114" t="s">
        <v>208</v>
      </c>
      <c r="G6" s="26" t="e">
        <v>#N/A</v>
      </c>
      <c r="H6" s="26" t="e">
        <v>#N/A</v>
      </c>
      <c r="I6" s="26" t="s">
        <v>20</v>
      </c>
      <c r="J6" s="70">
        <v>136.01</v>
      </c>
      <c r="K6" s="71">
        <v>0</v>
      </c>
      <c r="L6" s="71">
        <v>0</v>
      </c>
      <c r="M6" s="71">
        <v>0</v>
      </c>
      <c r="N6" s="71">
        <v>0</v>
      </c>
      <c r="O6" s="71">
        <v>0</v>
      </c>
      <c r="P6" s="71">
        <v>0</v>
      </c>
      <c r="Q6" s="71">
        <v>0</v>
      </c>
      <c r="R6" s="71">
        <v>50</v>
      </c>
      <c r="S6" s="26"/>
      <c r="T6" s="28">
        <f>VLOOKUP(D6:D122,'[1]Lista de artículos (1)'!$A$3:$I$553,7)</f>
        <v>126.74267848739494</v>
      </c>
      <c r="U6" s="28">
        <f>VLOOKUP(D6,'[1]Lista de artículos (1)'!$A$3:$G$553,7,0)</f>
        <v>126.74267848739494</v>
      </c>
      <c r="V6" s="28">
        <v>19900</v>
      </c>
      <c r="W6" s="28">
        <v>39900</v>
      </c>
      <c r="X6" s="32" t="s">
        <v>25</v>
      </c>
      <c r="Y6" s="72" t="s">
        <v>25</v>
      </c>
      <c r="Z6" s="72" t="s">
        <v>25</v>
      </c>
      <c r="AA6" s="73" t="s">
        <v>25</v>
      </c>
      <c r="AB6" s="73" t="s">
        <v>24</v>
      </c>
      <c r="AC6" s="72" t="s">
        <v>24</v>
      </c>
      <c r="AD6" s="115">
        <v>16237</v>
      </c>
      <c r="AG6" s="73">
        <f t="shared" si="0"/>
        <v>16237</v>
      </c>
      <c r="AH6" s="73">
        <v>25345.666666666668</v>
      </c>
      <c r="AI6" s="73">
        <v>4815.6766666666672</v>
      </c>
      <c r="AJ6" s="73">
        <v>30161.343333333334</v>
      </c>
    </row>
    <row r="7" spans="1:36" ht="33" x14ac:dyDescent="0.25">
      <c r="A7" s="32">
        <v>5</v>
      </c>
      <c r="B7" s="23">
        <v>1043205070</v>
      </c>
      <c r="C7" s="24" t="s">
        <v>20</v>
      </c>
      <c r="D7" s="113" t="s">
        <v>209</v>
      </c>
      <c r="E7" s="26" t="s">
        <v>210</v>
      </c>
      <c r="F7" s="114" t="s">
        <v>209</v>
      </c>
      <c r="G7" s="26" t="e">
        <v>#N/A</v>
      </c>
      <c r="H7" s="26" t="e">
        <v>#N/A</v>
      </c>
      <c r="I7" s="26" t="s">
        <v>20</v>
      </c>
      <c r="J7" s="70">
        <v>193725.12</v>
      </c>
      <c r="K7" s="71">
        <v>0</v>
      </c>
      <c r="L7" s="71">
        <v>0</v>
      </c>
      <c r="M7" s="71">
        <v>0</v>
      </c>
      <c r="N7" s="71">
        <v>0</v>
      </c>
      <c r="O7" s="71">
        <v>3</v>
      </c>
      <c r="P7" s="71">
        <v>0.25</v>
      </c>
      <c r="Q7" s="71">
        <v>0</v>
      </c>
      <c r="R7" s="71">
        <v>0</v>
      </c>
      <c r="S7" s="26"/>
      <c r="T7" s="28">
        <f>VLOOKUP(D7:D126,'[1]Lista de artículos (1)'!$A$3:$I$553,7)</f>
        <v>180807.73714285714</v>
      </c>
      <c r="U7" s="28">
        <f>VLOOKUP(D7,'[1]Lista de artículos (1)'!$A$3:$G$553,7,0)</f>
        <v>180807.73714285714</v>
      </c>
      <c r="V7" s="26" t="s">
        <v>176</v>
      </c>
      <c r="W7" s="26" t="s">
        <v>176</v>
      </c>
      <c r="X7" s="32" t="s">
        <v>25</v>
      </c>
      <c r="Y7" s="72">
        <v>7500</v>
      </c>
      <c r="Z7" s="72" t="s">
        <v>25</v>
      </c>
      <c r="AA7" s="73" t="s">
        <v>25</v>
      </c>
      <c r="AB7" s="73" t="s">
        <v>24</v>
      </c>
      <c r="AC7" s="72">
        <v>108875</v>
      </c>
      <c r="AD7" s="32" t="s">
        <v>176</v>
      </c>
      <c r="AG7" s="73">
        <f t="shared" si="0"/>
        <v>7500</v>
      </c>
      <c r="AH7" s="73">
        <v>58187.5</v>
      </c>
      <c r="AI7" s="73">
        <v>11055.625</v>
      </c>
      <c r="AJ7" s="73">
        <v>69243.125</v>
      </c>
    </row>
    <row r="8" spans="1:36" x14ac:dyDescent="0.25">
      <c r="A8" s="32">
        <v>6</v>
      </c>
      <c r="B8" s="23">
        <v>1128599123</v>
      </c>
      <c r="C8" s="24" t="s">
        <v>20</v>
      </c>
      <c r="D8" s="113" t="s">
        <v>211</v>
      </c>
      <c r="E8" s="26" t="s">
        <v>22</v>
      </c>
      <c r="F8" s="114" t="s">
        <v>211</v>
      </c>
      <c r="G8" s="26" t="e">
        <v>#N/A</v>
      </c>
      <c r="H8" s="26" t="e">
        <v>#N/A</v>
      </c>
      <c r="I8" s="26" t="s">
        <v>20</v>
      </c>
      <c r="J8" s="70">
        <v>6457.05</v>
      </c>
      <c r="K8" s="71">
        <v>0</v>
      </c>
      <c r="L8" s="71">
        <v>0</v>
      </c>
      <c r="M8" s="71">
        <v>0</v>
      </c>
      <c r="N8" s="71">
        <v>0</v>
      </c>
      <c r="O8" s="71">
        <v>5</v>
      </c>
      <c r="P8" s="71">
        <v>0.41666666666666669</v>
      </c>
      <c r="Q8" s="71">
        <v>0</v>
      </c>
      <c r="R8" s="71">
        <v>0</v>
      </c>
      <c r="S8" s="26"/>
      <c r="T8" s="28">
        <f>VLOOKUP(D8:D127,'[1]Lista de artículos (1)'!$A$3:$I$553,7)</f>
        <v>6026.9245714285717</v>
      </c>
      <c r="U8" s="28">
        <f>VLOOKUP(D8,'[1]Lista de artículos (1)'!$A$3:$G$553,7,0)</f>
        <v>6026.9245714285717</v>
      </c>
      <c r="V8" s="26" t="s">
        <v>176</v>
      </c>
      <c r="W8" s="26" t="s">
        <v>176</v>
      </c>
      <c r="X8" s="32" t="s">
        <v>25</v>
      </c>
      <c r="Y8" s="72" t="s">
        <v>25</v>
      </c>
      <c r="Z8" s="72" t="s">
        <v>25</v>
      </c>
      <c r="AA8" s="73">
        <v>14700</v>
      </c>
      <c r="AB8" s="73" t="s">
        <v>24</v>
      </c>
      <c r="AC8" s="72" t="s">
        <v>24</v>
      </c>
      <c r="AD8" s="32" t="s">
        <v>176</v>
      </c>
      <c r="AG8" s="73">
        <f t="shared" si="0"/>
        <v>14700</v>
      </c>
      <c r="AH8" s="73">
        <v>14700</v>
      </c>
      <c r="AI8" s="73">
        <v>2793</v>
      </c>
      <c r="AJ8" s="73">
        <v>17493</v>
      </c>
    </row>
    <row r="9" spans="1:36" ht="33" x14ac:dyDescent="0.25">
      <c r="A9" s="32">
        <v>7</v>
      </c>
      <c r="B9" s="23">
        <v>1043205317</v>
      </c>
      <c r="C9" s="24" t="s">
        <v>20</v>
      </c>
      <c r="D9" s="113" t="s">
        <v>212</v>
      </c>
      <c r="E9" s="26" t="s">
        <v>22</v>
      </c>
      <c r="F9" s="114" t="s">
        <v>212</v>
      </c>
      <c r="G9" s="26" t="e">
        <v>#N/A</v>
      </c>
      <c r="H9" s="26" t="e">
        <v>#N/A</v>
      </c>
      <c r="I9" s="26" t="s">
        <v>20</v>
      </c>
      <c r="J9" s="70">
        <v>1</v>
      </c>
      <c r="K9" s="71">
        <v>0</v>
      </c>
      <c r="L9" s="71">
        <v>0</v>
      </c>
      <c r="M9" s="71">
        <v>0</v>
      </c>
      <c r="N9" s="71">
        <v>0</v>
      </c>
      <c r="O9" s="71">
        <v>0</v>
      </c>
      <c r="P9" s="71">
        <v>0</v>
      </c>
      <c r="Q9" s="71">
        <v>0</v>
      </c>
      <c r="R9" s="71">
        <v>0</v>
      </c>
      <c r="S9" s="26"/>
      <c r="T9" s="28">
        <f>VLOOKUP(D9:D128,'[1]Lista de artículos (1)'!$A$3:$I$553,7)</f>
        <v>6026.9245714285717</v>
      </c>
      <c r="U9" s="28" t="e">
        <f>VLOOKUP(D9,'[1]Lista de artículos (1)'!$A$3:$G$553,7,0)</f>
        <v>#N/A</v>
      </c>
      <c r="V9" s="26" t="s">
        <v>176</v>
      </c>
      <c r="W9" s="26" t="s">
        <v>176</v>
      </c>
      <c r="X9" s="32" t="s">
        <v>25</v>
      </c>
      <c r="Y9" s="72">
        <v>900</v>
      </c>
      <c r="Z9" s="72" t="s">
        <v>25</v>
      </c>
      <c r="AA9" s="73" t="s">
        <v>25</v>
      </c>
      <c r="AB9" s="73" t="s">
        <v>24</v>
      </c>
      <c r="AC9" s="72">
        <v>986</v>
      </c>
      <c r="AD9" s="32" t="s">
        <v>176</v>
      </c>
      <c r="AG9" s="73">
        <f t="shared" si="0"/>
        <v>900</v>
      </c>
      <c r="AH9" s="73">
        <v>943</v>
      </c>
      <c r="AI9" s="73">
        <v>0</v>
      </c>
      <c r="AJ9" s="73">
        <v>943</v>
      </c>
    </row>
    <row r="10" spans="1:36" ht="33" x14ac:dyDescent="0.25">
      <c r="A10" s="32">
        <v>8</v>
      </c>
      <c r="B10" s="23">
        <v>1043205259</v>
      </c>
      <c r="C10" s="24" t="s">
        <v>20</v>
      </c>
      <c r="D10" s="113" t="s">
        <v>213</v>
      </c>
      <c r="E10" s="26" t="s">
        <v>22</v>
      </c>
      <c r="F10" s="114" t="s">
        <v>213</v>
      </c>
      <c r="G10" s="26" t="e">
        <v>#N/A</v>
      </c>
      <c r="H10" s="26" t="e">
        <v>#N/A</v>
      </c>
      <c r="I10" s="26" t="s">
        <v>20</v>
      </c>
      <c r="J10" s="70">
        <v>1</v>
      </c>
      <c r="K10" s="71">
        <v>0</v>
      </c>
      <c r="L10" s="71">
        <v>0</v>
      </c>
      <c r="M10" s="71">
        <v>0</v>
      </c>
      <c r="N10" s="71">
        <v>0</v>
      </c>
      <c r="O10" s="71">
        <v>0</v>
      </c>
      <c r="P10" s="71">
        <v>0</v>
      </c>
      <c r="Q10" s="71">
        <v>0</v>
      </c>
      <c r="R10" s="71">
        <v>0</v>
      </c>
      <c r="S10" s="26"/>
      <c r="T10" s="28">
        <f>VLOOKUP(D10:D129,'[1]Lista de artículos (1)'!$A$3:$I$553,7)</f>
        <v>6026.9245714285717</v>
      </c>
      <c r="U10" s="28" t="e">
        <f>VLOOKUP(D10,'[1]Lista de artículos (1)'!$A$3:$G$553,7,0)</f>
        <v>#N/A</v>
      </c>
      <c r="V10" s="28">
        <v>500</v>
      </c>
      <c r="W10" s="28" t="s">
        <v>24</v>
      </c>
      <c r="X10" s="32" t="s">
        <v>25</v>
      </c>
      <c r="Y10" s="72" t="s">
        <v>25</v>
      </c>
      <c r="Z10" s="72" t="s">
        <v>25</v>
      </c>
      <c r="AA10" s="73" t="s">
        <v>25</v>
      </c>
      <c r="AB10" s="73" t="s">
        <v>24</v>
      </c>
      <c r="AC10" s="72" t="s">
        <v>24</v>
      </c>
      <c r="AD10" s="115" t="s">
        <v>24</v>
      </c>
      <c r="AG10" s="73">
        <f t="shared" si="0"/>
        <v>500</v>
      </c>
      <c r="AH10" s="73">
        <v>500</v>
      </c>
      <c r="AI10" s="73">
        <v>0</v>
      </c>
      <c r="AJ10" s="73">
        <v>500</v>
      </c>
    </row>
    <row r="11" spans="1:36" x14ac:dyDescent="0.25">
      <c r="A11" s="32">
        <v>9</v>
      </c>
      <c r="B11" s="23">
        <v>1043205261</v>
      </c>
      <c r="C11" s="24" t="s">
        <v>20</v>
      </c>
      <c r="D11" s="113" t="s">
        <v>214</v>
      </c>
      <c r="E11" s="26" t="s">
        <v>22</v>
      </c>
      <c r="F11" s="114" t="s">
        <v>214</v>
      </c>
      <c r="G11" s="26" t="e">
        <v>#N/A</v>
      </c>
      <c r="H11" s="26" t="e">
        <v>#N/A</v>
      </c>
      <c r="I11" s="26" t="s">
        <v>20</v>
      </c>
      <c r="J11" s="70">
        <v>915</v>
      </c>
      <c r="K11" s="71">
        <v>0</v>
      </c>
      <c r="L11" s="71">
        <v>0</v>
      </c>
      <c r="M11" s="71">
        <v>0</v>
      </c>
      <c r="N11" s="71">
        <v>0</v>
      </c>
      <c r="O11" s="71">
        <v>100</v>
      </c>
      <c r="P11" s="71">
        <v>8.3333333333333339</v>
      </c>
      <c r="Q11" s="71">
        <v>0</v>
      </c>
      <c r="R11" s="71">
        <v>0</v>
      </c>
      <c r="S11" s="26"/>
      <c r="T11" s="28">
        <f>VLOOKUP(D11:D130,'[1]Lista de artículos (1)'!$A$3:$I$553,7)</f>
        <v>853.5188768067228</v>
      </c>
      <c r="U11" s="28" t="e">
        <f>VLOOKUP(D11,'[1]Lista de artículos (1)'!$A$3:$G$553,7,0)</f>
        <v>#N/A</v>
      </c>
      <c r="V11" s="26" t="s">
        <v>176</v>
      </c>
      <c r="W11" s="26" t="s">
        <v>176</v>
      </c>
      <c r="X11" s="32" t="s">
        <v>25</v>
      </c>
      <c r="Y11" s="72">
        <v>950</v>
      </c>
      <c r="Z11" s="72" t="s">
        <v>25</v>
      </c>
      <c r="AA11" s="73" t="s">
        <v>25</v>
      </c>
      <c r="AB11" s="73" t="s">
        <v>24</v>
      </c>
      <c r="AC11" s="72">
        <v>986</v>
      </c>
      <c r="AD11" s="32" t="s">
        <v>176</v>
      </c>
      <c r="AG11" s="73">
        <f t="shared" si="0"/>
        <v>950</v>
      </c>
      <c r="AH11" s="73">
        <v>968</v>
      </c>
      <c r="AI11" s="73">
        <v>0</v>
      </c>
      <c r="AJ11" s="73">
        <v>968</v>
      </c>
    </row>
    <row r="12" spans="1:36" ht="33" x14ac:dyDescent="0.25">
      <c r="A12" s="32">
        <v>10</v>
      </c>
      <c r="B12" s="23">
        <v>1043205256</v>
      </c>
      <c r="C12" s="24" t="s">
        <v>20</v>
      </c>
      <c r="D12" s="113" t="s">
        <v>215</v>
      </c>
      <c r="E12" s="26" t="s">
        <v>22</v>
      </c>
      <c r="F12" s="114" t="s">
        <v>215</v>
      </c>
      <c r="G12" s="26" t="e">
        <v>#N/A</v>
      </c>
      <c r="H12" s="26" t="e">
        <v>#N/A</v>
      </c>
      <c r="I12" s="26" t="s">
        <v>20</v>
      </c>
      <c r="J12" s="70">
        <v>760</v>
      </c>
      <c r="K12" s="71">
        <v>0</v>
      </c>
      <c r="L12" s="71">
        <v>900</v>
      </c>
      <c r="M12" s="71">
        <v>1730</v>
      </c>
      <c r="N12" s="71">
        <v>144.16666666666666</v>
      </c>
      <c r="O12" s="71">
        <v>300</v>
      </c>
      <c r="P12" s="71">
        <v>25</v>
      </c>
      <c r="Q12" s="71">
        <v>0</v>
      </c>
      <c r="R12" s="71">
        <v>0</v>
      </c>
      <c r="S12" s="26"/>
      <c r="T12" s="28">
        <f>VLOOKUP(D12:D131,'[1]Lista de artículos (1)'!$A$3:$I$553,7)</f>
        <v>853.5188768067228</v>
      </c>
      <c r="U12" s="28" t="e">
        <f>VLOOKUP(D12,'[1]Lista de artículos (1)'!$A$3:$G$553,7,0)</f>
        <v>#N/A</v>
      </c>
      <c r="V12" s="26" t="s">
        <v>176</v>
      </c>
      <c r="W12" s="26" t="s">
        <v>176</v>
      </c>
      <c r="X12" s="32" t="s">
        <v>25</v>
      </c>
      <c r="Y12" s="72">
        <v>900</v>
      </c>
      <c r="Z12" s="72" t="s">
        <v>25</v>
      </c>
      <c r="AA12" s="73" t="s">
        <v>25</v>
      </c>
      <c r="AB12" s="73" t="s">
        <v>24</v>
      </c>
      <c r="AC12" s="72" t="s">
        <v>24</v>
      </c>
      <c r="AD12" s="32" t="s">
        <v>176</v>
      </c>
      <c r="AG12" s="73">
        <f t="shared" si="0"/>
        <v>900</v>
      </c>
      <c r="AH12" s="73">
        <v>900</v>
      </c>
      <c r="AI12" s="73">
        <v>0</v>
      </c>
      <c r="AJ12" s="73">
        <v>900</v>
      </c>
    </row>
    <row r="13" spans="1:36" x14ac:dyDescent="0.25">
      <c r="A13" s="32">
        <v>11</v>
      </c>
      <c r="B13" s="23">
        <v>1123229142</v>
      </c>
      <c r="C13" s="24" t="s">
        <v>20</v>
      </c>
      <c r="D13" s="113" t="s">
        <v>216</v>
      </c>
      <c r="E13" s="26" t="s">
        <v>217</v>
      </c>
      <c r="F13" s="114" t="s">
        <v>216</v>
      </c>
      <c r="G13" s="26" t="e">
        <v>#N/A</v>
      </c>
      <c r="H13" s="26" t="e">
        <v>#N/A</v>
      </c>
      <c r="I13" s="26" t="s">
        <v>20</v>
      </c>
      <c r="J13" s="70">
        <v>10465.959999999999</v>
      </c>
      <c r="K13" s="71">
        <v>0</v>
      </c>
      <c r="L13" s="71">
        <v>156</v>
      </c>
      <c r="M13" s="71">
        <v>75</v>
      </c>
      <c r="N13" s="71">
        <v>6.25</v>
      </c>
      <c r="O13" s="71">
        <v>49</v>
      </c>
      <c r="P13" s="71">
        <v>4.083333333333333</v>
      </c>
      <c r="Q13" s="71">
        <v>0</v>
      </c>
      <c r="R13" s="71">
        <v>0</v>
      </c>
      <c r="S13" s="26"/>
      <c r="T13" s="28">
        <f>VLOOKUP(D13:D132,'[1]Lista de artículos (1)'!$A$3:$I$553,7)</f>
        <v>5698.1026573109239</v>
      </c>
      <c r="U13" s="28" t="e">
        <f>VLOOKUP(D13,'[1]Lista de artículos (1)'!$A$3:$G$553,7,0)</f>
        <v>#N/A</v>
      </c>
      <c r="V13" s="26" t="s">
        <v>176</v>
      </c>
      <c r="W13" s="26" t="s">
        <v>176</v>
      </c>
      <c r="X13" s="32" t="s">
        <v>25</v>
      </c>
      <c r="Y13" s="72" t="s">
        <v>25</v>
      </c>
      <c r="Z13" s="72" t="s">
        <v>25</v>
      </c>
      <c r="AA13" s="73" t="s">
        <v>25</v>
      </c>
      <c r="AB13" s="73" t="s">
        <v>24</v>
      </c>
      <c r="AC13" s="72">
        <v>6480</v>
      </c>
      <c r="AD13" s="32" t="s">
        <v>176</v>
      </c>
      <c r="AG13" s="73">
        <f t="shared" si="0"/>
        <v>6480</v>
      </c>
      <c r="AH13" s="73">
        <v>6480</v>
      </c>
      <c r="AI13" s="73">
        <v>1231.2</v>
      </c>
      <c r="AJ13" s="73">
        <v>7711.2</v>
      </c>
    </row>
    <row r="14" spans="1:36" x14ac:dyDescent="0.25">
      <c r="A14" s="32">
        <v>12</v>
      </c>
      <c r="B14" s="23">
        <v>1111000391</v>
      </c>
      <c r="C14" s="24" t="s">
        <v>20</v>
      </c>
      <c r="D14" s="113" t="s">
        <v>218</v>
      </c>
      <c r="E14" s="26" t="s">
        <v>22</v>
      </c>
      <c r="F14" s="114" t="s">
        <v>219</v>
      </c>
      <c r="G14" s="26" t="e">
        <v>#N/A</v>
      </c>
      <c r="H14" s="26" t="e">
        <v>#N/A</v>
      </c>
      <c r="I14" s="26" t="s">
        <v>20</v>
      </c>
      <c r="J14" s="70">
        <v>1</v>
      </c>
      <c r="K14" s="71">
        <v>0</v>
      </c>
      <c r="L14" s="71">
        <v>0</v>
      </c>
      <c r="M14" s="71">
        <v>0</v>
      </c>
      <c r="N14" s="71">
        <v>0</v>
      </c>
      <c r="O14" s="71">
        <v>0</v>
      </c>
      <c r="P14" s="71">
        <v>0</v>
      </c>
      <c r="Q14" s="71">
        <v>0</v>
      </c>
      <c r="R14" s="71">
        <v>0</v>
      </c>
      <c r="S14" s="26"/>
      <c r="T14" s="28">
        <f>VLOOKUP(D14:D133,'[1]Lista de artículos (1)'!$A$3:$I$553,7)</f>
        <v>9768.0493678991588</v>
      </c>
      <c r="U14" s="28" t="e">
        <f>VLOOKUP(D14,'[1]Lista de artículos (1)'!$A$3:$G$553,7,0)</f>
        <v>#N/A</v>
      </c>
      <c r="V14" s="28">
        <v>25900</v>
      </c>
      <c r="W14" s="28" t="s">
        <v>24</v>
      </c>
      <c r="X14" s="32" t="s">
        <v>25</v>
      </c>
      <c r="Y14" s="72" t="s">
        <v>25</v>
      </c>
      <c r="Z14" s="72" t="s">
        <v>25</v>
      </c>
      <c r="AA14" s="73" t="s">
        <v>25</v>
      </c>
      <c r="AB14" s="73" t="s">
        <v>24</v>
      </c>
      <c r="AC14" s="72" t="s">
        <v>24</v>
      </c>
      <c r="AD14" s="115" t="s">
        <v>24</v>
      </c>
      <c r="AG14" s="73">
        <f t="shared" si="0"/>
        <v>25900</v>
      </c>
      <c r="AH14" s="73">
        <v>25900</v>
      </c>
      <c r="AI14" s="73">
        <v>4921</v>
      </c>
      <c r="AJ14" s="73">
        <v>30821</v>
      </c>
    </row>
    <row r="15" spans="1:36" x14ac:dyDescent="0.25">
      <c r="A15" s="32">
        <v>13</v>
      </c>
      <c r="B15" s="23">
        <v>1043295110</v>
      </c>
      <c r="C15" s="24" t="s">
        <v>20</v>
      </c>
      <c r="D15" s="113" t="s">
        <v>220</v>
      </c>
      <c r="E15" s="26" t="s">
        <v>22</v>
      </c>
      <c r="F15" s="114" t="s">
        <v>220</v>
      </c>
      <c r="G15" s="26" t="e">
        <v>#N/A</v>
      </c>
      <c r="H15" s="26" t="e">
        <v>#N/A</v>
      </c>
      <c r="I15" s="26" t="s">
        <v>20</v>
      </c>
      <c r="J15" s="70">
        <v>5474</v>
      </c>
      <c r="K15" s="71">
        <v>0</v>
      </c>
      <c r="L15" s="71">
        <v>0</v>
      </c>
      <c r="M15" s="71">
        <v>0</v>
      </c>
      <c r="N15" s="71">
        <v>0</v>
      </c>
      <c r="O15" s="71">
        <v>20</v>
      </c>
      <c r="P15" s="71">
        <v>1.6666666666666667</v>
      </c>
      <c r="Q15" s="71">
        <v>0</v>
      </c>
      <c r="R15" s="71">
        <v>0</v>
      </c>
      <c r="S15" s="26"/>
      <c r="T15" s="28">
        <f>VLOOKUP(D15:D134,'[1]Lista de artículos (1)'!$A$3:$I$553,7)</f>
        <v>4257.8449472268912</v>
      </c>
      <c r="U15" s="28" t="e">
        <f>VLOOKUP(D15,'[1]Lista de artículos (1)'!$A$3:$G$553,7,0)</f>
        <v>#N/A</v>
      </c>
      <c r="V15" s="26" t="s">
        <v>176</v>
      </c>
      <c r="W15" s="26" t="s">
        <v>176</v>
      </c>
      <c r="X15" s="32" t="s">
        <v>25</v>
      </c>
      <c r="Y15" s="72" t="s">
        <v>25</v>
      </c>
      <c r="Z15" s="72" t="s">
        <v>25</v>
      </c>
      <c r="AA15" s="73">
        <v>9410</v>
      </c>
      <c r="AB15" s="73" t="s">
        <v>24</v>
      </c>
      <c r="AC15" s="72" t="s">
        <v>37</v>
      </c>
      <c r="AD15" s="32" t="s">
        <v>176</v>
      </c>
      <c r="AG15" s="73">
        <f t="shared" si="0"/>
        <v>9410</v>
      </c>
      <c r="AH15" s="73">
        <v>9410</v>
      </c>
      <c r="AI15" s="73">
        <v>1787.9</v>
      </c>
      <c r="AJ15" s="73">
        <v>11197.9</v>
      </c>
    </row>
    <row r="16" spans="1:36" x14ac:dyDescent="0.25">
      <c r="A16" s="32">
        <v>14</v>
      </c>
      <c r="B16" s="23">
        <v>1043295602</v>
      </c>
      <c r="C16" s="24" t="s">
        <v>20</v>
      </c>
      <c r="D16" s="113" t="s">
        <v>221</v>
      </c>
      <c r="E16" s="26" t="s">
        <v>22</v>
      </c>
      <c r="F16" s="114" t="s">
        <v>222</v>
      </c>
      <c r="G16" s="26" t="e">
        <v>#N/A</v>
      </c>
      <c r="H16" s="26" t="e">
        <v>#N/A</v>
      </c>
      <c r="I16" s="26" t="s">
        <v>20</v>
      </c>
      <c r="J16" s="70">
        <v>1</v>
      </c>
      <c r="K16" s="71">
        <v>0</v>
      </c>
      <c r="L16" s="71">
        <v>0</v>
      </c>
      <c r="M16" s="71">
        <v>0</v>
      </c>
      <c r="N16" s="71">
        <v>0</v>
      </c>
      <c r="O16" s="71">
        <v>0</v>
      </c>
      <c r="P16" s="71">
        <v>0</v>
      </c>
      <c r="Q16" s="71">
        <v>0</v>
      </c>
      <c r="R16" s="71">
        <v>0</v>
      </c>
      <c r="S16" s="26"/>
      <c r="T16" s="28">
        <f>VLOOKUP(D16:D135,'[1]Lista de artículos (1)'!$A$3:$I$553,7)</f>
        <v>5755.712965714285</v>
      </c>
      <c r="U16" s="28" t="e">
        <f>VLOOKUP(D16,'[1]Lista de artículos (1)'!$A$3:$G$553,7,0)</f>
        <v>#N/A</v>
      </c>
      <c r="V16" s="26" t="s">
        <v>176</v>
      </c>
      <c r="W16" s="26" t="s">
        <v>176</v>
      </c>
      <c r="X16" s="32" t="s">
        <v>25</v>
      </c>
      <c r="Y16" s="72" t="s">
        <v>25</v>
      </c>
      <c r="Z16" s="72" t="s">
        <v>25</v>
      </c>
      <c r="AA16" s="73">
        <v>28400</v>
      </c>
      <c r="AB16" s="73" t="s">
        <v>24</v>
      </c>
      <c r="AC16" s="72" t="s">
        <v>37</v>
      </c>
      <c r="AD16" s="32" t="s">
        <v>176</v>
      </c>
      <c r="AG16" s="73">
        <f t="shared" si="0"/>
        <v>28400</v>
      </c>
      <c r="AH16" s="73">
        <v>28400</v>
      </c>
      <c r="AI16" s="73">
        <v>5396</v>
      </c>
      <c r="AJ16" s="73">
        <v>33796</v>
      </c>
    </row>
    <row r="17" spans="1:36" x14ac:dyDescent="0.25">
      <c r="A17" s="32">
        <v>15</v>
      </c>
      <c r="B17" s="23">
        <v>1043295603</v>
      </c>
      <c r="C17" s="24" t="s">
        <v>20</v>
      </c>
      <c r="D17" s="113" t="s">
        <v>223</v>
      </c>
      <c r="E17" s="26" t="s">
        <v>22</v>
      </c>
      <c r="F17" s="114" t="s">
        <v>224</v>
      </c>
      <c r="G17" s="26" t="e">
        <v>#N/A</v>
      </c>
      <c r="H17" s="26" t="e">
        <v>#N/A</v>
      </c>
      <c r="I17" s="26" t="s">
        <v>20</v>
      </c>
      <c r="J17" s="70">
        <v>44234.03</v>
      </c>
      <c r="K17" s="71">
        <v>0</v>
      </c>
      <c r="L17" s="71">
        <v>0</v>
      </c>
      <c r="M17" s="71">
        <v>0</v>
      </c>
      <c r="N17" s="71">
        <v>0</v>
      </c>
      <c r="O17" s="71">
        <v>0</v>
      </c>
      <c r="P17" s="71">
        <v>0</v>
      </c>
      <c r="Q17" s="71">
        <v>0</v>
      </c>
      <c r="R17" s="71">
        <v>5</v>
      </c>
      <c r="S17" s="26"/>
      <c r="T17" s="28">
        <f>VLOOKUP(D17:D136,'[1]Lista de artículos (1)'!$A$3:$I$553,7)</f>
        <v>5755.712965714285</v>
      </c>
      <c r="U17" s="28" t="e">
        <f>VLOOKUP(D17,'[1]Lista de artículos (1)'!$A$3:$G$553,7,0)</f>
        <v>#N/A</v>
      </c>
      <c r="V17" s="26" t="s">
        <v>176</v>
      </c>
      <c r="W17" s="26" t="s">
        <v>176</v>
      </c>
      <c r="X17" s="32" t="s">
        <v>25</v>
      </c>
      <c r="Y17" s="72" t="s">
        <v>25</v>
      </c>
      <c r="Z17" s="72" t="s">
        <v>25</v>
      </c>
      <c r="AA17" s="73">
        <v>18930</v>
      </c>
      <c r="AB17" s="73" t="s">
        <v>24</v>
      </c>
      <c r="AC17" s="72" t="s">
        <v>37</v>
      </c>
      <c r="AD17" s="32" t="s">
        <v>176</v>
      </c>
      <c r="AG17" s="73">
        <f t="shared" si="0"/>
        <v>18930</v>
      </c>
      <c r="AH17" s="73">
        <v>18930</v>
      </c>
      <c r="AI17" s="73">
        <v>3596.7</v>
      </c>
      <c r="AJ17" s="73">
        <v>22526.7</v>
      </c>
    </row>
    <row r="18" spans="1:36" x14ac:dyDescent="0.25">
      <c r="A18" s="32">
        <v>16</v>
      </c>
      <c r="B18" s="23">
        <v>1111000306</v>
      </c>
      <c r="C18" s="24" t="s">
        <v>20</v>
      </c>
      <c r="D18" s="116" t="s">
        <v>225</v>
      </c>
      <c r="E18" s="26" t="s">
        <v>22</v>
      </c>
      <c r="F18" s="114" t="s">
        <v>226</v>
      </c>
      <c r="G18" s="26" t="e">
        <v>#N/A</v>
      </c>
      <c r="H18" s="26" t="e">
        <v>#N/A</v>
      </c>
      <c r="I18" s="26" t="s">
        <v>20</v>
      </c>
      <c r="J18" s="70">
        <v>5859</v>
      </c>
      <c r="K18" s="71">
        <v>0</v>
      </c>
      <c r="L18" s="71">
        <v>4</v>
      </c>
      <c r="M18" s="71">
        <v>0</v>
      </c>
      <c r="N18" s="71">
        <v>0</v>
      </c>
      <c r="O18" s="71">
        <v>17</v>
      </c>
      <c r="P18" s="71">
        <v>1.4166666666666667</v>
      </c>
      <c r="Q18" s="71">
        <v>0</v>
      </c>
      <c r="R18" s="71">
        <v>0</v>
      </c>
      <c r="S18" s="26"/>
      <c r="T18" s="28">
        <f>VLOOKUP(D18:D137,'[1]Lista de artículos (1)'!$A$3:$I$553,7)</f>
        <v>5755.712965714285</v>
      </c>
      <c r="U18" s="28" t="e">
        <f>VLOOKUP(D18,'[1]Lista de artículos (1)'!$A$3:$G$553,7,0)</f>
        <v>#N/A</v>
      </c>
      <c r="V18" s="26" t="s">
        <v>176</v>
      </c>
      <c r="W18" s="26" t="s">
        <v>176</v>
      </c>
      <c r="X18" s="32" t="s">
        <v>25</v>
      </c>
      <c r="Y18" s="72">
        <v>16900</v>
      </c>
      <c r="Z18" s="72">
        <v>1300</v>
      </c>
      <c r="AA18" s="73">
        <v>15800</v>
      </c>
      <c r="AB18" s="73" t="s">
        <v>24</v>
      </c>
      <c r="AC18" s="72" t="s">
        <v>24</v>
      </c>
      <c r="AD18" s="32" t="s">
        <v>176</v>
      </c>
      <c r="AG18" s="73">
        <f t="shared" si="0"/>
        <v>1300</v>
      </c>
      <c r="AH18" s="73">
        <v>11333.333333333334</v>
      </c>
      <c r="AI18" s="73">
        <v>2153.3333333333335</v>
      </c>
      <c r="AJ18" s="73">
        <v>13486.666666666668</v>
      </c>
    </row>
    <row r="19" spans="1:36" x14ac:dyDescent="0.25">
      <c r="A19" s="32">
        <v>17</v>
      </c>
      <c r="B19" s="31">
        <v>1043295690</v>
      </c>
      <c r="C19" s="24"/>
      <c r="D19" s="116" t="s">
        <v>227</v>
      </c>
      <c r="E19" s="26" t="s">
        <v>22</v>
      </c>
      <c r="F19" s="114" t="s">
        <v>226</v>
      </c>
      <c r="G19" s="26"/>
      <c r="H19" s="26"/>
      <c r="I19" s="26"/>
      <c r="J19" s="70"/>
      <c r="K19" s="71"/>
      <c r="L19" s="71"/>
      <c r="M19" s="71"/>
      <c r="N19" s="71"/>
      <c r="O19" s="71"/>
      <c r="P19" s="71"/>
      <c r="Q19" s="71"/>
      <c r="R19" s="71"/>
      <c r="S19" s="26"/>
      <c r="T19" s="28">
        <f>VLOOKUP(D19:D138,'[1]Lista de artículos (1)'!$A$3:$I$553,7)</f>
        <v>5755.712965714285</v>
      </c>
      <c r="U19" s="28" t="e">
        <f>VLOOKUP(D19,'[1]Lista de artículos (1)'!$A$3:$G$553,7,0)</f>
        <v>#N/A</v>
      </c>
      <c r="V19" s="26" t="s">
        <v>176</v>
      </c>
      <c r="W19" s="26" t="s">
        <v>176</v>
      </c>
      <c r="X19" s="32" t="s">
        <v>25</v>
      </c>
      <c r="Y19" s="72" t="s">
        <v>25</v>
      </c>
      <c r="Z19" s="72" t="s">
        <v>25</v>
      </c>
      <c r="AA19" s="73">
        <v>8960</v>
      </c>
      <c r="AB19" s="73" t="s">
        <v>24</v>
      </c>
      <c r="AC19" s="72">
        <v>6104</v>
      </c>
      <c r="AD19" s="32" t="s">
        <v>176</v>
      </c>
      <c r="AG19" s="73">
        <f t="shared" si="0"/>
        <v>6104</v>
      </c>
      <c r="AH19" s="73">
        <v>7532</v>
      </c>
      <c r="AI19" s="73">
        <v>1431.08</v>
      </c>
      <c r="AJ19" s="73">
        <v>8963.08</v>
      </c>
    </row>
    <row r="20" spans="1:36" x14ac:dyDescent="0.25">
      <c r="A20" s="32">
        <v>18</v>
      </c>
      <c r="B20" s="31">
        <v>1111000306</v>
      </c>
      <c r="C20" s="24"/>
      <c r="D20" s="116" t="s">
        <v>228</v>
      </c>
      <c r="E20" s="26" t="s">
        <v>22</v>
      </c>
      <c r="F20" s="114" t="s">
        <v>226</v>
      </c>
      <c r="G20" s="26"/>
      <c r="H20" s="26"/>
      <c r="I20" s="26"/>
      <c r="J20" s="70"/>
      <c r="K20" s="71"/>
      <c r="L20" s="71"/>
      <c r="M20" s="71"/>
      <c r="N20" s="71"/>
      <c r="O20" s="71"/>
      <c r="P20" s="71"/>
      <c r="Q20" s="71"/>
      <c r="R20" s="71"/>
      <c r="S20" s="26"/>
      <c r="T20" s="28">
        <f>VLOOKUP(D20:D139,'[1]Lista de artículos (1)'!$A$3:$I$553,7)</f>
        <v>5755.712965714285</v>
      </c>
      <c r="U20" s="28" t="e">
        <f>VLOOKUP(D20,'[1]Lista de artículos (1)'!$A$3:$G$553,7,0)</f>
        <v>#N/A</v>
      </c>
      <c r="V20" s="26" t="s">
        <v>176</v>
      </c>
      <c r="W20" s="26" t="s">
        <v>176</v>
      </c>
      <c r="X20" s="32" t="s">
        <v>25</v>
      </c>
      <c r="Y20" s="72" t="s">
        <v>25</v>
      </c>
      <c r="Z20" s="72">
        <v>2000</v>
      </c>
      <c r="AA20" s="73">
        <v>3450</v>
      </c>
      <c r="AB20" s="73" t="s">
        <v>24</v>
      </c>
      <c r="AC20" s="72">
        <v>3590</v>
      </c>
      <c r="AD20" s="32" t="s">
        <v>176</v>
      </c>
      <c r="AG20" s="73">
        <f t="shared" si="0"/>
        <v>2000</v>
      </c>
      <c r="AH20" s="73">
        <v>3013.3333333333335</v>
      </c>
      <c r="AI20" s="73">
        <v>572.5333333333333</v>
      </c>
      <c r="AJ20" s="73">
        <v>3585.8666666666668</v>
      </c>
    </row>
    <row r="21" spans="1:36" x14ac:dyDescent="0.25">
      <c r="A21" s="32">
        <v>19</v>
      </c>
      <c r="B21" s="23">
        <v>1043295107</v>
      </c>
      <c r="C21" s="24" t="s">
        <v>20</v>
      </c>
      <c r="D21" s="113" t="s">
        <v>229</v>
      </c>
      <c r="E21" s="26" t="s">
        <v>22</v>
      </c>
      <c r="F21" s="114" t="s">
        <v>229</v>
      </c>
      <c r="G21" s="26" t="e">
        <v>#N/A</v>
      </c>
      <c r="H21" s="26" t="e">
        <v>#N/A</v>
      </c>
      <c r="I21" s="26" t="s">
        <v>20</v>
      </c>
      <c r="J21" s="70">
        <v>6167.05</v>
      </c>
      <c r="K21" s="71">
        <v>32</v>
      </c>
      <c r="L21" s="71">
        <v>44</v>
      </c>
      <c r="M21" s="71">
        <v>12</v>
      </c>
      <c r="N21" s="71">
        <v>1</v>
      </c>
      <c r="O21" s="71">
        <v>0</v>
      </c>
      <c r="P21" s="71">
        <v>0</v>
      </c>
      <c r="Q21" s="71">
        <v>0</v>
      </c>
      <c r="R21" s="71">
        <v>0</v>
      </c>
      <c r="S21" s="26"/>
      <c r="T21" s="28">
        <f>VLOOKUP(D21:D140,'[1]Lista de artículos (1)'!$A$3:$I$553,7)</f>
        <v>5755.712965714285</v>
      </c>
      <c r="U21" s="28" t="e">
        <f>VLOOKUP(D21,'[1]Lista de artículos (1)'!$A$3:$G$553,7,0)</f>
        <v>#N/A</v>
      </c>
      <c r="V21" s="26" t="s">
        <v>176</v>
      </c>
      <c r="W21" s="26" t="s">
        <v>176</v>
      </c>
      <c r="X21" s="32" t="s">
        <v>25</v>
      </c>
      <c r="Y21" s="72" t="s">
        <v>25</v>
      </c>
      <c r="Z21" s="72">
        <v>2200</v>
      </c>
      <c r="AA21" s="73">
        <v>5940</v>
      </c>
      <c r="AB21" s="73" t="s">
        <v>24</v>
      </c>
      <c r="AC21" s="72" t="s">
        <v>37</v>
      </c>
      <c r="AD21" s="32" t="s">
        <v>176</v>
      </c>
      <c r="AG21" s="73">
        <f t="shared" si="0"/>
        <v>2200</v>
      </c>
      <c r="AH21" s="73">
        <v>4070</v>
      </c>
      <c r="AI21" s="73">
        <v>773.3</v>
      </c>
      <c r="AJ21" s="73">
        <v>4843.3</v>
      </c>
    </row>
    <row r="22" spans="1:36" x14ac:dyDescent="0.25">
      <c r="A22" s="32">
        <v>20</v>
      </c>
      <c r="B22" s="23">
        <v>1042021253</v>
      </c>
      <c r="C22" s="24" t="s">
        <v>20</v>
      </c>
      <c r="D22" s="113" t="s">
        <v>230</v>
      </c>
      <c r="E22" s="26" t="s">
        <v>231</v>
      </c>
      <c r="F22" s="114" t="s">
        <v>230</v>
      </c>
      <c r="G22" s="26" t="e">
        <v>#N/A</v>
      </c>
      <c r="H22" s="26" t="e">
        <v>#N/A</v>
      </c>
      <c r="I22" s="26" t="s">
        <v>20</v>
      </c>
      <c r="J22" s="70">
        <v>37493.96</v>
      </c>
      <c r="K22" s="71">
        <v>2</v>
      </c>
      <c r="L22" s="71">
        <v>36</v>
      </c>
      <c r="M22" s="71">
        <v>11</v>
      </c>
      <c r="N22" s="71">
        <v>0.91666666666666663</v>
      </c>
      <c r="O22" s="71">
        <v>5</v>
      </c>
      <c r="P22" s="71">
        <v>0.41666666666666669</v>
      </c>
      <c r="Q22" s="71">
        <v>0</v>
      </c>
      <c r="R22" s="71">
        <v>0</v>
      </c>
      <c r="S22" s="26"/>
      <c r="T22" s="28">
        <f>VLOOKUP(D22:D141,'[1]Lista de artículos (1)'!$A$3:$I$553,7)</f>
        <v>21812.149073949578</v>
      </c>
      <c r="U22" s="28" t="e">
        <f>VLOOKUP(D22,'[1]Lista de artículos (1)'!$A$3:$G$553,7,0)</f>
        <v>#N/A</v>
      </c>
      <c r="V22" s="26" t="s">
        <v>176</v>
      </c>
      <c r="W22" s="26" t="s">
        <v>176</v>
      </c>
      <c r="X22" s="32" t="s">
        <v>25</v>
      </c>
      <c r="Y22" s="72">
        <v>47900</v>
      </c>
      <c r="Z22" s="72" t="s">
        <v>25</v>
      </c>
      <c r="AA22" s="73" t="s">
        <v>25</v>
      </c>
      <c r="AB22" s="73" t="s">
        <v>24</v>
      </c>
      <c r="AC22" s="72">
        <v>49771</v>
      </c>
      <c r="AD22" s="32" t="s">
        <v>176</v>
      </c>
      <c r="AG22" s="73">
        <f t="shared" si="0"/>
        <v>47900</v>
      </c>
      <c r="AH22" s="73">
        <v>48835.5</v>
      </c>
      <c r="AI22" s="73">
        <v>9278.7450000000008</v>
      </c>
      <c r="AJ22" s="73">
        <v>58114.245000000003</v>
      </c>
    </row>
    <row r="23" spans="1:36" ht="33" x14ac:dyDescent="0.25">
      <c r="A23" s="32">
        <v>21</v>
      </c>
      <c r="B23" s="23">
        <v>1042021250</v>
      </c>
      <c r="C23" s="24" t="s">
        <v>20</v>
      </c>
      <c r="D23" s="113" t="s">
        <v>232</v>
      </c>
      <c r="E23" s="26" t="s">
        <v>231</v>
      </c>
      <c r="F23" s="114" t="s">
        <v>233</v>
      </c>
      <c r="G23" s="26" t="e">
        <v>#N/A</v>
      </c>
      <c r="H23" s="26" t="e">
        <v>#N/A</v>
      </c>
      <c r="I23" s="26" t="s">
        <v>20</v>
      </c>
      <c r="J23" s="70">
        <v>23370</v>
      </c>
      <c r="K23" s="71">
        <v>26</v>
      </c>
      <c r="L23" s="71">
        <v>179</v>
      </c>
      <c r="M23" s="71">
        <v>160</v>
      </c>
      <c r="N23" s="71">
        <v>13.333333333333334</v>
      </c>
      <c r="O23" s="71">
        <v>50</v>
      </c>
      <c r="P23" s="71">
        <v>4.166666666666667</v>
      </c>
      <c r="Q23" s="71">
        <v>0</v>
      </c>
      <c r="R23" s="71">
        <v>0</v>
      </c>
      <c r="S23" s="26"/>
      <c r="T23" s="28">
        <f>VLOOKUP(D23:D142,'[1]Lista de artículos (1)'!$A$3:$I$553,7)</f>
        <v>34994.273949075628</v>
      </c>
      <c r="U23" s="28" t="e">
        <f>VLOOKUP(D23,'[1]Lista de artículos (1)'!$A$3:$G$553,7,0)</f>
        <v>#N/A</v>
      </c>
      <c r="V23" s="26" t="s">
        <v>176</v>
      </c>
      <c r="W23" s="26" t="s">
        <v>176</v>
      </c>
      <c r="X23" s="32" t="s">
        <v>25</v>
      </c>
      <c r="Y23" s="72">
        <v>26500</v>
      </c>
      <c r="Z23" s="72">
        <v>30000</v>
      </c>
      <c r="AA23" s="73" t="s">
        <v>25</v>
      </c>
      <c r="AB23" s="73" t="s">
        <v>24</v>
      </c>
      <c r="AC23" s="72">
        <v>27996</v>
      </c>
      <c r="AD23" s="32" t="s">
        <v>176</v>
      </c>
      <c r="AG23" s="73">
        <f t="shared" si="0"/>
        <v>26500</v>
      </c>
      <c r="AH23" s="73">
        <v>28165.333333333332</v>
      </c>
      <c r="AI23" s="73">
        <v>5351.413333333333</v>
      </c>
      <c r="AJ23" s="73">
        <v>33516.746666666666</v>
      </c>
    </row>
    <row r="24" spans="1:36" x14ac:dyDescent="0.25">
      <c r="A24" s="32">
        <v>22</v>
      </c>
      <c r="B24" s="23">
        <v>1043267712</v>
      </c>
      <c r="C24" s="24" t="s">
        <v>20</v>
      </c>
      <c r="D24" s="113" t="s">
        <v>234</v>
      </c>
      <c r="E24" s="26" t="s">
        <v>22</v>
      </c>
      <c r="F24" s="114" t="s">
        <v>235</v>
      </c>
      <c r="G24" s="26" t="e">
        <v>#N/A</v>
      </c>
      <c r="H24" s="26" t="e">
        <v>#N/A</v>
      </c>
      <c r="I24" s="26" t="s">
        <v>20</v>
      </c>
      <c r="J24" s="70">
        <v>1</v>
      </c>
      <c r="K24" s="71">
        <v>0</v>
      </c>
      <c r="L24" s="71">
        <v>0</v>
      </c>
      <c r="M24" s="71">
        <v>0</v>
      </c>
      <c r="N24" s="71">
        <v>0</v>
      </c>
      <c r="O24" s="71">
        <v>0</v>
      </c>
      <c r="P24" s="71">
        <v>0</v>
      </c>
      <c r="Q24" s="71">
        <v>0</v>
      </c>
      <c r="R24" s="71">
        <v>0</v>
      </c>
      <c r="S24" s="26"/>
      <c r="T24" s="28">
        <f>VLOOKUP(D24:D147,'[1]Lista de artículos (1)'!$A$3:$I$553,7)</f>
        <v>15067.311428571429</v>
      </c>
      <c r="U24" s="28" t="e">
        <f>VLOOKUP(D24,'[1]Lista de artículos (1)'!$A$3:$G$553,7,0)</f>
        <v>#N/A</v>
      </c>
      <c r="V24" s="26" t="s">
        <v>176</v>
      </c>
      <c r="W24" s="26" t="s">
        <v>176</v>
      </c>
      <c r="X24" s="32" t="s">
        <v>25</v>
      </c>
      <c r="Y24" s="72" t="s">
        <v>25</v>
      </c>
      <c r="Z24" s="72" t="s">
        <v>25</v>
      </c>
      <c r="AA24" s="73" t="s">
        <v>25</v>
      </c>
      <c r="AB24" s="73">
        <v>181</v>
      </c>
      <c r="AC24" s="72" t="s">
        <v>24</v>
      </c>
      <c r="AD24" s="32" t="s">
        <v>176</v>
      </c>
      <c r="AG24" s="73">
        <f t="shared" si="0"/>
        <v>181</v>
      </c>
      <c r="AH24" s="73">
        <v>181</v>
      </c>
      <c r="AI24" s="73">
        <v>34.39</v>
      </c>
      <c r="AJ24" s="73">
        <v>215.39</v>
      </c>
    </row>
    <row r="25" spans="1:36" x14ac:dyDescent="0.25">
      <c r="A25" s="32">
        <v>23</v>
      </c>
      <c r="B25" s="23">
        <v>1043267713</v>
      </c>
      <c r="C25" s="24" t="s">
        <v>20</v>
      </c>
      <c r="D25" s="113" t="s">
        <v>236</v>
      </c>
      <c r="E25" s="26" t="s">
        <v>22</v>
      </c>
      <c r="F25" s="114" t="s">
        <v>237</v>
      </c>
      <c r="G25" s="26" t="e">
        <v>#N/A</v>
      </c>
      <c r="H25" s="26" t="e">
        <v>#N/A</v>
      </c>
      <c r="I25" s="26" t="s">
        <v>20</v>
      </c>
      <c r="J25" s="70">
        <v>1</v>
      </c>
      <c r="K25" s="71">
        <v>0</v>
      </c>
      <c r="L25" s="71">
        <v>0</v>
      </c>
      <c r="M25" s="71">
        <v>0</v>
      </c>
      <c r="N25" s="71">
        <v>0</v>
      </c>
      <c r="O25" s="71">
        <v>0</v>
      </c>
      <c r="P25" s="71">
        <v>0</v>
      </c>
      <c r="Q25" s="71">
        <v>0</v>
      </c>
      <c r="R25" s="71">
        <v>0</v>
      </c>
      <c r="S25" s="26"/>
      <c r="T25" s="28">
        <f>VLOOKUP(D25:D148,'[1]Lista de artículos (1)'!$A$3:$I$553,7)</f>
        <v>15067.311428571429</v>
      </c>
      <c r="U25" s="28" t="e">
        <f>VLOOKUP(D25,'[1]Lista de artículos (1)'!$A$3:$G$553,7,0)</f>
        <v>#N/A</v>
      </c>
      <c r="V25" s="26" t="s">
        <v>176</v>
      </c>
      <c r="W25" s="26" t="s">
        <v>176</v>
      </c>
      <c r="X25" s="32" t="s">
        <v>25</v>
      </c>
      <c r="Y25" s="72" t="s">
        <v>25</v>
      </c>
      <c r="Z25" s="72" t="s">
        <v>25</v>
      </c>
      <c r="AA25" s="73" t="s">
        <v>25</v>
      </c>
      <c r="AB25" s="73">
        <v>150</v>
      </c>
      <c r="AC25" s="72" t="s">
        <v>24</v>
      </c>
      <c r="AD25" s="32" t="s">
        <v>176</v>
      </c>
      <c r="AG25" s="73">
        <f t="shared" si="0"/>
        <v>150</v>
      </c>
      <c r="AH25" s="73">
        <v>150</v>
      </c>
      <c r="AI25" s="73">
        <v>28.5</v>
      </c>
      <c r="AJ25" s="73">
        <v>178.5</v>
      </c>
    </row>
    <row r="26" spans="1:36" ht="33" x14ac:dyDescent="0.25">
      <c r="A26" s="32">
        <v>24</v>
      </c>
      <c r="B26" s="23">
        <v>1043267722</v>
      </c>
      <c r="C26" s="24" t="s">
        <v>20</v>
      </c>
      <c r="D26" s="113" t="s">
        <v>238</v>
      </c>
      <c r="E26" s="26" t="s">
        <v>22</v>
      </c>
      <c r="F26" s="114" t="s">
        <v>239</v>
      </c>
      <c r="G26" s="26" t="e">
        <v>#N/A</v>
      </c>
      <c r="H26" s="26" t="e">
        <v>#N/A</v>
      </c>
      <c r="I26" s="26" t="s">
        <v>20</v>
      </c>
      <c r="J26" s="70">
        <v>1</v>
      </c>
      <c r="K26" s="71">
        <v>0</v>
      </c>
      <c r="L26" s="71">
        <v>0</v>
      </c>
      <c r="M26" s="71">
        <v>0</v>
      </c>
      <c r="N26" s="71">
        <v>0</v>
      </c>
      <c r="O26" s="71">
        <v>0</v>
      </c>
      <c r="P26" s="71">
        <v>0</v>
      </c>
      <c r="Q26" s="71">
        <v>0</v>
      </c>
      <c r="R26" s="71">
        <v>0</v>
      </c>
      <c r="S26" s="26"/>
      <c r="T26" s="28">
        <f>VLOOKUP(D26:D151,'[1]Lista de artículos (1)'!$A$3:$I$553,7)</f>
        <v>15067.311428571429</v>
      </c>
      <c r="U26" s="28" t="e">
        <f>VLOOKUP(D26,'[1]Lista de artículos (1)'!$A$3:$G$553,7,0)</f>
        <v>#N/A</v>
      </c>
      <c r="V26" s="28">
        <v>2375</v>
      </c>
      <c r="W26" s="28">
        <v>2890</v>
      </c>
      <c r="X26" s="32" t="s">
        <v>25</v>
      </c>
      <c r="Y26" s="72" t="s">
        <v>25</v>
      </c>
      <c r="Z26" s="72" t="s">
        <v>25</v>
      </c>
      <c r="AA26" s="73" t="s">
        <v>25</v>
      </c>
      <c r="AB26" s="73" t="s">
        <v>24</v>
      </c>
      <c r="AC26" s="72" t="s">
        <v>24</v>
      </c>
      <c r="AD26" s="115" t="s">
        <v>24</v>
      </c>
      <c r="AG26" s="73">
        <f t="shared" si="0"/>
        <v>2375</v>
      </c>
      <c r="AH26" s="73">
        <v>2632.5</v>
      </c>
      <c r="AI26" s="73">
        <v>500.17500000000001</v>
      </c>
      <c r="AJ26" s="73">
        <v>3132.6750000000002</v>
      </c>
    </row>
    <row r="27" spans="1:36" ht="33" x14ac:dyDescent="0.25">
      <c r="A27" s="32">
        <v>25</v>
      </c>
      <c r="B27" s="23">
        <v>1043267725</v>
      </c>
      <c r="C27" s="24" t="s">
        <v>20</v>
      </c>
      <c r="D27" s="113" t="s">
        <v>240</v>
      </c>
      <c r="E27" s="26" t="s">
        <v>32</v>
      </c>
      <c r="F27" s="114" t="s">
        <v>241</v>
      </c>
      <c r="G27" s="26" t="e">
        <v>#N/A</v>
      </c>
      <c r="H27" s="26" t="e">
        <v>#N/A</v>
      </c>
      <c r="I27" s="26" t="s">
        <v>20</v>
      </c>
      <c r="J27" s="70">
        <v>24216.080000000002</v>
      </c>
      <c r="K27" s="71">
        <v>0</v>
      </c>
      <c r="L27" s="71">
        <v>0</v>
      </c>
      <c r="M27" s="71">
        <v>0</v>
      </c>
      <c r="N27" s="71">
        <v>0</v>
      </c>
      <c r="O27" s="71">
        <v>2</v>
      </c>
      <c r="P27" s="71">
        <v>0.16666666666666666</v>
      </c>
      <c r="Q27" s="71">
        <v>0</v>
      </c>
      <c r="R27" s="71">
        <v>0</v>
      </c>
      <c r="S27" s="26"/>
      <c r="T27" s="28">
        <f>VLOOKUP(D27:D153,'[1]Lista de artículos (1)'!$A$3:$I$553,7)</f>
        <v>37668.278571428564</v>
      </c>
      <c r="U27" s="28" t="e">
        <f>VLOOKUP(D27,'[1]Lista de artículos (1)'!$A$3:$G$553,7,0)</f>
        <v>#N/A</v>
      </c>
      <c r="V27" s="28" t="s">
        <v>37</v>
      </c>
      <c r="W27" s="28">
        <v>600</v>
      </c>
      <c r="X27" s="32" t="s">
        <v>25</v>
      </c>
      <c r="Y27" s="72" t="s">
        <v>25</v>
      </c>
      <c r="Z27" s="72" t="s">
        <v>25</v>
      </c>
      <c r="AA27" s="73" t="s">
        <v>25</v>
      </c>
      <c r="AB27" s="73" t="s">
        <v>24</v>
      </c>
      <c r="AC27" s="72" t="s">
        <v>24</v>
      </c>
      <c r="AD27" s="115" t="s">
        <v>24</v>
      </c>
      <c r="AG27" s="73">
        <f t="shared" si="0"/>
        <v>600</v>
      </c>
      <c r="AH27" s="73">
        <v>600</v>
      </c>
      <c r="AI27" s="73">
        <v>114</v>
      </c>
      <c r="AJ27" s="73">
        <v>714</v>
      </c>
    </row>
    <row r="28" spans="1:36" x14ac:dyDescent="0.25">
      <c r="A28" s="32">
        <v>26</v>
      </c>
      <c r="B28" s="23">
        <v>1043267724</v>
      </c>
      <c r="C28" s="24" t="s">
        <v>20</v>
      </c>
      <c r="D28" s="113" t="s">
        <v>242</v>
      </c>
      <c r="E28" s="26" t="s">
        <v>22</v>
      </c>
      <c r="F28" s="114" t="s">
        <v>243</v>
      </c>
      <c r="G28" s="26" t="e">
        <v>#N/A</v>
      </c>
      <c r="H28" s="26" t="e">
        <v>#N/A</v>
      </c>
      <c r="I28" s="26" t="s">
        <v>20</v>
      </c>
      <c r="J28" s="70">
        <v>40359.97</v>
      </c>
      <c r="K28" s="71">
        <v>0</v>
      </c>
      <c r="L28" s="71">
        <v>0</v>
      </c>
      <c r="M28" s="71">
        <v>0</v>
      </c>
      <c r="N28" s="71">
        <v>0</v>
      </c>
      <c r="O28" s="71">
        <v>2</v>
      </c>
      <c r="P28" s="71">
        <v>0.16666666666666666</v>
      </c>
      <c r="Q28" s="71">
        <v>0</v>
      </c>
      <c r="R28" s="71">
        <v>0</v>
      </c>
      <c r="S28" s="26"/>
      <c r="T28" s="28">
        <f>VLOOKUP(D28:D154,'[1]Lista de artículos (1)'!$A$3:$I$553,7)</f>
        <v>9040.3868571428557</v>
      </c>
      <c r="U28" s="28" t="e">
        <f>VLOOKUP(D28,'[1]Lista de artículos (1)'!$A$3:$G$553,7,0)</f>
        <v>#N/A</v>
      </c>
      <c r="V28" s="28">
        <v>570</v>
      </c>
      <c r="W28" s="28">
        <v>1690</v>
      </c>
      <c r="X28" s="32" t="s">
        <v>25</v>
      </c>
      <c r="Y28" s="72" t="s">
        <v>25</v>
      </c>
      <c r="Z28" s="72" t="s">
        <v>25</v>
      </c>
      <c r="AA28" s="73" t="s">
        <v>25</v>
      </c>
      <c r="AB28" s="73" t="s">
        <v>24</v>
      </c>
      <c r="AC28" s="72" t="s">
        <v>24</v>
      </c>
      <c r="AD28" s="115" t="s">
        <v>24</v>
      </c>
      <c r="AG28" s="73">
        <f t="shared" si="0"/>
        <v>570</v>
      </c>
      <c r="AH28" s="73">
        <v>1130</v>
      </c>
      <c r="AI28" s="73">
        <v>214.7</v>
      </c>
      <c r="AJ28" s="73">
        <v>1344.7</v>
      </c>
    </row>
    <row r="29" spans="1:36" ht="33" x14ac:dyDescent="0.25">
      <c r="A29" s="32">
        <v>27</v>
      </c>
      <c r="B29" s="23">
        <v>1043267729</v>
      </c>
      <c r="C29" s="24" t="s">
        <v>20</v>
      </c>
      <c r="D29" s="113" t="s">
        <v>244</v>
      </c>
      <c r="E29" s="26" t="s">
        <v>32</v>
      </c>
      <c r="F29" s="117" t="s">
        <v>245</v>
      </c>
      <c r="G29" s="26" t="e">
        <v>#N/A</v>
      </c>
      <c r="H29" s="26" t="e">
        <v>#N/A</v>
      </c>
      <c r="I29" s="26" t="s">
        <v>20</v>
      </c>
      <c r="J29" s="70">
        <v>19372.830000000002</v>
      </c>
      <c r="K29" s="71">
        <v>0</v>
      </c>
      <c r="L29" s="71">
        <v>0</v>
      </c>
      <c r="M29" s="71">
        <v>0</v>
      </c>
      <c r="N29" s="71">
        <v>0</v>
      </c>
      <c r="O29" s="71">
        <v>2</v>
      </c>
      <c r="P29" s="71">
        <v>0.16666666666666666</v>
      </c>
      <c r="Q29" s="71">
        <v>0</v>
      </c>
      <c r="R29" s="71">
        <v>0</v>
      </c>
      <c r="S29" s="26"/>
      <c r="T29" s="28">
        <f>VLOOKUP(D29:D157,'[1]Lista de artículos (1)'!$A$3:$I$553,7)</f>
        <v>9040.3868571428557</v>
      </c>
      <c r="U29" s="28" t="e">
        <f>VLOOKUP(D29,'[1]Lista de artículos (1)'!$A$3:$G$553,7,0)</f>
        <v>#N/A</v>
      </c>
      <c r="V29" s="28">
        <v>139</v>
      </c>
      <c r="W29" s="28" t="s">
        <v>24</v>
      </c>
      <c r="X29" s="32" t="s">
        <v>25</v>
      </c>
      <c r="Y29" s="72" t="s">
        <v>25</v>
      </c>
      <c r="Z29" s="72" t="s">
        <v>25</v>
      </c>
      <c r="AA29" s="73" t="s">
        <v>25</v>
      </c>
      <c r="AB29" s="73" t="s">
        <v>24</v>
      </c>
      <c r="AC29" s="72" t="s">
        <v>24</v>
      </c>
      <c r="AD29" s="115">
        <v>188</v>
      </c>
      <c r="AG29" s="73">
        <f t="shared" si="0"/>
        <v>139</v>
      </c>
      <c r="AH29" s="73">
        <v>163.5</v>
      </c>
      <c r="AI29" s="73">
        <v>31.065000000000001</v>
      </c>
      <c r="AJ29" s="73">
        <v>194.565</v>
      </c>
    </row>
    <row r="30" spans="1:36" x14ac:dyDescent="0.25">
      <c r="A30" s="32">
        <v>28</v>
      </c>
      <c r="B30" s="31">
        <v>1111000399</v>
      </c>
      <c r="C30" s="24"/>
      <c r="D30" s="113" t="s">
        <v>246</v>
      </c>
      <c r="E30" s="26" t="s">
        <v>22</v>
      </c>
      <c r="F30" s="114"/>
      <c r="G30" s="26"/>
      <c r="H30" s="26"/>
      <c r="I30" s="26"/>
      <c r="J30" s="70"/>
      <c r="K30" s="71"/>
      <c r="L30" s="71"/>
      <c r="M30" s="71"/>
      <c r="N30" s="71"/>
      <c r="O30" s="71"/>
      <c r="P30" s="71"/>
      <c r="Q30" s="71"/>
      <c r="R30" s="71"/>
      <c r="S30" s="26"/>
      <c r="T30" s="28">
        <f>VLOOKUP(D30:D165,'[1]Lista de artículos (1)'!$A$3:$I$553,7)</f>
        <v>1707.0377536134456</v>
      </c>
      <c r="U30" s="28" t="e">
        <f>VLOOKUP(D30,'[1]Lista de artículos (1)'!$A$3:$G$553,7,0)</f>
        <v>#N/A</v>
      </c>
      <c r="V30" s="26" t="s">
        <v>176</v>
      </c>
      <c r="W30" s="26" t="s">
        <v>176</v>
      </c>
      <c r="X30" s="32" t="s">
        <v>25</v>
      </c>
      <c r="Y30" s="72" t="s">
        <v>25</v>
      </c>
      <c r="Z30" s="72" t="s">
        <v>25</v>
      </c>
      <c r="AA30" s="73">
        <v>14000</v>
      </c>
      <c r="AB30" s="73" t="s">
        <v>24</v>
      </c>
      <c r="AC30" s="72" t="s">
        <v>24</v>
      </c>
      <c r="AD30" s="32" t="s">
        <v>176</v>
      </c>
      <c r="AG30" s="73">
        <f t="shared" si="0"/>
        <v>14000</v>
      </c>
      <c r="AH30" s="73">
        <v>14000</v>
      </c>
      <c r="AI30" s="73">
        <v>2660</v>
      </c>
      <c r="AJ30" s="73">
        <v>16660</v>
      </c>
    </row>
    <row r="31" spans="1:36" x14ac:dyDescent="0.25">
      <c r="A31" s="32">
        <v>29</v>
      </c>
      <c r="B31" s="31">
        <v>1111000398</v>
      </c>
      <c r="C31" s="24"/>
      <c r="D31" s="113" t="s">
        <v>247</v>
      </c>
      <c r="E31" s="26" t="s">
        <v>22</v>
      </c>
      <c r="F31" s="114"/>
      <c r="G31" s="26"/>
      <c r="H31" s="26"/>
      <c r="I31" s="26"/>
      <c r="J31" s="70"/>
      <c r="K31" s="71"/>
      <c r="L31" s="71"/>
      <c r="M31" s="71"/>
      <c r="N31" s="71"/>
      <c r="O31" s="71"/>
      <c r="P31" s="71"/>
      <c r="Q31" s="71"/>
      <c r="R31" s="71"/>
      <c r="S31" s="26"/>
      <c r="T31" s="28">
        <f>VLOOKUP(D31:D166,'[1]Lista de artículos (1)'!$A$3:$I$553,7)</f>
        <v>1707.0377536134456</v>
      </c>
      <c r="U31" s="28" t="e">
        <f>VLOOKUP(D31,'[1]Lista de artículos (1)'!$A$3:$G$553,7,0)</f>
        <v>#N/A</v>
      </c>
      <c r="V31" s="26" t="s">
        <v>176</v>
      </c>
      <c r="W31" s="26" t="s">
        <v>176</v>
      </c>
      <c r="X31" s="32" t="s">
        <v>25</v>
      </c>
      <c r="Y31" s="72" t="s">
        <v>25</v>
      </c>
      <c r="Z31" s="72" t="s">
        <v>25</v>
      </c>
      <c r="AA31" s="73">
        <v>25000</v>
      </c>
      <c r="AB31" s="73" t="s">
        <v>24</v>
      </c>
      <c r="AC31" s="72" t="s">
        <v>24</v>
      </c>
      <c r="AD31" s="32" t="s">
        <v>176</v>
      </c>
      <c r="AG31" s="73">
        <f t="shared" si="0"/>
        <v>25000</v>
      </c>
      <c r="AH31" s="73">
        <v>25000</v>
      </c>
      <c r="AI31" s="73">
        <v>4750</v>
      </c>
      <c r="AJ31" s="73">
        <v>29750</v>
      </c>
    </row>
    <row r="32" spans="1:36" x14ac:dyDescent="0.25">
      <c r="A32" s="32">
        <v>30</v>
      </c>
      <c r="B32" s="23">
        <v>1111000397</v>
      </c>
      <c r="C32" s="24" t="s">
        <v>20</v>
      </c>
      <c r="D32" s="113" t="s">
        <v>248</v>
      </c>
      <c r="E32" s="26" t="s">
        <v>22</v>
      </c>
      <c r="F32" s="114" t="s">
        <v>249</v>
      </c>
      <c r="G32" s="26" t="e">
        <v>#N/A</v>
      </c>
      <c r="H32" s="26" t="e">
        <v>#N/A</v>
      </c>
      <c r="I32" s="26" t="s">
        <v>20</v>
      </c>
      <c r="J32" s="70">
        <v>1</v>
      </c>
      <c r="K32" s="71">
        <v>0</v>
      </c>
      <c r="L32" s="71">
        <v>0</v>
      </c>
      <c r="M32" s="71">
        <v>0</v>
      </c>
      <c r="N32" s="71">
        <v>0</v>
      </c>
      <c r="O32" s="71">
        <v>0</v>
      </c>
      <c r="P32" s="71">
        <v>0</v>
      </c>
      <c r="Q32" s="71">
        <v>0</v>
      </c>
      <c r="R32" s="71">
        <v>0</v>
      </c>
      <c r="S32" s="26"/>
      <c r="T32" s="28">
        <f>VLOOKUP(D32:D167,'[1]Lista de artículos (1)'!$A$3:$I$553,7)</f>
        <v>1707.0377536134456</v>
      </c>
      <c r="U32" s="28" t="e">
        <f>VLOOKUP(D32,'[1]Lista de artículos (1)'!$A$3:$G$553,7,0)</f>
        <v>#N/A</v>
      </c>
      <c r="V32" s="26" t="s">
        <v>176</v>
      </c>
      <c r="W32" s="26" t="s">
        <v>176</v>
      </c>
      <c r="X32" s="32" t="s">
        <v>25</v>
      </c>
      <c r="Y32" s="72" t="s">
        <v>25</v>
      </c>
      <c r="Z32" s="72" t="s">
        <v>25</v>
      </c>
      <c r="AA32" s="73">
        <v>17000</v>
      </c>
      <c r="AB32" s="73" t="s">
        <v>24</v>
      </c>
      <c r="AC32" s="72" t="s">
        <v>24</v>
      </c>
      <c r="AD32" s="32" t="s">
        <v>176</v>
      </c>
      <c r="AG32" s="73">
        <f t="shared" si="0"/>
        <v>17000</v>
      </c>
      <c r="AH32" s="73">
        <v>17000</v>
      </c>
      <c r="AI32" s="73">
        <v>3230</v>
      </c>
      <c r="AJ32" s="73">
        <v>20230</v>
      </c>
    </row>
    <row r="33" spans="1:36" x14ac:dyDescent="0.25">
      <c r="A33" s="32">
        <v>31</v>
      </c>
      <c r="B33" s="23">
        <v>1111000398</v>
      </c>
      <c r="C33" s="24" t="s">
        <v>20</v>
      </c>
      <c r="D33" s="113" t="s">
        <v>250</v>
      </c>
      <c r="E33" s="26" t="s">
        <v>22</v>
      </c>
      <c r="F33" s="114" t="s">
        <v>250</v>
      </c>
      <c r="G33" s="26" t="e">
        <v>#N/A</v>
      </c>
      <c r="H33" s="26" t="e">
        <v>#N/A</v>
      </c>
      <c r="I33" s="26" t="s">
        <v>20</v>
      </c>
      <c r="J33" s="70">
        <v>1</v>
      </c>
      <c r="K33" s="71">
        <v>0</v>
      </c>
      <c r="L33" s="71">
        <v>0</v>
      </c>
      <c r="M33" s="71">
        <v>0</v>
      </c>
      <c r="N33" s="71">
        <v>0</v>
      </c>
      <c r="O33" s="71">
        <v>0</v>
      </c>
      <c r="P33" s="71">
        <v>0</v>
      </c>
      <c r="Q33" s="71">
        <v>0</v>
      </c>
      <c r="R33" s="71">
        <v>0</v>
      </c>
      <c r="S33" s="26"/>
      <c r="T33" s="28">
        <f>VLOOKUP(D33:D168,'[1]Lista de artículos (1)'!$A$3:$I$553,7)</f>
        <v>1707.0377536134456</v>
      </c>
      <c r="U33" s="28" t="e">
        <f>VLOOKUP(D33,'[1]Lista de artículos (1)'!$A$3:$G$553,7,0)</f>
        <v>#N/A</v>
      </c>
      <c r="V33" s="26" t="s">
        <v>176</v>
      </c>
      <c r="W33" s="26" t="s">
        <v>176</v>
      </c>
      <c r="X33" s="32" t="s">
        <v>25</v>
      </c>
      <c r="Y33" s="72" t="s">
        <v>25</v>
      </c>
      <c r="Z33" s="72" t="s">
        <v>25</v>
      </c>
      <c r="AA33" s="73">
        <v>15000</v>
      </c>
      <c r="AB33" s="73" t="s">
        <v>24</v>
      </c>
      <c r="AC33" s="72" t="s">
        <v>24</v>
      </c>
      <c r="AD33" s="32" t="s">
        <v>176</v>
      </c>
      <c r="AG33" s="73">
        <f t="shared" si="0"/>
        <v>15000</v>
      </c>
      <c r="AH33" s="73">
        <v>15000</v>
      </c>
      <c r="AI33" s="73">
        <v>2850</v>
      </c>
      <c r="AJ33" s="73">
        <v>17850</v>
      </c>
    </row>
    <row r="34" spans="1:36" ht="33" x14ac:dyDescent="0.25">
      <c r="A34" s="32">
        <v>32</v>
      </c>
      <c r="B34" s="23">
        <v>1104010200</v>
      </c>
      <c r="C34" s="24" t="s">
        <v>20</v>
      </c>
      <c r="D34" s="113" t="s">
        <v>251</v>
      </c>
      <c r="E34" s="26" t="s">
        <v>66</v>
      </c>
      <c r="F34" s="114" t="s">
        <v>252</v>
      </c>
      <c r="G34" s="26" t="e">
        <v>#N/A</v>
      </c>
      <c r="H34" s="26" t="e">
        <v>#N/A</v>
      </c>
      <c r="I34" s="26" t="s">
        <v>20</v>
      </c>
      <c r="J34" s="70">
        <v>1575.56</v>
      </c>
      <c r="K34" s="71">
        <v>840</v>
      </c>
      <c r="L34" s="71">
        <v>692</v>
      </c>
      <c r="M34" s="71">
        <v>440</v>
      </c>
      <c r="N34" s="71">
        <v>36.666666666666664</v>
      </c>
      <c r="O34" s="71">
        <v>434</v>
      </c>
      <c r="P34" s="71">
        <v>36.166666666666664</v>
      </c>
      <c r="Q34" s="71">
        <v>0</v>
      </c>
      <c r="R34" s="71">
        <v>511</v>
      </c>
      <c r="S34" s="26"/>
      <c r="T34" s="28">
        <f>VLOOKUP(D34:D171,'[1]Lista de artículos (1)'!$A$3:$I$553,7)</f>
        <v>16027.187797815124</v>
      </c>
      <c r="U34" s="28" t="e">
        <f>VLOOKUP(D34,'[1]Lista de artículos (1)'!$A$3:$G$553,7,0)</f>
        <v>#N/A</v>
      </c>
      <c r="V34" s="26" t="s">
        <v>176</v>
      </c>
      <c r="W34" s="26" t="s">
        <v>176</v>
      </c>
      <c r="X34" s="32" t="s">
        <v>25</v>
      </c>
      <c r="Y34" s="72" t="s">
        <v>25</v>
      </c>
      <c r="Z34" s="72">
        <v>7300</v>
      </c>
      <c r="AA34" s="73" t="s">
        <v>25</v>
      </c>
      <c r="AB34" s="73" t="s">
        <v>24</v>
      </c>
      <c r="AC34" s="72" t="s">
        <v>24</v>
      </c>
      <c r="AD34" s="32" t="s">
        <v>176</v>
      </c>
      <c r="AG34" s="73">
        <f t="shared" si="0"/>
        <v>7300</v>
      </c>
      <c r="AH34" s="73">
        <v>7300</v>
      </c>
      <c r="AI34" s="73">
        <v>1387</v>
      </c>
      <c r="AJ34" s="73">
        <v>8687</v>
      </c>
    </row>
    <row r="35" spans="1:36" x14ac:dyDescent="0.25">
      <c r="A35" s="32">
        <v>33</v>
      </c>
      <c r="B35" s="23">
        <v>1104010021</v>
      </c>
      <c r="C35" s="24" t="s">
        <v>20</v>
      </c>
      <c r="D35" s="113" t="s">
        <v>253</v>
      </c>
      <c r="E35" s="26" t="s">
        <v>66</v>
      </c>
      <c r="F35" s="114" t="s">
        <v>253</v>
      </c>
      <c r="G35" s="26" t="e">
        <v>#N/A</v>
      </c>
      <c r="H35" s="26" t="e">
        <v>#N/A</v>
      </c>
      <c r="I35" s="26" t="s">
        <v>20</v>
      </c>
      <c r="J35" s="70">
        <v>405.9</v>
      </c>
      <c r="K35" s="71">
        <v>0</v>
      </c>
      <c r="L35" s="71">
        <v>26</v>
      </c>
      <c r="M35" s="71">
        <v>26</v>
      </c>
      <c r="N35" s="71">
        <v>2.1666666666666665</v>
      </c>
      <c r="O35" s="71">
        <v>7</v>
      </c>
      <c r="P35" s="71">
        <v>0.58333333333333337</v>
      </c>
      <c r="Q35" s="71">
        <v>0</v>
      </c>
      <c r="R35" s="71">
        <v>0</v>
      </c>
      <c r="S35" s="26"/>
      <c r="T35" s="28">
        <f>VLOOKUP(D35:D172,'[1]Lista de artículos (1)'!$A$3:$I$553,7)</f>
        <v>8149.6428579831927</v>
      </c>
      <c r="U35" s="28" t="e">
        <f>VLOOKUP(D35,'[1]Lista de artículos (1)'!$A$3:$G$553,7,0)</f>
        <v>#N/A</v>
      </c>
      <c r="V35" s="26" t="s">
        <v>176</v>
      </c>
      <c r="W35" s="26" t="s">
        <v>176</v>
      </c>
      <c r="X35" s="32" t="s">
        <v>25</v>
      </c>
      <c r="Y35" s="72" t="s">
        <v>25</v>
      </c>
      <c r="Z35" s="72">
        <v>1300</v>
      </c>
      <c r="AA35" s="73" t="s">
        <v>25</v>
      </c>
      <c r="AB35" s="73" t="s">
        <v>24</v>
      </c>
      <c r="AC35" s="72" t="s">
        <v>24</v>
      </c>
      <c r="AD35" s="32" t="s">
        <v>176</v>
      </c>
      <c r="AG35" s="73">
        <f t="shared" si="0"/>
        <v>1300</v>
      </c>
      <c r="AH35" s="73">
        <v>1300</v>
      </c>
      <c r="AI35" s="73">
        <v>247</v>
      </c>
      <c r="AJ35" s="73">
        <v>1547</v>
      </c>
    </row>
    <row r="36" spans="1:36" ht="33" x14ac:dyDescent="0.25">
      <c r="A36" s="32">
        <v>34</v>
      </c>
      <c r="B36" s="23">
        <v>1104010325</v>
      </c>
      <c r="C36" s="24" t="s">
        <v>20</v>
      </c>
      <c r="D36" s="113" t="s">
        <v>254</v>
      </c>
      <c r="E36" s="26" t="s">
        <v>66</v>
      </c>
      <c r="F36" s="114" t="s">
        <v>254</v>
      </c>
      <c r="G36" s="26" t="e">
        <v>#N/A</v>
      </c>
      <c r="H36" s="26" t="e">
        <v>#N/A</v>
      </c>
      <c r="I36" s="26" t="s">
        <v>20</v>
      </c>
      <c r="J36" s="70">
        <v>1004.36</v>
      </c>
      <c r="K36" s="71">
        <v>337</v>
      </c>
      <c r="L36" s="71">
        <v>487</v>
      </c>
      <c r="M36" s="71">
        <v>378</v>
      </c>
      <c r="N36" s="71">
        <v>31.5</v>
      </c>
      <c r="O36" s="71">
        <v>459</v>
      </c>
      <c r="P36" s="71">
        <v>38.25</v>
      </c>
      <c r="Q36" s="71">
        <v>0</v>
      </c>
      <c r="R36" s="71">
        <v>196</v>
      </c>
      <c r="S36" s="26"/>
      <c r="T36" s="28">
        <f>VLOOKUP(D36:D173,'[1]Lista de artículos (1)'!$A$3:$I$553,7)</f>
        <v>17712.954052941179</v>
      </c>
      <c r="U36" s="28" t="e">
        <f>VLOOKUP(D36,'[1]Lista de artículos (1)'!$A$3:$G$553,7,0)</f>
        <v>#N/A</v>
      </c>
      <c r="V36" s="28">
        <v>5900</v>
      </c>
      <c r="W36" s="28">
        <v>5000</v>
      </c>
      <c r="X36" s="32" t="s">
        <v>25</v>
      </c>
      <c r="Y36" s="72" t="s">
        <v>25</v>
      </c>
      <c r="Z36" s="72" t="s">
        <v>25</v>
      </c>
      <c r="AA36" s="73" t="s">
        <v>25</v>
      </c>
      <c r="AB36" s="73" t="s">
        <v>24</v>
      </c>
      <c r="AC36" s="72" t="s">
        <v>24</v>
      </c>
      <c r="AD36" s="115">
        <v>6797</v>
      </c>
      <c r="AG36" s="73">
        <f t="shared" si="0"/>
        <v>5000</v>
      </c>
      <c r="AH36" s="73">
        <v>5899</v>
      </c>
      <c r="AI36" s="73">
        <v>1120.81</v>
      </c>
      <c r="AJ36" s="73">
        <v>7019.8099999999995</v>
      </c>
    </row>
    <row r="37" spans="1:36" x14ac:dyDescent="0.25">
      <c r="A37" s="32">
        <v>35</v>
      </c>
      <c r="B37" s="23">
        <v>1111000354</v>
      </c>
      <c r="C37" s="24" t="s">
        <v>20</v>
      </c>
      <c r="D37" s="113" t="s">
        <v>255</v>
      </c>
      <c r="E37" s="26" t="s">
        <v>22</v>
      </c>
      <c r="F37" s="114" t="s">
        <v>255</v>
      </c>
      <c r="G37" s="26" t="e">
        <v>#N/A</v>
      </c>
      <c r="H37" s="26" t="e">
        <v>#N/A</v>
      </c>
      <c r="I37" s="26" t="s">
        <v>20</v>
      </c>
      <c r="J37" s="70">
        <v>1</v>
      </c>
      <c r="K37" s="71">
        <v>0</v>
      </c>
      <c r="L37" s="71">
        <v>0</v>
      </c>
      <c r="M37" s="71">
        <v>0</v>
      </c>
      <c r="N37" s="71">
        <v>0</v>
      </c>
      <c r="O37" s="71">
        <v>0</v>
      </c>
      <c r="P37" s="71">
        <v>0</v>
      </c>
      <c r="Q37" s="71">
        <v>0</v>
      </c>
      <c r="R37" s="71">
        <v>0</v>
      </c>
      <c r="S37" s="26"/>
      <c r="T37" s="28">
        <f>VLOOKUP(D37:D175,'[1]Lista de artículos (1)'!$A$3:$I$553,7)</f>
        <v>15002.610620672267</v>
      </c>
      <c r="U37" s="28" t="e">
        <f>VLOOKUP(D37,'[1]Lista de artículos (1)'!$A$3:$G$553,7,0)</f>
        <v>#N/A</v>
      </c>
      <c r="V37" s="26" t="s">
        <v>176</v>
      </c>
      <c r="W37" s="26" t="s">
        <v>176</v>
      </c>
      <c r="X37" s="32" t="s">
        <v>25</v>
      </c>
      <c r="Y37" s="72">
        <v>2162900</v>
      </c>
      <c r="Z37" s="72" t="s">
        <v>25</v>
      </c>
      <c r="AA37" s="73" t="s">
        <v>25</v>
      </c>
      <c r="AB37" s="73" t="s">
        <v>24</v>
      </c>
      <c r="AC37" s="72" t="s">
        <v>24</v>
      </c>
      <c r="AD37" s="32" t="s">
        <v>176</v>
      </c>
      <c r="AG37" s="73">
        <f t="shared" si="0"/>
        <v>2162900</v>
      </c>
      <c r="AH37" s="73">
        <v>2162900</v>
      </c>
      <c r="AI37" s="73">
        <v>410951</v>
      </c>
      <c r="AJ37" s="73">
        <v>2573851</v>
      </c>
    </row>
    <row r="38" spans="1:36" x14ac:dyDescent="0.25">
      <c r="A38" s="32">
        <v>36</v>
      </c>
      <c r="B38" s="23">
        <v>1121090067</v>
      </c>
      <c r="C38" s="24" t="s">
        <v>20</v>
      </c>
      <c r="D38" s="113" t="s">
        <v>256</v>
      </c>
      <c r="E38" s="26" t="s">
        <v>22</v>
      </c>
      <c r="F38" s="114" t="s">
        <v>256</v>
      </c>
      <c r="G38" s="26" t="e">
        <v>#N/A</v>
      </c>
      <c r="H38" s="26" t="e">
        <v>#N/A</v>
      </c>
      <c r="I38" s="26" t="s">
        <v>20</v>
      </c>
      <c r="J38" s="70">
        <v>37595.946669999998</v>
      </c>
      <c r="K38" s="71">
        <v>2</v>
      </c>
      <c r="L38" s="71">
        <v>5</v>
      </c>
      <c r="M38" s="71">
        <v>0</v>
      </c>
      <c r="N38" s="71">
        <v>0</v>
      </c>
      <c r="O38" s="71">
        <v>3</v>
      </c>
      <c r="P38" s="71">
        <v>0.25</v>
      </c>
      <c r="Q38" s="71">
        <v>0</v>
      </c>
      <c r="R38" s="71">
        <v>0</v>
      </c>
      <c r="S38" s="26"/>
      <c r="T38" s="28">
        <f>VLOOKUP(D38:D176,'[1]Lista de artículos (1)'!$A$3:$I$553,7)</f>
        <v>35089.109379831934</v>
      </c>
      <c r="U38" s="28">
        <f>VLOOKUP(D38,'[1]Lista de artículos (1)'!$A$3:$G$553,7,0)</f>
        <v>35089.109379831934</v>
      </c>
      <c r="V38" s="26" t="s">
        <v>176</v>
      </c>
      <c r="W38" s="26" t="s">
        <v>176</v>
      </c>
      <c r="X38" s="32" t="s">
        <v>25</v>
      </c>
      <c r="Y38" s="72" t="s">
        <v>25</v>
      </c>
      <c r="Z38" s="72">
        <v>6000</v>
      </c>
      <c r="AA38" s="73">
        <v>38305</v>
      </c>
      <c r="AB38" s="73" t="s">
        <v>24</v>
      </c>
      <c r="AC38" s="72" t="s">
        <v>24</v>
      </c>
      <c r="AD38" s="32" t="s">
        <v>176</v>
      </c>
      <c r="AG38" s="73">
        <f t="shared" si="0"/>
        <v>6000</v>
      </c>
      <c r="AH38" s="73">
        <v>22152.5</v>
      </c>
      <c r="AI38" s="73">
        <v>4208.9750000000004</v>
      </c>
      <c r="AJ38" s="73">
        <v>26361.474999999999</v>
      </c>
    </row>
    <row r="39" spans="1:36" ht="33" x14ac:dyDescent="0.25">
      <c r="A39" s="32">
        <v>37</v>
      </c>
      <c r="B39" s="23">
        <v>1121090126</v>
      </c>
      <c r="C39" s="24" t="s">
        <v>20</v>
      </c>
      <c r="D39" s="113" t="s">
        <v>257</v>
      </c>
      <c r="E39" s="26" t="s">
        <v>22</v>
      </c>
      <c r="F39" s="114" t="s">
        <v>257</v>
      </c>
      <c r="G39" s="26" t="e">
        <v>#N/A</v>
      </c>
      <c r="H39" s="26" t="e">
        <v>#N/A</v>
      </c>
      <c r="I39" s="26" t="s">
        <v>20</v>
      </c>
      <c r="J39" s="70">
        <v>10198.86333</v>
      </c>
      <c r="K39" s="71">
        <v>0</v>
      </c>
      <c r="L39" s="71">
        <v>6</v>
      </c>
      <c r="M39" s="71">
        <v>0</v>
      </c>
      <c r="N39" s="71">
        <v>0</v>
      </c>
      <c r="O39" s="71">
        <v>0</v>
      </c>
      <c r="P39" s="71">
        <v>0</v>
      </c>
      <c r="Q39" s="71">
        <v>0</v>
      </c>
      <c r="R39" s="71">
        <v>0</v>
      </c>
      <c r="S39" s="26"/>
      <c r="T39" s="28">
        <f>VLOOKUP(D39:D177,'[1]Lista de artículos (1)'!$A$3:$I$553,7)</f>
        <v>35089.109379831934</v>
      </c>
      <c r="U39" s="28" t="e">
        <f>VLOOKUP(D39,'[1]Lista de artículos (1)'!$A$3:$G$553,7,0)</f>
        <v>#N/A</v>
      </c>
      <c r="V39" s="28">
        <v>89900</v>
      </c>
      <c r="W39" s="28">
        <v>99990</v>
      </c>
      <c r="X39" s="32" t="s">
        <v>25</v>
      </c>
      <c r="Y39" s="72" t="s">
        <v>25</v>
      </c>
      <c r="Z39" s="72" t="s">
        <v>25</v>
      </c>
      <c r="AA39" s="73" t="s">
        <v>25</v>
      </c>
      <c r="AB39" s="73" t="s">
        <v>24</v>
      </c>
      <c r="AC39" s="72" t="s">
        <v>24</v>
      </c>
      <c r="AD39" s="115" t="s">
        <v>24</v>
      </c>
      <c r="AG39" s="73">
        <f t="shared" si="0"/>
        <v>89900</v>
      </c>
      <c r="AH39" s="73">
        <v>94945</v>
      </c>
      <c r="AI39" s="73">
        <v>18039.55</v>
      </c>
      <c r="AJ39" s="73">
        <v>112984.55</v>
      </c>
    </row>
    <row r="40" spans="1:36" ht="33" x14ac:dyDescent="0.25">
      <c r="A40" s="32">
        <v>38</v>
      </c>
      <c r="B40" s="23">
        <v>1121090129</v>
      </c>
      <c r="C40" s="24" t="s">
        <v>20</v>
      </c>
      <c r="D40" s="113" t="s">
        <v>258</v>
      </c>
      <c r="E40" s="26" t="s">
        <v>22</v>
      </c>
      <c r="F40" s="114" t="s">
        <v>258</v>
      </c>
      <c r="G40" s="26" t="e">
        <v>#N/A</v>
      </c>
      <c r="H40" s="26" t="e">
        <v>#N/A</v>
      </c>
      <c r="I40" s="26" t="s">
        <v>20</v>
      </c>
      <c r="J40" s="70">
        <v>5859</v>
      </c>
      <c r="K40" s="71">
        <v>0</v>
      </c>
      <c r="L40" s="71">
        <v>0</v>
      </c>
      <c r="M40" s="71">
        <v>0</v>
      </c>
      <c r="N40" s="71">
        <v>0</v>
      </c>
      <c r="O40" s="71">
        <v>6</v>
      </c>
      <c r="P40" s="71">
        <v>0.5</v>
      </c>
      <c r="Q40" s="71">
        <v>0</v>
      </c>
      <c r="R40" s="71">
        <v>0</v>
      </c>
      <c r="S40" s="26"/>
      <c r="T40" s="28">
        <f>VLOOKUP(D40:D178,'[1]Lista de artículos (1)'!$A$3:$I$553,7)</f>
        <v>14699.491767226891</v>
      </c>
      <c r="U40" s="28" t="e">
        <f>VLOOKUP(D40,'[1]Lista de artículos (1)'!$A$3:$G$553,7,0)</f>
        <v>#N/A</v>
      </c>
      <c r="V40" s="26" t="s">
        <v>176</v>
      </c>
      <c r="W40" s="26" t="s">
        <v>176</v>
      </c>
      <c r="X40" s="32" t="s">
        <v>25</v>
      </c>
      <c r="Y40" s="72" t="s">
        <v>25</v>
      </c>
      <c r="Z40" s="72">
        <v>4300</v>
      </c>
      <c r="AA40" s="73">
        <v>17000</v>
      </c>
      <c r="AB40" s="73" t="s">
        <v>24</v>
      </c>
      <c r="AC40" s="72" t="s">
        <v>24</v>
      </c>
      <c r="AD40" s="32" t="s">
        <v>176</v>
      </c>
      <c r="AG40" s="73">
        <f t="shared" si="0"/>
        <v>4300</v>
      </c>
      <c r="AH40" s="73">
        <v>10650</v>
      </c>
      <c r="AI40" s="73">
        <v>2023.5</v>
      </c>
      <c r="AJ40" s="73">
        <v>12673.5</v>
      </c>
    </row>
    <row r="41" spans="1:36" ht="33" x14ac:dyDescent="0.25">
      <c r="A41" s="32">
        <v>39</v>
      </c>
      <c r="B41" s="23">
        <v>1121090127</v>
      </c>
      <c r="C41" s="24" t="s">
        <v>20</v>
      </c>
      <c r="D41" s="113" t="s">
        <v>259</v>
      </c>
      <c r="E41" s="26" t="s">
        <v>22</v>
      </c>
      <c r="F41" s="114" t="s">
        <v>259</v>
      </c>
      <c r="G41" s="26" t="e">
        <v>#N/A</v>
      </c>
      <c r="H41" s="26" t="e">
        <v>#N/A</v>
      </c>
      <c r="I41" s="26" t="s">
        <v>20</v>
      </c>
      <c r="J41" s="70">
        <v>3578.4</v>
      </c>
      <c r="K41" s="71">
        <v>10</v>
      </c>
      <c r="L41" s="71">
        <v>44</v>
      </c>
      <c r="M41" s="71">
        <v>5</v>
      </c>
      <c r="N41" s="71">
        <v>0.41666666666666669</v>
      </c>
      <c r="O41" s="71">
        <v>0</v>
      </c>
      <c r="P41" s="71">
        <v>0</v>
      </c>
      <c r="Q41" s="71">
        <v>0</v>
      </c>
      <c r="R41" s="71">
        <v>0</v>
      </c>
      <c r="S41" s="26"/>
      <c r="T41" s="28">
        <f>VLOOKUP(D41:D179,'[1]Lista de artículos (1)'!$A$3:$I$553,7)</f>
        <v>5215.948691596639</v>
      </c>
      <c r="U41" s="28" t="e">
        <f>VLOOKUP(D41,'[1]Lista de artículos (1)'!$A$3:$G$553,7,0)</f>
        <v>#N/A</v>
      </c>
      <c r="V41" s="26" t="s">
        <v>176</v>
      </c>
      <c r="W41" s="26" t="s">
        <v>176</v>
      </c>
      <c r="X41" s="32" t="s">
        <v>25</v>
      </c>
      <c r="Y41" s="72">
        <v>14500</v>
      </c>
      <c r="Z41" s="72">
        <v>3500</v>
      </c>
      <c r="AA41" s="73">
        <v>3360</v>
      </c>
      <c r="AB41" s="73" t="s">
        <v>24</v>
      </c>
      <c r="AC41" s="72" t="s">
        <v>24</v>
      </c>
      <c r="AD41" s="32" t="s">
        <v>176</v>
      </c>
      <c r="AG41" s="73">
        <f t="shared" si="0"/>
        <v>3360</v>
      </c>
      <c r="AH41" s="73">
        <v>7120</v>
      </c>
      <c r="AI41" s="73">
        <v>1352.8</v>
      </c>
      <c r="AJ41" s="73">
        <v>8472.7999999999993</v>
      </c>
    </row>
    <row r="42" spans="1:36" x14ac:dyDescent="0.25">
      <c r="A42" s="32">
        <v>40</v>
      </c>
      <c r="B42" s="23">
        <v>1043205055</v>
      </c>
      <c r="C42" s="24" t="s">
        <v>20</v>
      </c>
      <c r="D42" s="113" t="s">
        <v>260</v>
      </c>
      <c r="E42" s="26" t="s">
        <v>90</v>
      </c>
      <c r="F42" s="114" t="s">
        <v>260</v>
      </c>
      <c r="G42" s="26" t="e">
        <v>#N/A</v>
      </c>
      <c r="H42" s="26" t="e">
        <v>#N/A</v>
      </c>
      <c r="I42" s="26" t="s">
        <v>20</v>
      </c>
      <c r="J42" s="70">
        <v>13773.38905</v>
      </c>
      <c r="K42" s="71">
        <v>2</v>
      </c>
      <c r="L42" s="71">
        <v>42</v>
      </c>
      <c r="M42" s="71">
        <v>0</v>
      </c>
      <c r="N42" s="71">
        <v>0</v>
      </c>
      <c r="O42" s="71">
        <v>0</v>
      </c>
      <c r="P42" s="71">
        <v>0</v>
      </c>
      <c r="Q42" s="71">
        <v>0</v>
      </c>
      <c r="R42" s="71">
        <v>0</v>
      </c>
      <c r="S42" s="26"/>
      <c r="T42" s="28">
        <f>VLOOKUP(D42:D180,'[1]Lista de artículos (1)'!$A$3:$I$553,7)</f>
        <v>602.69245714285717</v>
      </c>
      <c r="U42" s="28" t="e">
        <f>VLOOKUP(D42,'[1]Lista de artículos (1)'!$A$3:$G$553,7,0)</f>
        <v>#N/A</v>
      </c>
      <c r="V42" s="26" t="s">
        <v>176</v>
      </c>
      <c r="W42" s="26" t="s">
        <v>176</v>
      </c>
      <c r="X42" s="32" t="s">
        <v>25</v>
      </c>
      <c r="Y42" s="72">
        <v>91900</v>
      </c>
      <c r="Z42" s="72" t="s">
        <v>25</v>
      </c>
      <c r="AA42" s="73" t="s">
        <v>25</v>
      </c>
      <c r="AB42" s="73" t="s">
        <v>24</v>
      </c>
      <c r="AC42" s="72" t="s">
        <v>24</v>
      </c>
      <c r="AD42" s="32" t="s">
        <v>176</v>
      </c>
      <c r="AG42" s="73">
        <f t="shared" si="0"/>
        <v>91900</v>
      </c>
      <c r="AH42" s="73">
        <v>91900</v>
      </c>
      <c r="AI42" s="73">
        <v>17461</v>
      </c>
      <c r="AJ42" s="73">
        <v>109361</v>
      </c>
    </row>
    <row r="43" spans="1:36" x14ac:dyDescent="0.25">
      <c r="A43" s="32">
        <v>41</v>
      </c>
      <c r="B43" s="23">
        <v>1043205422</v>
      </c>
      <c r="C43" s="24" t="s">
        <v>20</v>
      </c>
      <c r="D43" s="113" t="s">
        <v>261</v>
      </c>
      <c r="E43" s="26" t="s">
        <v>22</v>
      </c>
      <c r="F43" s="114" t="s">
        <v>262</v>
      </c>
      <c r="G43" s="26" t="e">
        <v>#N/A</v>
      </c>
      <c r="H43" s="26" t="e">
        <v>#N/A</v>
      </c>
      <c r="I43" s="26" t="s">
        <v>20</v>
      </c>
      <c r="J43" s="70">
        <v>25603.97</v>
      </c>
      <c r="K43" s="71">
        <v>0</v>
      </c>
      <c r="L43" s="71">
        <v>0</v>
      </c>
      <c r="M43" s="71">
        <v>0</v>
      </c>
      <c r="N43" s="71">
        <v>0</v>
      </c>
      <c r="O43" s="71">
        <v>2</v>
      </c>
      <c r="P43" s="71">
        <v>0.16666666666666666</v>
      </c>
      <c r="Q43" s="71">
        <v>0</v>
      </c>
      <c r="R43" s="71">
        <v>0</v>
      </c>
      <c r="S43" s="26"/>
      <c r="T43" s="28">
        <f>VLOOKUP(D43:D181,'[1]Lista de artículos (1)'!$A$3:$I$553,7)</f>
        <v>602.69245714285717</v>
      </c>
      <c r="U43" s="28" t="e">
        <f>VLOOKUP(D43,'[1]Lista de artículos (1)'!$A$3:$G$553,7,0)</f>
        <v>#N/A</v>
      </c>
      <c r="V43" s="28">
        <v>18900</v>
      </c>
      <c r="W43" s="28">
        <v>23000</v>
      </c>
      <c r="X43" s="32" t="s">
        <v>25</v>
      </c>
      <c r="Y43" s="72" t="s">
        <v>25</v>
      </c>
      <c r="Z43" s="72" t="s">
        <v>25</v>
      </c>
      <c r="AA43" s="73" t="s">
        <v>25</v>
      </c>
      <c r="AB43" s="73" t="s">
        <v>24</v>
      </c>
      <c r="AC43" s="72" t="s">
        <v>24</v>
      </c>
      <c r="AD43" s="115" t="s">
        <v>24</v>
      </c>
      <c r="AG43" s="73">
        <f t="shared" si="0"/>
        <v>18900</v>
      </c>
      <c r="AH43" s="73">
        <v>20950</v>
      </c>
      <c r="AI43" s="73">
        <v>3980.5</v>
      </c>
      <c r="AJ43" s="73">
        <v>24930.5</v>
      </c>
    </row>
    <row r="44" spans="1:36" ht="33" x14ac:dyDescent="0.25">
      <c r="A44" s="32">
        <v>42</v>
      </c>
      <c r="B44" s="23">
        <v>1043205312</v>
      </c>
      <c r="C44" s="24" t="s">
        <v>20</v>
      </c>
      <c r="D44" s="113" t="s">
        <v>263</v>
      </c>
      <c r="E44" s="26" t="s">
        <v>175</v>
      </c>
      <c r="F44" s="114" t="s">
        <v>264</v>
      </c>
      <c r="G44" s="26" t="e">
        <v>#N/A</v>
      </c>
      <c r="H44" s="26" t="e">
        <v>#N/A</v>
      </c>
      <c r="I44" s="26" t="s">
        <v>20</v>
      </c>
      <c r="J44" s="70">
        <v>33226.01</v>
      </c>
      <c r="K44" s="71">
        <v>0</v>
      </c>
      <c r="L44" s="71">
        <v>0</v>
      </c>
      <c r="M44" s="71">
        <v>0</v>
      </c>
      <c r="N44" s="71">
        <v>0</v>
      </c>
      <c r="O44" s="71">
        <v>16</v>
      </c>
      <c r="P44" s="71">
        <v>1.3333333333333333</v>
      </c>
      <c r="Q44" s="71">
        <v>0</v>
      </c>
      <c r="R44" s="71">
        <v>0</v>
      </c>
      <c r="S44" s="26"/>
      <c r="T44" s="28">
        <f>VLOOKUP(D44:D182,'[1]Lista de artículos (1)'!$A$3:$I$553,7)</f>
        <v>19441.263305042019</v>
      </c>
      <c r="U44" s="28" t="e">
        <f>VLOOKUP(D44,'[1]Lista de artículos (1)'!$A$3:$G$553,7,0)</f>
        <v>#N/A</v>
      </c>
      <c r="V44" s="28">
        <v>16500</v>
      </c>
      <c r="W44" s="28" t="s">
        <v>24</v>
      </c>
      <c r="X44" s="32" t="s">
        <v>25</v>
      </c>
      <c r="Y44" s="72" t="s">
        <v>25</v>
      </c>
      <c r="Z44" s="72" t="s">
        <v>25</v>
      </c>
      <c r="AA44" s="73" t="s">
        <v>25</v>
      </c>
      <c r="AB44" s="73" t="s">
        <v>24</v>
      </c>
      <c r="AC44" s="72" t="s">
        <v>24</v>
      </c>
      <c r="AD44" s="115" t="s">
        <v>37</v>
      </c>
      <c r="AG44" s="73">
        <f t="shared" si="0"/>
        <v>16500</v>
      </c>
      <c r="AH44" s="73">
        <v>16500</v>
      </c>
      <c r="AI44" s="73">
        <v>3135</v>
      </c>
      <c r="AJ44" s="73">
        <v>19635</v>
      </c>
    </row>
    <row r="45" spans="1:36" ht="33" x14ac:dyDescent="0.25">
      <c r="A45" s="32">
        <v>43</v>
      </c>
      <c r="B45" s="23">
        <v>1043205316</v>
      </c>
      <c r="C45" s="24" t="s">
        <v>20</v>
      </c>
      <c r="D45" s="113" t="s">
        <v>265</v>
      </c>
      <c r="E45" s="26" t="s">
        <v>22</v>
      </c>
      <c r="F45" s="114" t="s">
        <v>266</v>
      </c>
      <c r="G45" s="26" t="e">
        <v>#N/A</v>
      </c>
      <c r="H45" s="26" t="e">
        <v>#N/A</v>
      </c>
      <c r="I45" s="26" t="s">
        <v>20</v>
      </c>
      <c r="J45" s="70">
        <v>1</v>
      </c>
      <c r="K45" s="71">
        <v>0</v>
      </c>
      <c r="L45" s="71">
        <v>0</v>
      </c>
      <c r="M45" s="71">
        <v>0</v>
      </c>
      <c r="N45" s="71">
        <v>0</v>
      </c>
      <c r="O45" s="71">
        <v>0</v>
      </c>
      <c r="P45" s="71">
        <v>0</v>
      </c>
      <c r="Q45" s="71">
        <v>0</v>
      </c>
      <c r="R45" s="71">
        <v>0</v>
      </c>
      <c r="S45" s="26"/>
      <c r="T45" s="28">
        <f>VLOOKUP(D45:D183,'[1]Lista de artículos (1)'!$A$3:$I$553,7)</f>
        <v>31011.185857310928</v>
      </c>
      <c r="U45" s="28" t="e">
        <f>VLOOKUP(D45,'[1]Lista de artículos (1)'!$A$3:$G$553,7,0)</f>
        <v>#N/A</v>
      </c>
      <c r="V45" s="28" t="s">
        <v>37</v>
      </c>
      <c r="W45" s="28" t="s">
        <v>24</v>
      </c>
      <c r="X45" s="32" t="s">
        <v>25</v>
      </c>
      <c r="Y45" s="72" t="s">
        <v>25</v>
      </c>
      <c r="Z45" s="72" t="s">
        <v>25</v>
      </c>
      <c r="AA45" s="73" t="s">
        <v>25</v>
      </c>
      <c r="AB45" s="73" t="s">
        <v>24</v>
      </c>
      <c r="AC45" s="72" t="s">
        <v>24</v>
      </c>
      <c r="AD45" s="115">
        <v>19510</v>
      </c>
      <c r="AG45" s="73">
        <f t="shared" si="0"/>
        <v>19510</v>
      </c>
      <c r="AH45" s="73">
        <v>19510</v>
      </c>
      <c r="AI45" s="73">
        <v>3706.9</v>
      </c>
      <c r="AJ45" s="73">
        <v>23216.9</v>
      </c>
    </row>
    <row r="46" spans="1:36" ht="33" x14ac:dyDescent="0.25">
      <c r="A46" s="32">
        <v>44</v>
      </c>
      <c r="B46" s="23">
        <v>1043205313</v>
      </c>
      <c r="C46" s="24" t="s">
        <v>20</v>
      </c>
      <c r="D46" s="113" t="s">
        <v>267</v>
      </c>
      <c r="E46" s="26" t="s">
        <v>175</v>
      </c>
      <c r="F46" s="114" t="s">
        <v>267</v>
      </c>
      <c r="G46" s="26" t="e">
        <v>#N/A</v>
      </c>
      <c r="H46" s="26" t="e">
        <v>#N/A</v>
      </c>
      <c r="I46" s="26" t="s">
        <v>20</v>
      </c>
      <c r="J46" s="70">
        <v>1</v>
      </c>
      <c r="K46" s="71">
        <v>0</v>
      </c>
      <c r="L46" s="71">
        <v>0</v>
      </c>
      <c r="M46" s="71">
        <v>0</v>
      </c>
      <c r="N46" s="71">
        <v>0</v>
      </c>
      <c r="O46" s="71">
        <v>0</v>
      </c>
      <c r="P46" s="71">
        <v>0</v>
      </c>
      <c r="Q46" s="71">
        <v>0</v>
      </c>
      <c r="R46" s="71">
        <v>0</v>
      </c>
      <c r="S46" s="26"/>
      <c r="T46" s="28">
        <f>VLOOKUP(D46:D184,'[1]Lista de artículos (1)'!$A$3:$I$553,7)</f>
        <v>29929.884684201683</v>
      </c>
      <c r="U46" s="28" t="e">
        <f>VLOOKUP(D46,'[1]Lista de artículos (1)'!$A$3:$G$553,7,0)</f>
        <v>#N/A</v>
      </c>
      <c r="V46" s="28">
        <v>37900</v>
      </c>
      <c r="W46" s="28" t="s">
        <v>24</v>
      </c>
      <c r="X46" s="32" t="s">
        <v>25</v>
      </c>
      <c r="Y46" s="72" t="s">
        <v>25</v>
      </c>
      <c r="Z46" s="72" t="s">
        <v>25</v>
      </c>
      <c r="AA46" s="73" t="s">
        <v>25</v>
      </c>
      <c r="AB46" s="73" t="s">
        <v>24</v>
      </c>
      <c r="AC46" s="72" t="s">
        <v>24</v>
      </c>
      <c r="AD46" s="115" t="s">
        <v>37</v>
      </c>
      <c r="AG46" s="73">
        <f t="shared" si="0"/>
        <v>37900</v>
      </c>
      <c r="AH46" s="73">
        <v>37900</v>
      </c>
      <c r="AI46" s="73">
        <v>7201</v>
      </c>
      <c r="AJ46" s="73">
        <v>45101</v>
      </c>
    </row>
    <row r="47" spans="1:36" ht="33" x14ac:dyDescent="0.25">
      <c r="A47" s="32">
        <v>45</v>
      </c>
      <c r="B47" s="23">
        <v>1043205315</v>
      </c>
      <c r="C47" s="24" t="s">
        <v>20</v>
      </c>
      <c r="D47" s="113" t="s">
        <v>268</v>
      </c>
      <c r="E47" s="26" t="s">
        <v>175</v>
      </c>
      <c r="F47" s="114" t="s">
        <v>268</v>
      </c>
      <c r="G47" s="26" t="e">
        <v>#N/A</v>
      </c>
      <c r="H47" s="26" t="e">
        <v>#N/A</v>
      </c>
      <c r="I47" s="26" t="s">
        <v>20</v>
      </c>
      <c r="J47" s="70">
        <v>1</v>
      </c>
      <c r="K47" s="71">
        <v>0</v>
      </c>
      <c r="L47" s="71">
        <v>0</v>
      </c>
      <c r="M47" s="71">
        <v>0</v>
      </c>
      <c r="N47" s="71">
        <v>0</v>
      </c>
      <c r="O47" s="71">
        <v>0</v>
      </c>
      <c r="P47" s="71">
        <v>0</v>
      </c>
      <c r="Q47" s="71">
        <v>0</v>
      </c>
      <c r="R47" s="71">
        <v>0</v>
      </c>
      <c r="S47" s="26"/>
      <c r="T47" s="28">
        <f>VLOOKUP(D47:D186,'[1]Lista de artículos (1)'!$A$3:$I$553,7)</f>
        <v>26842.858466218484</v>
      </c>
      <c r="U47" s="28" t="e">
        <f>VLOOKUP(D47,'[1]Lista de artículos (1)'!$A$3:$G$553,7,0)</f>
        <v>#N/A</v>
      </c>
      <c r="V47" s="28">
        <v>29900</v>
      </c>
      <c r="W47" s="28">
        <v>22705</v>
      </c>
      <c r="X47" s="32" t="s">
        <v>25</v>
      </c>
      <c r="Y47" s="72" t="s">
        <v>25</v>
      </c>
      <c r="Z47" s="72" t="s">
        <v>25</v>
      </c>
      <c r="AA47" s="73" t="s">
        <v>25</v>
      </c>
      <c r="AB47" s="73" t="s">
        <v>24</v>
      </c>
      <c r="AC47" s="72" t="s">
        <v>24</v>
      </c>
      <c r="AD47" s="115" t="s">
        <v>24</v>
      </c>
      <c r="AG47" s="73">
        <f t="shared" si="0"/>
        <v>22705</v>
      </c>
      <c r="AH47" s="73">
        <v>26302.5</v>
      </c>
      <c r="AI47" s="73">
        <v>4997.4750000000004</v>
      </c>
      <c r="AJ47" s="73">
        <v>31299.974999999999</v>
      </c>
    </row>
    <row r="48" spans="1:36" ht="33" x14ac:dyDescent="0.25">
      <c r="A48" s="32">
        <v>46</v>
      </c>
      <c r="B48" s="23">
        <v>1043205315</v>
      </c>
      <c r="C48" s="24" t="s">
        <v>20</v>
      </c>
      <c r="D48" s="113" t="s">
        <v>268</v>
      </c>
      <c r="E48" s="26" t="s">
        <v>175</v>
      </c>
      <c r="F48" s="114" t="s">
        <v>268</v>
      </c>
      <c r="G48" s="26" t="e">
        <v>#N/A</v>
      </c>
      <c r="H48" s="26" t="e">
        <v>#N/A</v>
      </c>
      <c r="I48" s="26" t="s">
        <v>20</v>
      </c>
      <c r="J48" s="70">
        <v>1</v>
      </c>
      <c r="K48" s="71">
        <v>0</v>
      </c>
      <c r="L48" s="71">
        <v>0</v>
      </c>
      <c r="M48" s="71">
        <v>0</v>
      </c>
      <c r="N48" s="71">
        <v>0</v>
      </c>
      <c r="O48" s="71">
        <v>0</v>
      </c>
      <c r="P48" s="71">
        <v>0</v>
      </c>
      <c r="Q48" s="71">
        <v>0</v>
      </c>
      <c r="R48" s="71">
        <v>0</v>
      </c>
      <c r="S48" s="26"/>
      <c r="T48" s="28">
        <f>VLOOKUP(D48:D187,'[1]Lista de artículos (1)'!$A$3:$I$553,7)</f>
        <v>26842.858466218484</v>
      </c>
      <c r="U48" s="28" t="e">
        <f>VLOOKUP(D48,'[1]Lista de artículos (1)'!$A$3:$G$553,7,0)</f>
        <v>#N/A</v>
      </c>
      <c r="V48" s="28">
        <v>27600</v>
      </c>
      <c r="W48" s="28" t="s">
        <v>24</v>
      </c>
      <c r="X48" s="32" t="s">
        <v>25</v>
      </c>
      <c r="Y48" s="72" t="s">
        <v>25</v>
      </c>
      <c r="Z48" s="72" t="s">
        <v>25</v>
      </c>
      <c r="AA48" s="73" t="s">
        <v>25</v>
      </c>
      <c r="AB48" s="73" t="s">
        <v>24</v>
      </c>
      <c r="AC48" s="72" t="s">
        <v>24</v>
      </c>
      <c r="AD48" s="115" t="s">
        <v>37</v>
      </c>
      <c r="AG48" s="73">
        <f t="shared" si="0"/>
        <v>27600</v>
      </c>
      <c r="AH48" s="73">
        <v>27600</v>
      </c>
      <c r="AI48" s="73">
        <v>5244</v>
      </c>
      <c r="AJ48" s="73">
        <v>32844</v>
      </c>
    </row>
    <row r="49" spans="1:36" x14ac:dyDescent="0.25">
      <c r="A49" s="32">
        <v>47</v>
      </c>
      <c r="B49" s="23">
        <v>1111000400</v>
      </c>
      <c r="C49" s="24" t="s">
        <v>20</v>
      </c>
      <c r="D49" s="113" t="s">
        <v>269</v>
      </c>
      <c r="E49" s="26" t="s">
        <v>22</v>
      </c>
      <c r="F49" s="114" t="s">
        <v>269</v>
      </c>
      <c r="G49" s="26" t="e">
        <v>#N/A</v>
      </c>
      <c r="H49" s="26" t="e">
        <v>#N/A</v>
      </c>
      <c r="I49" s="26" t="s">
        <v>20</v>
      </c>
      <c r="J49" s="70">
        <v>1</v>
      </c>
      <c r="K49" s="71">
        <v>0</v>
      </c>
      <c r="L49" s="71">
        <v>0</v>
      </c>
      <c r="M49" s="71">
        <v>0</v>
      </c>
      <c r="N49" s="71">
        <v>0</v>
      </c>
      <c r="O49" s="71">
        <v>0</v>
      </c>
      <c r="P49" s="71">
        <v>0</v>
      </c>
      <c r="Q49" s="71">
        <v>0</v>
      </c>
      <c r="R49" s="71">
        <v>0</v>
      </c>
      <c r="S49" s="26"/>
      <c r="T49" s="28">
        <f>VLOOKUP(D49:D188,'[1]Lista de artículos (1)'!$A$3:$I$553,7)</f>
        <v>26842.858466218484</v>
      </c>
      <c r="U49" s="28" t="e">
        <f>VLOOKUP(D49,'[1]Lista de artículos (1)'!$A$3:$G$553,7,0)</f>
        <v>#N/A</v>
      </c>
      <c r="V49" s="26" t="s">
        <v>176</v>
      </c>
      <c r="W49" s="26" t="s">
        <v>176</v>
      </c>
      <c r="X49" s="32" t="s">
        <v>25</v>
      </c>
      <c r="Y49" s="72">
        <v>29900</v>
      </c>
      <c r="Z49" s="72">
        <v>2100</v>
      </c>
      <c r="AA49" s="73">
        <v>3500</v>
      </c>
      <c r="AB49" s="73" t="s">
        <v>24</v>
      </c>
      <c r="AC49" s="72" t="s">
        <v>37</v>
      </c>
      <c r="AD49" s="32" t="s">
        <v>176</v>
      </c>
      <c r="AG49" s="73">
        <f t="shared" si="0"/>
        <v>2100</v>
      </c>
      <c r="AH49" s="73">
        <v>11833.333333333334</v>
      </c>
      <c r="AI49" s="73">
        <v>2248.3333333333335</v>
      </c>
      <c r="AJ49" s="73">
        <v>14081.666666666668</v>
      </c>
    </row>
    <row r="50" spans="1:36" x14ac:dyDescent="0.25">
      <c r="A50" s="32">
        <v>48</v>
      </c>
      <c r="B50" s="23">
        <v>1111000401</v>
      </c>
      <c r="C50" s="24" t="s">
        <v>20</v>
      </c>
      <c r="D50" s="113" t="s">
        <v>270</v>
      </c>
      <c r="E50" s="26" t="s">
        <v>22</v>
      </c>
      <c r="F50" s="114" t="s">
        <v>270</v>
      </c>
      <c r="G50" s="26" t="e">
        <v>#N/A</v>
      </c>
      <c r="H50" s="26" t="e">
        <v>#N/A</v>
      </c>
      <c r="I50" s="26" t="s">
        <v>20</v>
      </c>
      <c r="J50" s="70">
        <v>1</v>
      </c>
      <c r="K50" s="71">
        <v>0</v>
      </c>
      <c r="L50" s="71">
        <v>0</v>
      </c>
      <c r="M50" s="71">
        <v>0</v>
      </c>
      <c r="N50" s="71">
        <v>0</v>
      </c>
      <c r="O50" s="71">
        <v>0</v>
      </c>
      <c r="P50" s="71">
        <v>0</v>
      </c>
      <c r="Q50" s="71">
        <v>0</v>
      </c>
      <c r="R50" s="71">
        <v>0</v>
      </c>
      <c r="S50" s="26"/>
      <c r="T50" s="28">
        <f>VLOOKUP(D50:D189,'[1]Lista de artículos (1)'!$A$3:$I$553,7)</f>
        <v>26842.858466218484</v>
      </c>
      <c r="U50" s="28" t="e">
        <f>VLOOKUP(D50,'[1]Lista de artículos (1)'!$A$3:$G$553,7,0)</f>
        <v>#N/A</v>
      </c>
      <c r="V50" s="26" t="s">
        <v>176</v>
      </c>
      <c r="W50" s="26" t="s">
        <v>176</v>
      </c>
      <c r="X50" s="32" t="s">
        <v>25</v>
      </c>
      <c r="Y50" s="72">
        <v>31900</v>
      </c>
      <c r="Z50" s="72">
        <v>3000</v>
      </c>
      <c r="AA50" s="73">
        <v>5500</v>
      </c>
      <c r="AB50" s="73" t="s">
        <v>24</v>
      </c>
      <c r="AC50" s="72">
        <v>28638</v>
      </c>
      <c r="AD50" s="32" t="s">
        <v>176</v>
      </c>
      <c r="AG50" s="73">
        <f t="shared" si="0"/>
        <v>3000</v>
      </c>
      <c r="AH50" s="73">
        <v>17259.5</v>
      </c>
      <c r="AI50" s="73">
        <v>3279.3049999999998</v>
      </c>
      <c r="AJ50" s="73">
        <v>20538.805</v>
      </c>
    </row>
    <row r="51" spans="1:36" ht="33" x14ac:dyDescent="0.25">
      <c r="A51" s="32">
        <v>49</v>
      </c>
      <c r="B51" s="23">
        <v>1042099055</v>
      </c>
      <c r="C51" s="24" t="s">
        <v>20</v>
      </c>
      <c r="D51" s="113" t="s">
        <v>271</v>
      </c>
      <c r="E51" s="26" t="s">
        <v>66</v>
      </c>
      <c r="F51" s="114" t="s">
        <v>271</v>
      </c>
      <c r="G51" s="26" t="e">
        <v>#N/A</v>
      </c>
      <c r="H51" s="26" t="e">
        <v>#N/A</v>
      </c>
      <c r="I51" s="26" t="s">
        <v>20</v>
      </c>
      <c r="J51" s="70">
        <v>1</v>
      </c>
      <c r="K51" s="71">
        <v>0</v>
      </c>
      <c r="L51" s="71">
        <v>0</v>
      </c>
      <c r="M51" s="71">
        <v>0</v>
      </c>
      <c r="N51" s="71">
        <v>0</v>
      </c>
      <c r="O51" s="71">
        <v>0</v>
      </c>
      <c r="P51" s="71">
        <v>0</v>
      </c>
      <c r="Q51" s="71">
        <v>0</v>
      </c>
      <c r="R51" s="71">
        <v>0</v>
      </c>
      <c r="S51" s="26"/>
      <c r="T51" s="28">
        <f>VLOOKUP(D51:D190,'[1]Lista de artículos (1)'!$A$3:$I$553,7)</f>
        <v>19539.643985546223</v>
      </c>
      <c r="U51" s="28" t="e">
        <f>VLOOKUP(D51,'[1]Lista de artículos (1)'!$A$3:$G$553,7,0)</f>
        <v>#N/A</v>
      </c>
      <c r="V51" s="28">
        <v>79900</v>
      </c>
      <c r="W51" s="28" t="s">
        <v>37</v>
      </c>
      <c r="X51" s="32" t="s">
        <v>25</v>
      </c>
      <c r="Y51" s="72" t="s">
        <v>25</v>
      </c>
      <c r="Z51" s="72" t="s">
        <v>25</v>
      </c>
      <c r="AA51" s="73" t="s">
        <v>25</v>
      </c>
      <c r="AB51" s="73" t="s">
        <v>24</v>
      </c>
      <c r="AC51" s="72" t="s">
        <v>272</v>
      </c>
      <c r="AD51" s="115" t="s">
        <v>24</v>
      </c>
      <c r="AG51" s="73">
        <f t="shared" si="0"/>
        <v>79900</v>
      </c>
      <c r="AH51" s="73">
        <v>79900</v>
      </c>
      <c r="AI51" s="73">
        <v>15181</v>
      </c>
      <c r="AJ51" s="73">
        <v>95081</v>
      </c>
    </row>
    <row r="52" spans="1:36" ht="33" x14ac:dyDescent="0.25">
      <c r="A52" s="32">
        <v>50</v>
      </c>
      <c r="B52" s="23">
        <v>1111000336</v>
      </c>
      <c r="C52" s="24" t="s">
        <v>20</v>
      </c>
      <c r="D52" s="113" t="s">
        <v>273</v>
      </c>
      <c r="E52" s="26" t="s">
        <v>22</v>
      </c>
      <c r="F52" s="114" t="s">
        <v>273</v>
      </c>
      <c r="G52" s="26" t="e">
        <v>#N/A</v>
      </c>
      <c r="H52" s="26" t="e">
        <v>#N/A</v>
      </c>
      <c r="I52" s="26" t="s">
        <v>20</v>
      </c>
      <c r="J52" s="70">
        <v>1416.0909099999999</v>
      </c>
      <c r="K52" s="71">
        <v>0</v>
      </c>
      <c r="L52" s="71">
        <v>0</v>
      </c>
      <c r="M52" s="71">
        <v>16</v>
      </c>
      <c r="N52" s="71">
        <v>1.3333333333333333</v>
      </c>
      <c r="O52" s="71">
        <v>0</v>
      </c>
      <c r="P52" s="71">
        <v>0</v>
      </c>
      <c r="Q52" s="71">
        <v>0</v>
      </c>
      <c r="R52" s="71">
        <v>0</v>
      </c>
      <c r="S52" s="26"/>
      <c r="T52" s="28">
        <f>VLOOKUP(D52:D193,'[1]Lista de artículos (1)'!$A$3:$I$553,7)</f>
        <v>3766.8278571428573</v>
      </c>
      <c r="U52" s="28" t="e">
        <f>VLOOKUP(D52,'[1]Lista de artículos (1)'!$A$3:$G$553,7,0)</f>
        <v>#N/A</v>
      </c>
      <c r="V52" s="26" t="s">
        <v>176</v>
      </c>
      <c r="W52" s="26" t="s">
        <v>176</v>
      </c>
      <c r="X52" s="32" t="s">
        <v>25</v>
      </c>
      <c r="Y52" s="72" t="s">
        <v>25</v>
      </c>
      <c r="Z52" s="72" t="s">
        <v>25</v>
      </c>
      <c r="AA52" s="73" t="s">
        <v>25</v>
      </c>
      <c r="AB52" s="73" t="s">
        <v>24</v>
      </c>
      <c r="AC52" s="72">
        <v>6221</v>
      </c>
      <c r="AD52" s="32" t="s">
        <v>176</v>
      </c>
      <c r="AG52" s="73">
        <f t="shared" si="0"/>
        <v>6221</v>
      </c>
      <c r="AH52" s="73">
        <v>6221</v>
      </c>
      <c r="AI52" s="73">
        <v>1181.99</v>
      </c>
      <c r="AJ52" s="73">
        <v>7402.99</v>
      </c>
    </row>
    <row r="53" spans="1:36" ht="33" x14ac:dyDescent="0.25">
      <c r="A53" s="32">
        <v>51</v>
      </c>
      <c r="B53" s="23">
        <v>1043295109</v>
      </c>
      <c r="C53" s="24" t="s">
        <v>20</v>
      </c>
      <c r="D53" s="113" t="s">
        <v>274</v>
      </c>
      <c r="E53" s="26" t="s">
        <v>22</v>
      </c>
      <c r="F53" s="114" t="s">
        <v>274</v>
      </c>
      <c r="G53" s="26" t="e">
        <v>#N/A</v>
      </c>
      <c r="H53" s="26" t="e">
        <v>#N/A</v>
      </c>
      <c r="I53" s="26" t="s">
        <v>20</v>
      </c>
      <c r="J53" s="70">
        <v>46123.66</v>
      </c>
      <c r="K53" s="71">
        <v>0</v>
      </c>
      <c r="L53" s="71">
        <v>0</v>
      </c>
      <c r="M53" s="71">
        <v>0</v>
      </c>
      <c r="N53" s="71">
        <v>0</v>
      </c>
      <c r="O53" s="71">
        <v>1</v>
      </c>
      <c r="P53" s="71">
        <v>8.3333333333333329E-2</v>
      </c>
      <c r="Q53" s="71">
        <v>0</v>
      </c>
      <c r="R53" s="71">
        <v>0</v>
      </c>
      <c r="S53" s="26"/>
      <c r="T53" s="28">
        <f>VLOOKUP(D53:D195,'[1]Lista de artículos (1)'!$A$3:$I$553,7)</f>
        <v>43049.081376302514</v>
      </c>
      <c r="U53" s="28">
        <f>VLOOKUP(D53,'[1]Lista de artículos (1)'!$A$3:$G$553,7,0)</f>
        <v>43049.081376302514</v>
      </c>
      <c r="V53" s="26" t="s">
        <v>176</v>
      </c>
      <c r="W53" s="26" t="s">
        <v>176</v>
      </c>
      <c r="X53" s="32" t="s">
        <v>25</v>
      </c>
      <c r="Y53" s="72" t="s">
        <v>25</v>
      </c>
      <c r="Z53" s="72">
        <v>5000</v>
      </c>
      <c r="AA53" s="73" t="s">
        <v>25</v>
      </c>
      <c r="AB53" s="73" t="s">
        <v>24</v>
      </c>
      <c r="AC53" s="72" t="s">
        <v>24</v>
      </c>
      <c r="AD53" s="32" t="s">
        <v>176</v>
      </c>
      <c r="AG53" s="73">
        <f t="shared" si="0"/>
        <v>5000</v>
      </c>
      <c r="AH53" s="73">
        <v>5000</v>
      </c>
      <c r="AI53" s="73">
        <v>950</v>
      </c>
      <c r="AJ53" s="73">
        <v>5950</v>
      </c>
    </row>
    <row r="54" spans="1:36" x14ac:dyDescent="0.25">
      <c r="A54" s="32">
        <v>52</v>
      </c>
      <c r="B54" s="23">
        <v>1043205257</v>
      </c>
      <c r="C54" s="24" t="s">
        <v>20</v>
      </c>
      <c r="D54" s="113" t="s">
        <v>275</v>
      </c>
      <c r="E54" s="26" t="s">
        <v>22</v>
      </c>
      <c r="F54" s="114" t="s">
        <v>275</v>
      </c>
      <c r="G54" s="26" t="e">
        <v>#N/A</v>
      </c>
      <c r="H54" s="26" t="e">
        <v>#N/A</v>
      </c>
      <c r="I54" s="26" t="s">
        <v>20</v>
      </c>
      <c r="J54" s="70">
        <v>560</v>
      </c>
      <c r="K54" s="71">
        <v>0</v>
      </c>
      <c r="L54" s="71">
        <v>0</v>
      </c>
      <c r="M54" s="71">
        <v>0</v>
      </c>
      <c r="N54" s="71">
        <v>0</v>
      </c>
      <c r="O54" s="71">
        <v>500</v>
      </c>
      <c r="P54" s="71">
        <v>41.666666666666664</v>
      </c>
      <c r="Q54" s="71">
        <v>0</v>
      </c>
      <c r="R54" s="71">
        <v>0</v>
      </c>
      <c r="S54" s="26"/>
      <c r="T54" s="28">
        <f>VLOOKUP(D54:D196,'[1]Lista de artículos (1)'!$A$3:$I$553,7)</f>
        <v>218152.51167478992</v>
      </c>
      <c r="U54" s="28" t="e">
        <f>VLOOKUP(D54,'[1]Lista de artículos (1)'!$A$3:$G$553,7,0)</f>
        <v>#N/A</v>
      </c>
      <c r="V54" s="26" t="s">
        <v>176</v>
      </c>
      <c r="W54" s="26" t="s">
        <v>176</v>
      </c>
      <c r="X54" s="32" t="s">
        <v>25</v>
      </c>
      <c r="Y54" s="72">
        <v>500</v>
      </c>
      <c r="Z54" s="72" t="s">
        <v>25</v>
      </c>
      <c r="AA54" s="73" t="s">
        <v>25</v>
      </c>
      <c r="AB54" s="73" t="s">
        <v>24</v>
      </c>
      <c r="AC54" s="72" t="s">
        <v>24</v>
      </c>
      <c r="AD54" s="32" t="s">
        <v>176</v>
      </c>
      <c r="AG54" s="73">
        <f t="shared" si="0"/>
        <v>500</v>
      </c>
      <c r="AH54" s="73">
        <v>500</v>
      </c>
      <c r="AI54" s="73">
        <v>0</v>
      </c>
      <c r="AJ54" s="73">
        <v>500</v>
      </c>
    </row>
    <row r="55" spans="1:36" x14ac:dyDescent="0.25">
      <c r="A55" s="32">
        <v>53</v>
      </c>
      <c r="B55" s="23">
        <v>1111000500</v>
      </c>
      <c r="C55" s="24" t="s">
        <v>20</v>
      </c>
      <c r="D55" s="113" t="s">
        <v>276</v>
      </c>
      <c r="E55" s="26" t="s">
        <v>22</v>
      </c>
      <c r="F55" s="114" t="s">
        <v>276</v>
      </c>
      <c r="G55" s="26" t="e">
        <v>#N/A</v>
      </c>
      <c r="H55" s="26" t="e">
        <v>#N/A</v>
      </c>
      <c r="I55" s="26" t="s">
        <v>20</v>
      </c>
      <c r="J55" s="70">
        <v>1</v>
      </c>
      <c r="K55" s="71">
        <v>0</v>
      </c>
      <c r="L55" s="71">
        <v>0</v>
      </c>
      <c r="M55" s="71">
        <v>0</v>
      </c>
      <c r="N55" s="71">
        <v>0</v>
      </c>
      <c r="O55" s="71">
        <v>0</v>
      </c>
      <c r="P55" s="71">
        <v>0</v>
      </c>
      <c r="Q55" s="71">
        <v>0</v>
      </c>
      <c r="R55" s="71">
        <v>0</v>
      </c>
      <c r="S55" s="26"/>
      <c r="T55" s="28">
        <f>VLOOKUP(D55:D198,'[1]Lista de artículos (1)'!$A$3:$I$553,7)</f>
        <v>41656.684537815127</v>
      </c>
      <c r="U55" s="28" t="e">
        <f>VLOOKUP(D55,'[1]Lista de artículos (1)'!$A$3:$G$553,7,0)</f>
        <v>#N/A</v>
      </c>
      <c r="V55" s="26" t="s">
        <v>176</v>
      </c>
      <c r="W55" s="26" t="s">
        <v>176</v>
      </c>
      <c r="X55" s="32" t="s">
        <v>25</v>
      </c>
      <c r="Y55" s="72" t="s">
        <v>25</v>
      </c>
      <c r="Z55" s="72">
        <v>6300</v>
      </c>
      <c r="AA55" s="73">
        <v>10000</v>
      </c>
      <c r="AB55" s="73" t="s">
        <v>24</v>
      </c>
      <c r="AC55" s="72" t="s">
        <v>24</v>
      </c>
      <c r="AD55" s="32" t="s">
        <v>176</v>
      </c>
      <c r="AG55" s="73">
        <f t="shared" si="0"/>
        <v>6300</v>
      </c>
      <c r="AH55" s="73">
        <v>8150</v>
      </c>
      <c r="AI55" s="73">
        <v>1548.5</v>
      </c>
      <c r="AJ55" s="73">
        <v>9698.5</v>
      </c>
    </row>
    <row r="56" spans="1:36" x14ac:dyDescent="0.25">
      <c r="A56" s="32">
        <v>54</v>
      </c>
      <c r="B56" s="23">
        <v>1111000501</v>
      </c>
      <c r="C56" s="24" t="s">
        <v>20</v>
      </c>
      <c r="D56" s="113" t="s">
        <v>277</v>
      </c>
      <c r="E56" s="26" t="s">
        <v>22</v>
      </c>
      <c r="F56" s="114" t="s">
        <v>277</v>
      </c>
      <c r="G56" s="26" t="e">
        <v>#N/A</v>
      </c>
      <c r="H56" s="26" t="e">
        <v>#N/A</v>
      </c>
      <c r="I56" s="26" t="s">
        <v>20</v>
      </c>
      <c r="J56" s="70">
        <v>19203.82</v>
      </c>
      <c r="K56" s="71">
        <v>0</v>
      </c>
      <c r="L56" s="71">
        <v>0</v>
      </c>
      <c r="M56" s="71">
        <v>0</v>
      </c>
      <c r="N56" s="71">
        <v>0</v>
      </c>
      <c r="O56" s="71">
        <v>6</v>
      </c>
      <c r="P56" s="71">
        <v>0.5</v>
      </c>
      <c r="Q56" s="71">
        <v>0</v>
      </c>
      <c r="R56" s="71">
        <v>0</v>
      </c>
      <c r="S56" s="26"/>
      <c r="T56" s="28">
        <f>VLOOKUP(D56:D199,'[1]Lista de artículos (1)'!$A$3:$I$553,7)</f>
        <v>41656.684537815127</v>
      </c>
      <c r="U56" s="28" t="e">
        <f>VLOOKUP(D56,'[1]Lista de artículos (1)'!$A$3:$G$553,7,0)</f>
        <v>#N/A</v>
      </c>
      <c r="V56" s="26" t="s">
        <v>176</v>
      </c>
      <c r="W56" s="26" t="s">
        <v>176</v>
      </c>
      <c r="X56" s="32" t="s">
        <v>25</v>
      </c>
      <c r="Y56" s="72" t="s">
        <v>25</v>
      </c>
      <c r="Z56" s="72">
        <v>8400</v>
      </c>
      <c r="AA56" s="73" t="s">
        <v>25</v>
      </c>
      <c r="AB56" s="73" t="s">
        <v>24</v>
      </c>
      <c r="AC56" s="72" t="s">
        <v>24</v>
      </c>
      <c r="AD56" s="32" t="s">
        <v>176</v>
      </c>
      <c r="AG56" s="73">
        <f t="shared" si="0"/>
        <v>8400</v>
      </c>
      <c r="AH56" s="73">
        <v>8400</v>
      </c>
      <c r="AI56" s="73">
        <v>1596</v>
      </c>
      <c r="AJ56" s="73">
        <v>9996</v>
      </c>
    </row>
    <row r="57" spans="1:36" ht="33" x14ac:dyDescent="0.25">
      <c r="A57" s="32">
        <v>55</v>
      </c>
      <c r="B57" s="23">
        <v>1111000502</v>
      </c>
      <c r="C57" s="24" t="s">
        <v>20</v>
      </c>
      <c r="D57" s="113" t="s">
        <v>278</v>
      </c>
      <c r="E57" s="26" t="s">
        <v>22</v>
      </c>
      <c r="F57" s="114" t="s">
        <v>278</v>
      </c>
      <c r="G57" s="26" t="e">
        <v>#N/A</v>
      </c>
      <c r="H57" s="26" t="e">
        <v>#N/A</v>
      </c>
      <c r="I57" s="26" t="s">
        <v>20</v>
      </c>
      <c r="J57" s="70">
        <v>1</v>
      </c>
      <c r="K57" s="71">
        <v>0</v>
      </c>
      <c r="L57" s="71">
        <v>0</v>
      </c>
      <c r="M57" s="71">
        <v>0</v>
      </c>
      <c r="N57" s="71">
        <v>0</v>
      </c>
      <c r="O57" s="71">
        <v>0</v>
      </c>
      <c r="P57" s="71">
        <v>0</v>
      </c>
      <c r="Q57" s="71">
        <v>0</v>
      </c>
      <c r="R57" s="71">
        <v>0</v>
      </c>
      <c r="S57" s="26"/>
      <c r="T57" s="28">
        <f>VLOOKUP(D57:D200,'[1]Lista de artículos (1)'!$A$3:$I$553,7)</f>
        <v>17923.896412941172</v>
      </c>
      <c r="U57" s="28" t="e">
        <f>VLOOKUP(D57,'[1]Lista de artículos (1)'!$A$3:$G$553,7,0)</f>
        <v>#N/A</v>
      </c>
      <c r="V57" s="28">
        <v>29900</v>
      </c>
      <c r="W57" s="28">
        <v>43900</v>
      </c>
      <c r="X57" s="32" t="s">
        <v>25</v>
      </c>
      <c r="Y57" s="72" t="s">
        <v>25</v>
      </c>
      <c r="Z57" s="72" t="s">
        <v>25</v>
      </c>
      <c r="AA57" s="73" t="s">
        <v>25</v>
      </c>
      <c r="AB57" s="73" t="s">
        <v>24</v>
      </c>
      <c r="AC57" s="72" t="s">
        <v>24</v>
      </c>
      <c r="AD57" s="115" t="s">
        <v>24</v>
      </c>
      <c r="AG57" s="73">
        <f t="shared" si="0"/>
        <v>29900</v>
      </c>
      <c r="AH57" s="73">
        <v>36900</v>
      </c>
      <c r="AI57" s="73">
        <v>7011</v>
      </c>
      <c r="AJ57" s="73">
        <v>43911</v>
      </c>
    </row>
    <row r="58" spans="1:36" x14ac:dyDescent="0.25">
      <c r="A58" s="32">
        <v>56</v>
      </c>
      <c r="B58" s="23">
        <v>1044582048</v>
      </c>
      <c r="C58" s="24" t="s">
        <v>20</v>
      </c>
      <c r="D58" s="113" t="s">
        <v>279</v>
      </c>
      <c r="E58" s="26" t="s">
        <v>22</v>
      </c>
      <c r="F58" s="114" t="s">
        <v>280</v>
      </c>
      <c r="G58" s="26" t="e">
        <v>#N/A</v>
      </c>
      <c r="H58" s="26" t="e">
        <v>#N/A</v>
      </c>
      <c r="I58" s="26" t="s">
        <v>20</v>
      </c>
      <c r="J58" s="70">
        <v>1</v>
      </c>
      <c r="K58" s="71">
        <v>0</v>
      </c>
      <c r="L58" s="71">
        <v>0</v>
      </c>
      <c r="M58" s="71">
        <v>0</v>
      </c>
      <c r="N58" s="71">
        <v>0</v>
      </c>
      <c r="O58" s="71">
        <v>0</v>
      </c>
      <c r="P58" s="71">
        <v>0</v>
      </c>
      <c r="Q58" s="71">
        <v>0</v>
      </c>
      <c r="R58" s="71">
        <v>0</v>
      </c>
      <c r="S58" s="26"/>
      <c r="T58" s="28">
        <f>VLOOKUP(D58:D202,'[1]Lista de artículos (1)'!$A$3:$I$553,7)</f>
        <v>474.17715378151263</v>
      </c>
      <c r="U58" s="28">
        <f>VLOOKUP(D58,'[1]Lista de artículos (1)'!$A$3:$G$553,7,0)</f>
        <v>474.17715378151263</v>
      </c>
      <c r="V58" s="28" t="s">
        <v>24</v>
      </c>
      <c r="W58" s="28">
        <v>500</v>
      </c>
      <c r="X58" s="32" t="s">
        <v>25</v>
      </c>
      <c r="Y58" s="72" t="s">
        <v>25</v>
      </c>
      <c r="Z58" s="72" t="s">
        <v>25</v>
      </c>
      <c r="AA58" s="73" t="s">
        <v>25</v>
      </c>
      <c r="AB58" s="73" t="s">
        <v>24</v>
      </c>
      <c r="AC58" s="72" t="s">
        <v>24</v>
      </c>
      <c r="AD58" s="115" t="s">
        <v>24</v>
      </c>
      <c r="AG58" s="73">
        <f t="shared" si="0"/>
        <v>500</v>
      </c>
      <c r="AH58" s="73">
        <v>500</v>
      </c>
      <c r="AI58" s="73">
        <v>95</v>
      </c>
      <c r="AJ58" s="73">
        <v>595</v>
      </c>
    </row>
    <row r="59" spans="1:36" x14ac:dyDescent="0.25">
      <c r="A59" s="32">
        <v>57</v>
      </c>
      <c r="B59" s="23">
        <v>1111000504</v>
      </c>
      <c r="C59" s="24" t="s">
        <v>20</v>
      </c>
      <c r="D59" s="113" t="s">
        <v>281</v>
      </c>
      <c r="E59" s="26" t="s">
        <v>22</v>
      </c>
      <c r="F59" s="114" t="s">
        <v>281</v>
      </c>
      <c r="G59" s="26" t="e">
        <v>#N/A</v>
      </c>
      <c r="H59" s="26" t="e">
        <v>#N/A</v>
      </c>
      <c r="I59" s="26" t="s">
        <v>20</v>
      </c>
      <c r="J59" s="70">
        <v>15127.26</v>
      </c>
      <c r="K59" s="71">
        <v>0</v>
      </c>
      <c r="L59" s="71">
        <v>0</v>
      </c>
      <c r="M59" s="71">
        <v>0</v>
      </c>
      <c r="N59" s="71">
        <v>0</v>
      </c>
      <c r="O59" s="71">
        <v>2</v>
      </c>
      <c r="P59" s="71">
        <v>0.16666666666666666</v>
      </c>
      <c r="Q59" s="71">
        <v>0</v>
      </c>
      <c r="R59" s="71">
        <v>0</v>
      </c>
      <c r="S59" s="26"/>
      <c r="T59" s="28">
        <f>VLOOKUP(D59:D203,'[1]Lista de artículos (1)'!$A$3:$I$553,7)</f>
        <v>14118.957121008403</v>
      </c>
      <c r="U59" s="28">
        <f>VLOOKUP(D59,'[1]Lista de artículos (1)'!$A$3:$G$553,7,0)</f>
        <v>14118.957121008403</v>
      </c>
      <c r="V59" s="26" t="s">
        <v>176</v>
      </c>
      <c r="W59" s="26" t="s">
        <v>176</v>
      </c>
      <c r="X59" s="32" t="s">
        <v>25</v>
      </c>
      <c r="Y59" s="72" t="s">
        <v>25</v>
      </c>
      <c r="Z59" s="72" t="s">
        <v>25</v>
      </c>
      <c r="AA59" s="73">
        <v>26600</v>
      </c>
      <c r="AB59" s="73" t="s">
        <v>24</v>
      </c>
      <c r="AC59" s="72" t="s">
        <v>24</v>
      </c>
      <c r="AD59" s="32" t="s">
        <v>176</v>
      </c>
      <c r="AG59" s="73">
        <f t="shared" si="0"/>
        <v>26600</v>
      </c>
      <c r="AH59" s="73">
        <v>26600</v>
      </c>
      <c r="AI59" s="73">
        <v>5054</v>
      </c>
      <c r="AJ59" s="73">
        <v>31654</v>
      </c>
    </row>
    <row r="60" spans="1:36" x14ac:dyDescent="0.25">
      <c r="A60" s="32">
        <v>58</v>
      </c>
      <c r="B60" s="23">
        <v>1111000505</v>
      </c>
      <c r="C60" s="24" t="s">
        <v>20</v>
      </c>
      <c r="D60" s="113" t="s">
        <v>282</v>
      </c>
      <c r="E60" s="26" t="s">
        <v>22</v>
      </c>
      <c r="F60" s="114" t="s">
        <v>282</v>
      </c>
      <c r="G60" s="26" t="e">
        <v>#N/A</v>
      </c>
      <c r="H60" s="26" t="e">
        <v>#N/A</v>
      </c>
      <c r="I60" s="26" t="s">
        <v>20</v>
      </c>
      <c r="J60" s="70">
        <v>26392.15</v>
      </c>
      <c r="K60" s="71">
        <v>0</v>
      </c>
      <c r="L60" s="71">
        <v>0</v>
      </c>
      <c r="M60" s="71">
        <v>0</v>
      </c>
      <c r="N60" s="71">
        <v>0</v>
      </c>
      <c r="O60" s="71">
        <v>0</v>
      </c>
      <c r="P60" s="71">
        <v>0</v>
      </c>
      <c r="Q60" s="71">
        <v>0</v>
      </c>
      <c r="R60" s="71">
        <v>0</v>
      </c>
      <c r="S60" s="26"/>
      <c r="T60" s="28">
        <f>VLOOKUP(D60:D204,'[1]Lista de artículos (1)'!$A$3:$I$553,7)</f>
        <v>24632.395248403362</v>
      </c>
      <c r="U60" s="28">
        <f>VLOOKUP(D60,'[1]Lista de artículos (1)'!$A$3:$G$553,7,0)</f>
        <v>24632.395248403362</v>
      </c>
      <c r="V60" s="26" t="s">
        <v>176</v>
      </c>
      <c r="W60" s="26" t="s">
        <v>176</v>
      </c>
      <c r="X60" s="32" t="s">
        <v>25</v>
      </c>
      <c r="Y60" s="72" t="s">
        <v>25</v>
      </c>
      <c r="Z60" s="72" t="s">
        <v>25</v>
      </c>
      <c r="AA60" s="73">
        <v>38000</v>
      </c>
      <c r="AB60" s="73" t="s">
        <v>24</v>
      </c>
      <c r="AC60" s="72" t="s">
        <v>24</v>
      </c>
      <c r="AD60" s="32" t="s">
        <v>176</v>
      </c>
      <c r="AG60" s="73">
        <f t="shared" si="0"/>
        <v>38000</v>
      </c>
      <c r="AH60" s="73">
        <v>38000</v>
      </c>
      <c r="AI60" s="73">
        <v>7220</v>
      </c>
      <c r="AJ60" s="73">
        <v>45220</v>
      </c>
    </row>
    <row r="61" spans="1:36" x14ac:dyDescent="0.25">
      <c r="A61" s="32">
        <v>59</v>
      </c>
      <c r="B61" s="23">
        <v>1123229148</v>
      </c>
      <c r="C61" s="24" t="s">
        <v>20</v>
      </c>
      <c r="D61" s="113" t="s">
        <v>283</v>
      </c>
      <c r="E61" s="26" t="s">
        <v>22</v>
      </c>
      <c r="F61" s="114" t="s">
        <v>283</v>
      </c>
      <c r="G61" s="26" t="e">
        <v>#N/A</v>
      </c>
      <c r="H61" s="26" t="e">
        <v>#N/A</v>
      </c>
      <c r="I61" s="26" t="s">
        <v>20</v>
      </c>
      <c r="J61" s="70">
        <v>3016</v>
      </c>
      <c r="K61" s="71">
        <v>0</v>
      </c>
      <c r="L61" s="71">
        <v>0</v>
      </c>
      <c r="M61" s="71">
        <v>0</v>
      </c>
      <c r="N61" s="71">
        <v>0</v>
      </c>
      <c r="O61" s="71">
        <v>0</v>
      </c>
      <c r="P61" s="71">
        <v>0</v>
      </c>
      <c r="Q61" s="71">
        <v>0</v>
      </c>
      <c r="R61" s="71">
        <v>0</v>
      </c>
      <c r="S61" s="26"/>
      <c r="T61" s="28">
        <f>VLOOKUP(D61:D205,'[1]Lista de artículos (1)'!$A$3:$I$553,7)</f>
        <v>31295.692149579831</v>
      </c>
      <c r="U61" s="28" t="e">
        <f>VLOOKUP(D61,'[1]Lista de artículos (1)'!$A$3:$G$553,7,0)</f>
        <v>#N/A</v>
      </c>
      <c r="V61" s="28">
        <v>6900</v>
      </c>
      <c r="W61" s="28" t="s">
        <v>24</v>
      </c>
      <c r="X61" s="32" t="s">
        <v>25</v>
      </c>
      <c r="Y61" s="72" t="s">
        <v>25</v>
      </c>
      <c r="Z61" s="72" t="s">
        <v>25</v>
      </c>
      <c r="AA61" s="73" t="s">
        <v>25</v>
      </c>
      <c r="AB61" s="73" t="s">
        <v>24</v>
      </c>
      <c r="AC61" s="72" t="s">
        <v>24</v>
      </c>
      <c r="AD61" s="115" t="s">
        <v>24</v>
      </c>
      <c r="AG61" s="73">
        <f t="shared" si="0"/>
        <v>6900</v>
      </c>
      <c r="AH61" s="73">
        <v>6900</v>
      </c>
      <c r="AI61" s="73">
        <v>1311</v>
      </c>
      <c r="AJ61" s="73">
        <v>8211</v>
      </c>
    </row>
    <row r="62" spans="1:36" ht="49.5" x14ac:dyDescent="0.25">
      <c r="A62" s="32">
        <v>60</v>
      </c>
      <c r="B62" s="23">
        <v>1043205798</v>
      </c>
      <c r="C62" s="24" t="s">
        <v>20</v>
      </c>
      <c r="D62" s="113" t="s">
        <v>284</v>
      </c>
      <c r="E62" s="26" t="s">
        <v>22</v>
      </c>
      <c r="F62" s="114" t="s">
        <v>284</v>
      </c>
      <c r="G62" s="26" t="e">
        <v>#N/A</v>
      </c>
      <c r="H62" s="26" t="e">
        <v>#N/A</v>
      </c>
      <c r="I62" s="26" t="s">
        <v>20</v>
      </c>
      <c r="J62" s="70">
        <v>1</v>
      </c>
      <c r="K62" s="71">
        <v>0</v>
      </c>
      <c r="L62" s="71">
        <v>0</v>
      </c>
      <c r="M62" s="71">
        <v>0</v>
      </c>
      <c r="N62" s="71">
        <v>0</v>
      </c>
      <c r="O62" s="71">
        <v>0</v>
      </c>
      <c r="P62" s="71">
        <v>0</v>
      </c>
      <c r="Q62" s="71">
        <v>0</v>
      </c>
      <c r="R62" s="71">
        <v>0</v>
      </c>
      <c r="S62" s="26"/>
      <c r="T62" s="28">
        <f>VLOOKUP(D62:D206,'[1]Lista de artículos (1)'!$A$3:$I$553,7)</f>
        <v>119018.46559915967</v>
      </c>
      <c r="U62" s="28" t="e">
        <f>VLOOKUP(D62,'[1]Lista de artículos (1)'!$A$3:$G$553,7,0)</f>
        <v>#N/A</v>
      </c>
      <c r="V62" s="28">
        <v>334900</v>
      </c>
      <c r="W62" s="28">
        <v>256900</v>
      </c>
      <c r="X62" s="32" t="s">
        <v>25</v>
      </c>
      <c r="Y62" s="72" t="s">
        <v>25</v>
      </c>
      <c r="Z62" s="72" t="s">
        <v>25</v>
      </c>
      <c r="AA62" s="73" t="s">
        <v>25</v>
      </c>
      <c r="AB62" s="73" t="s">
        <v>24</v>
      </c>
      <c r="AC62" s="72" t="s">
        <v>24</v>
      </c>
      <c r="AD62" s="115" t="s">
        <v>24</v>
      </c>
      <c r="AG62" s="73">
        <f t="shared" si="0"/>
        <v>256900</v>
      </c>
      <c r="AH62" s="73">
        <v>295900</v>
      </c>
      <c r="AI62" s="73">
        <v>56221</v>
      </c>
      <c r="AJ62" s="73">
        <v>352121</v>
      </c>
    </row>
    <row r="63" spans="1:36" x14ac:dyDescent="0.25">
      <c r="A63" s="32">
        <v>61</v>
      </c>
      <c r="B63" s="23">
        <v>1111000463</v>
      </c>
      <c r="C63" s="24" t="s">
        <v>20</v>
      </c>
      <c r="D63" s="113" t="s">
        <v>285</v>
      </c>
      <c r="E63" s="26" t="s">
        <v>22</v>
      </c>
      <c r="F63" s="114" t="s">
        <v>285</v>
      </c>
      <c r="G63" s="26" t="e">
        <v>#N/A</v>
      </c>
      <c r="H63" s="26" t="e">
        <v>#N/A</v>
      </c>
      <c r="I63" s="26" t="s">
        <v>20</v>
      </c>
      <c r="J63" s="70">
        <v>1</v>
      </c>
      <c r="K63" s="71">
        <v>0</v>
      </c>
      <c r="L63" s="71">
        <v>0</v>
      </c>
      <c r="M63" s="71">
        <v>0</v>
      </c>
      <c r="N63" s="71">
        <v>0</v>
      </c>
      <c r="O63" s="71">
        <v>0</v>
      </c>
      <c r="P63" s="71">
        <v>0</v>
      </c>
      <c r="Q63" s="71">
        <v>0</v>
      </c>
      <c r="R63" s="71">
        <v>0</v>
      </c>
      <c r="S63" s="26"/>
      <c r="T63" s="28">
        <f>VLOOKUP(D63:D207,'[1]Lista de artículos (1)'!$A$3:$I$553,7)</f>
        <v>3319.2400764705885</v>
      </c>
      <c r="U63" s="28" t="e">
        <f>VLOOKUP(D63,'[1]Lista de artículos (1)'!$A$3:$G$553,7,0)</f>
        <v>#N/A</v>
      </c>
      <c r="V63" s="26" t="s">
        <v>176</v>
      </c>
      <c r="W63" s="26" t="s">
        <v>176</v>
      </c>
      <c r="X63" s="32" t="s">
        <v>25</v>
      </c>
      <c r="Y63" s="72" t="s">
        <v>25</v>
      </c>
      <c r="Z63" s="72" t="s">
        <v>25</v>
      </c>
      <c r="AA63" s="73">
        <v>7000</v>
      </c>
      <c r="AB63" s="73" t="s">
        <v>24</v>
      </c>
      <c r="AC63" s="72" t="s">
        <v>24</v>
      </c>
      <c r="AD63" s="32" t="s">
        <v>176</v>
      </c>
      <c r="AG63" s="73">
        <f t="shared" si="0"/>
        <v>7000</v>
      </c>
      <c r="AH63" s="73">
        <v>7000</v>
      </c>
      <c r="AI63" s="73">
        <v>1330</v>
      </c>
      <c r="AJ63" s="73">
        <v>8330</v>
      </c>
    </row>
    <row r="64" spans="1:36" x14ac:dyDescent="0.25">
      <c r="A64" s="32">
        <v>62</v>
      </c>
      <c r="B64" s="23">
        <v>1111000509</v>
      </c>
      <c r="C64" s="24" t="s">
        <v>20</v>
      </c>
      <c r="D64" s="113" t="s">
        <v>286</v>
      </c>
      <c r="E64" s="26" t="s">
        <v>22</v>
      </c>
      <c r="F64" s="114" t="s">
        <v>286</v>
      </c>
      <c r="G64" s="26" t="e">
        <v>#N/A</v>
      </c>
      <c r="H64" s="26" t="e">
        <v>#N/A</v>
      </c>
      <c r="I64" s="26" t="s">
        <v>20</v>
      </c>
      <c r="J64" s="70">
        <v>1</v>
      </c>
      <c r="K64" s="71">
        <v>0</v>
      </c>
      <c r="L64" s="71">
        <v>0</v>
      </c>
      <c r="M64" s="71">
        <v>0</v>
      </c>
      <c r="N64" s="71">
        <v>0</v>
      </c>
      <c r="O64" s="71">
        <v>0</v>
      </c>
      <c r="P64" s="71">
        <v>0</v>
      </c>
      <c r="Q64" s="71">
        <v>0</v>
      </c>
      <c r="R64" s="71">
        <v>0</v>
      </c>
      <c r="S64" s="26"/>
      <c r="T64" s="28">
        <f>VLOOKUP(D64:D208,'[1]Lista de artículos (1)'!$A$3:$I$553,7)</f>
        <v>3319.2400764705885</v>
      </c>
      <c r="U64" s="28" t="e">
        <f>VLOOKUP(D64,'[1]Lista de artículos (1)'!$A$3:$G$553,7,0)</f>
        <v>#N/A</v>
      </c>
      <c r="V64" s="26" t="s">
        <v>176</v>
      </c>
      <c r="W64" s="26" t="s">
        <v>176</v>
      </c>
      <c r="X64" s="32" t="s">
        <v>25</v>
      </c>
      <c r="Y64" s="72" t="s">
        <v>25</v>
      </c>
      <c r="Z64" s="72" t="s">
        <v>25</v>
      </c>
      <c r="AA64" s="73">
        <v>17000</v>
      </c>
      <c r="AB64" s="73" t="s">
        <v>24</v>
      </c>
      <c r="AC64" s="72" t="s">
        <v>24</v>
      </c>
      <c r="AD64" s="32" t="s">
        <v>176</v>
      </c>
      <c r="AG64" s="73">
        <f t="shared" si="0"/>
        <v>17000</v>
      </c>
      <c r="AH64" s="73">
        <v>17000</v>
      </c>
      <c r="AI64" s="73">
        <v>3230</v>
      </c>
      <c r="AJ64" s="73">
        <v>20230</v>
      </c>
    </row>
    <row r="65" spans="1:36" x14ac:dyDescent="0.25">
      <c r="A65" s="32">
        <v>63</v>
      </c>
      <c r="B65" s="23">
        <v>1042021243</v>
      </c>
      <c r="C65" s="24" t="s">
        <v>20</v>
      </c>
      <c r="D65" s="113" t="s">
        <v>287</v>
      </c>
      <c r="E65" s="26" t="s">
        <v>217</v>
      </c>
      <c r="F65" s="114" t="s">
        <v>287</v>
      </c>
      <c r="G65" s="26" t="e">
        <v>#N/A</v>
      </c>
      <c r="H65" s="26" t="e">
        <v>#N/A</v>
      </c>
      <c r="I65" s="26" t="s">
        <v>20</v>
      </c>
      <c r="J65" s="70">
        <v>1624</v>
      </c>
      <c r="K65" s="71">
        <v>0</v>
      </c>
      <c r="L65" s="71">
        <v>0</v>
      </c>
      <c r="M65" s="71">
        <v>0</v>
      </c>
      <c r="N65" s="71">
        <v>0</v>
      </c>
      <c r="O65" s="71">
        <v>0</v>
      </c>
      <c r="P65" s="71">
        <v>0</v>
      </c>
      <c r="Q65" s="71">
        <v>0</v>
      </c>
      <c r="R65" s="71">
        <v>0</v>
      </c>
      <c r="S65" s="26"/>
      <c r="T65" s="28">
        <f>VLOOKUP(D65:D209,'[1]Lista de artículos (1)'!$A$3:$I$553,7)</f>
        <v>20892.156764369753</v>
      </c>
      <c r="U65" s="28" t="e">
        <f>VLOOKUP(D65,'[1]Lista de artículos (1)'!$A$3:$G$553,7,0)</f>
        <v>#N/A</v>
      </c>
      <c r="V65" s="26" t="s">
        <v>176</v>
      </c>
      <c r="W65" s="26" t="s">
        <v>176</v>
      </c>
      <c r="X65" s="32" t="s">
        <v>25</v>
      </c>
      <c r="Y65" s="72">
        <v>30900</v>
      </c>
      <c r="Z65" s="72" t="s">
        <v>25</v>
      </c>
      <c r="AA65" s="73" t="s">
        <v>25</v>
      </c>
      <c r="AB65" s="73" t="s">
        <v>24</v>
      </c>
      <c r="AC65" s="32" t="s">
        <v>24</v>
      </c>
      <c r="AD65" s="32" t="s">
        <v>176</v>
      </c>
      <c r="AG65" s="73">
        <f t="shared" si="0"/>
        <v>30900</v>
      </c>
      <c r="AH65" s="73">
        <v>30900</v>
      </c>
      <c r="AI65" s="73">
        <v>5871</v>
      </c>
      <c r="AJ65" s="73">
        <v>36771</v>
      </c>
    </row>
    <row r="66" spans="1:36" x14ac:dyDescent="0.25">
      <c r="A66" s="32">
        <v>64</v>
      </c>
      <c r="B66" s="23">
        <v>1042021254</v>
      </c>
      <c r="C66" s="24" t="s">
        <v>20</v>
      </c>
      <c r="D66" s="113" t="s">
        <v>288</v>
      </c>
      <c r="E66" s="26" t="s">
        <v>90</v>
      </c>
      <c r="F66" s="114" t="s">
        <v>288</v>
      </c>
      <c r="G66" s="26" t="e">
        <v>#N/A</v>
      </c>
      <c r="H66" s="26" t="e">
        <v>#N/A</v>
      </c>
      <c r="I66" s="26" t="s">
        <v>20</v>
      </c>
      <c r="J66" s="70">
        <v>17783.400000000001</v>
      </c>
      <c r="K66" s="71">
        <v>12</v>
      </c>
      <c r="L66" s="71">
        <v>5</v>
      </c>
      <c r="M66" s="71">
        <v>5</v>
      </c>
      <c r="N66" s="71">
        <v>0.41666666666666669</v>
      </c>
      <c r="O66" s="71">
        <v>0</v>
      </c>
      <c r="P66" s="71">
        <v>0</v>
      </c>
      <c r="Q66" s="71">
        <v>0</v>
      </c>
      <c r="R66" s="71">
        <v>0</v>
      </c>
      <c r="S66" s="26"/>
      <c r="T66" s="28">
        <f>VLOOKUP(D66:D210,'[1]Lista de artículos (1)'!$A$3:$I$553,7)</f>
        <v>24657.211996638653</v>
      </c>
      <c r="U66" s="28" t="e">
        <f>VLOOKUP(D66,'[1]Lista de artículos (1)'!$A$3:$G$553,7,0)</f>
        <v>#N/A</v>
      </c>
      <c r="V66" s="28">
        <v>43900</v>
      </c>
      <c r="W66" s="28" t="s">
        <v>24</v>
      </c>
      <c r="X66" s="32" t="s">
        <v>25</v>
      </c>
      <c r="Y66" s="72" t="s">
        <v>25</v>
      </c>
      <c r="Z66" s="72" t="s">
        <v>25</v>
      </c>
      <c r="AA66" s="73" t="s">
        <v>25</v>
      </c>
      <c r="AB66" s="73" t="s">
        <v>24</v>
      </c>
      <c r="AC66" s="72" t="s">
        <v>24</v>
      </c>
      <c r="AD66" s="115" t="s">
        <v>24</v>
      </c>
      <c r="AG66" s="73">
        <f t="shared" si="0"/>
        <v>43900</v>
      </c>
      <c r="AH66" s="73">
        <v>43900</v>
      </c>
      <c r="AI66" s="73">
        <v>8341</v>
      </c>
      <c r="AJ66" s="73">
        <v>52241</v>
      </c>
    </row>
    <row r="67" spans="1:36" ht="33" x14ac:dyDescent="0.25">
      <c r="A67" s="32">
        <v>65</v>
      </c>
      <c r="B67" s="23">
        <v>1123229540</v>
      </c>
      <c r="C67" s="24" t="s">
        <v>20</v>
      </c>
      <c r="D67" s="113" t="s">
        <v>289</v>
      </c>
      <c r="E67" s="26" t="s">
        <v>22</v>
      </c>
      <c r="F67" s="114" t="s">
        <v>289</v>
      </c>
      <c r="G67" s="26" t="e">
        <v>#N/A</v>
      </c>
      <c r="H67" s="26" t="e">
        <v>#N/A</v>
      </c>
      <c r="I67" s="26" t="s">
        <v>20</v>
      </c>
      <c r="J67" s="70">
        <v>5995.02</v>
      </c>
      <c r="K67" s="71">
        <v>0</v>
      </c>
      <c r="L67" s="71">
        <v>0</v>
      </c>
      <c r="M67" s="71">
        <v>0</v>
      </c>
      <c r="N67" s="71">
        <v>0</v>
      </c>
      <c r="O67" s="71">
        <v>0</v>
      </c>
      <c r="P67" s="71">
        <v>0</v>
      </c>
      <c r="Q67" s="71">
        <v>0</v>
      </c>
      <c r="R67" s="71">
        <v>3</v>
      </c>
      <c r="S67" s="26"/>
      <c r="T67" s="28">
        <f>VLOOKUP(D67:D212,'[1]Lista de artículos (1)'!$A$3:$I$553,7)</f>
        <v>114158.8145072269</v>
      </c>
      <c r="U67" s="28" t="e">
        <f>VLOOKUP(D67,'[1]Lista de artículos (1)'!$A$3:$G$553,7,0)</f>
        <v>#N/A</v>
      </c>
      <c r="V67" s="28">
        <v>6100</v>
      </c>
      <c r="W67" s="28">
        <v>27000</v>
      </c>
      <c r="X67" s="32" t="s">
        <v>25</v>
      </c>
      <c r="Y67" s="72" t="s">
        <v>25</v>
      </c>
      <c r="Z67" s="72" t="s">
        <v>25</v>
      </c>
      <c r="AA67" s="73" t="s">
        <v>25</v>
      </c>
      <c r="AB67" s="73" t="s">
        <v>24</v>
      </c>
      <c r="AC67" s="72" t="s">
        <v>24</v>
      </c>
      <c r="AD67" s="115" t="s">
        <v>24</v>
      </c>
      <c r="AG67" s="73">
        <f t="shared" si="0"/>
        <v>6100</v>
      </c>
      <c r="AH67" s="73">
        <v>16550</v>
      </c>
      <c r="AI67" s="73">
        <v>3144.5</v>
      </c>
      <c r="AJ67" s="73">
        <v>19694.5</v>
      </c>
    </row>
    <row r="68" spans="1:36" x14ac:dyDescent="0.25">
      <c r="A68" s="32">
        <v>66</v>
      </c>
      <c r="B68" s="23">
        <v>1043205073</v>
      </c>
      <c r="C68" s="24" t="s">
        <v>20</v>
      </c>
      <c r="D68" s="113" t="s">
        <v>290</v>
      </c>
      <c r="E68" s="26" t="s">
        <v>22</v>
      </c>
      <c r="F68" s="114" t="s">
        <v>290</v>
      </c>
      <c r="G68" s="26" t="e">
        <v>#N/A</v>
      </c>
      <c r="H68" s="26" t="e">
        <v>#N/A</v>
      </c>
      <c r="I68" s="26" t="s">
        <v>20</v>
      </c>
      <c r="J68" s="70">
        <v>1</v>
      </c>
      <c r="K68" s="71">
        <v>0</v>
      </c>
      <c r="L68" s="71">
        <v>0</v>
      </c>
      <c r="M68" s="71">
        <v>0</v>
      </c>
      <c r="N68" s="71">
        <v>0</v>
      </c>
      <c r="O68" s="71">
        <v>0</v>
      </c>
      <c r="P68" s="71">
        <v>0</v>
      </c>
      <c r="Q68" s="71">
        <v>0</v>
      </c>
      <c r="R68" s="71">
        <v>0</v>
      </c>
      <c r="S68" s="26"/>
      <c r="T68" s="28">
        <f>VLOOKUP(D68:D213,'[1]Lista de artículos (1)'!$A$3:$I$553,7)</f>
        <v>5595.2904146218489</v>
      </c>
      <c r="U68" s="28" t="e">
        <f>VLOOKUP(D68,'[1]Lista de artículos (1)'!$A$3:$G$553,7,0)</f>
        <v>#N/A</v>
      </c>
      <c r="V68" s="26" t="s">
        <v>176</v>
      </c>
      <c r="W68" s="26" t="s">
        <v>176</v>
      </c>
      <c r="X68" s="32" t="s">
        <v>25</v>
      </c>
      <c r="Y68" s="72">
        <v>7900</v>
      </c>
      <c r="Z68" s="72" t="s">
        <v>25</v>
      </c>
      <c r="AA68" s="73" t="s">
        <v>25</v>
      </c>
      <c r="AB68" s="73" t="s">
        <v>24</v>
      </c>
      <c r="AC68" s="72">
        <v>117875</v>
      </c>
      <c r="AD68" s="32" t="s">
        <v>176</v>
      </c>
      <c r="AG68" s="73">
        <f t="shared" ref="AG68:AG119" si="1">MIN(V68:AD68)</f>
        <v>7900</v>
      </c>
      <c r="AH68" s="73">
        <v>62887.5</v>
      </c>
      <c r="AI68" s="73">
        <v>11948.625</v>
      </c>
      <c r="AJ68" s="73">
        <v>74836.125</v>
      </c>
    </row>
    <row r="69" spans="1:36" ht="33" x14ac:dyDescent="0.25">
      <c r="A69" s="32">
        <v>67</v>
      </c>
      <c r="B69" s="23">
        <v>1043205536</v>
      </c>
      <c r="C69" s="24" t="s">
        <v>20</v>
      </c>
      <c r="D69" s="113" t="s">
        <v>291</v>
      </c>
      <c r="E69" s="26" t="s">
        <v>231</v>
      </c>
      <c r="F69" s="114" t="s">
        <v>291</v>
      </c>
      <c r="G69" s="26" t="e">
        <v>#N/A</v>
      </c>
      <c r="H69" s="26" t="e">
        <v>#N/A</v>
      </c>
      <c r="I69" s="26" t="s">
        <v>20</v>
      </c>
      <c r="J69" s="70">
        <v>90451.9</v>
      </c>
      <c r="K69" s="71">
        <v>0</v>
      </c>
      <c r="L69" s="71">
        <v>10</v>
      </c>
      <c r="M69" s="71">
        <v>10</v>
      </c>
      <c r="N69" s="71">
        <v>0.83333333333333337</v>
      </c>
      <c r="O69" s="71">
        <v>0</v>
      </c>
      <c r="P69" s="71">
        <v>0</v>
      </c>
      <c r="Q69" s="71">
        <v>0</v>
      </c>
      <c r="R69" s="71">
        <v>0</v>
      </c>
      <c r="S69" s="26"/>
      <c r="T69" s="28">
        <f>VLOOKUP(D69:D214,'[1]Lista de artículos (1)'!$A$3:$I$553,7)</f>
        <v>5595.2904146218489</v>
      </c>
      <c r="U69" s="28" t="e">
        <f>VLOOKUP(D69,'[1]Lista de artículos (1)'!$A$3:$G$553,7,0)</f>
        <v>#N/A</v>
      </c>
      <c r="V69" s="28" t="s">
        <v>24</v>
      </c>
      <c r="W69" s="28" t="s">
        <v>24</v>
      </c>
      <c r="X69" s="32" t="s">
        <v>25</v>
      </c>
      <c r="Y69" s="72" t="s">
        <v>25</v>
      </c>
      <c r="Z69" s="72" t="s">
        <v>25</v>
      </c>
      <c r="AA69" s="73" t="s">
        <v>25</v>
      </c>
      <c r="AB69" s="73" t="s">
        <v>24</v>
      </c>
      <c r="AC69" s="72" t="s">
        <v>37</v>
      </c>
      <c r="AD69" s="115">
        <v>128573</v>
      </c>
      <c r="AG69" s="73">
        <f t="shared" si="1"/>
        <v>128573</v>
      </c>
      <c r="AH69" s="73">
        <v>128573</v>
      </c>
      <c r="AI69" s="73">
        <v>24428.87</v>
      </c>
      <c r="AJ69" s="73">
        <v>153001.87</v>
      </c>
    </row>
    <row r="70" spans="1:36" ht="33" x14ac:dyDescent="0.25">
      <c r="A70" s="32">
        <v>68</v>
      </c>
      <c r="B70" s="23">
        <v>1127650800</v>
      </c>
      <c r="C70" s="24" t="s">
        <v>20</v>
      </c>
      <c r="D70" s="113" t="s">
        <v>292</v>
      </c>
      <c r="E70" s="26" t="s">
        <v>293</v>
      </c>
      <c r="F70" s="114" t="s">
        <v>292</v>
      </c>
      <c r="G70" s="26" t="e">
        <v>#N/A</v>
      </c>
      <c r="H70" s="26" t="e">
        <v>#N/A</v>
      </c>
      <c r="I70" s="26" t="s">
        <v>20</v>
      </c>
      <c r="J70" s="70">
        <v>1</v>
      </c>
      <c r="K70" s="71">
        <v>0</v>
      </c>
      <c r="L70" s="71">
        <v>0</v>
      </c>
      <c r="M70" s="71">
        <v>0</v>
      </c>
      <c r="N70" s="71">
        <v>0</v>
      </c>
      <c r="O70" s="71">
        <v>0</v>
      </c>
      <c r="P70" s="71">
        <v>0</v>
      </c>
      <c r="Q70" s="71">
        <v>0</v>
      </c>
      <c r="R70" s="71">
        <v>0</v>
      </c>
      <c r="S70" s="26"/>
      <c r="T70" s="28">
        <f>VLOOKUP(D70:D215,'[1]Lista de artículos (1)'!$A$3:$I$553,7)</f>
        <v>108484.64228571429</v>
      </c>
      <c r="U70" s="28" t="e">
        <f>VLOOKUP(D70,'[1]Lista de artículos (1)'!$A$3:$G$553,7,0)</f>
        <v>#N/A</v>
      </c>
      <c r="V70" s="26" t="s">
        <v>176</v>
      </c>
      <c r="W70" s="26" t="s">
        <v>176</v>
      </c>
      <c r="X70" s="32" t="s">
        <v>25</v>
      </c>
      <c r="Y70" s="72">
        <v>93900</v>
      </c>
      <c r="Z70" s="72" t="s">
        <v>25</v>
      </c>
      <c r="AA70" s="73" t="s">
        <v>25</v>
      </c>
      <c r="AB70" s="73" t="s">
        <v>24</v>
      </c>
      <c r="AC70" s="72" t="s">
        <v>24</v>
      </c>
      <c r="AD70" s="32" t="s">
        <v>176</v>
      </c>
      <c r="AG70" s="73">
        <f t="shared" si="1"/>
        <v>93900</v>
      </c>
      <c r="AH70" s="73">
        <v>93900</v>
      </c>
      <c r="AI70" s="73">
        <v>17841</v>
      </c>
      <c r="AJ70" s="73">
        <v>111741</v>
      </c>
    </row>
    <row r="71" spans="1:36" ht="33" x14ac:dyDescent="0.25">
      <c r="A71" s="32">
        <v>69</v>
      </c>
      <c r="B71" s="23">
        <v>1127650801</v>
      </c>
      <c r="C71" s="24" t="s">
        <v>20</v>
      </c>
      <c r="D71" s="113" t="s">
        <v>294</v>
      </c>
      <c r="E71" s="26" t="s">
        <v>90</v>
      </c>
      <c r="F71" s="114" t="s">
        <v>294</v>
      </c>
      <c r="G71" s="26" t="e">
        <v>#N/A</v>
      </c>
      <c r="H71" s="26" t="e">
        <v>#N/A</v>
      </c>
      <c r="I71" s="26" t="s">
        <v>20</v>
      </c>
      <c r="J71" s="70">
        <v>1</v>
      </c>
      <c r="K71" s="71">
        <v>0</v>
      </c>
      <c r="L71" s="71">
        <v>0</v>
      </c>
      <c r="M71" s="71">
        <v>0</v>
      </c>
      <c r="N71" s="71">
        <v>0</v>
      </c>
      <c r="O71" s="71">
        <v>0</v>
      </c>
      <c r="P71" s="71">
        <v>0</v>
      </c>
      <c r="Q71" s="71">
        <v>0</v>
      </c>
      <c r="R71" s="71">
        <v>0</v>
      </c>
      <c r="S71" s="26"/>
      <c r="T71" s="28">
        <f>VLOOKUP(D71:D216,'[1]Lista de artículos (1)'!$A$3:$I$553,7)</f>
        <v>108484.64228571429</v>
      </c>
      <c r="U71" s="28" t="e">
        <f>VLOOKUP(D71,'[1]Lista de artículos (1)'!$A$3:$G$553,7,0)</f>
        <v>#N/A</v>
      </c>
      <c r="V71" s="26" t="s">
        <v>176</v>
      </c>
      <c r="W71" s="26" t="s">
        <v>176</v>
      </c>
      <c r="X71" s="32" t="s">
        <v>25</v>
      </c>
      <c r="Y71" s="72">
        <v>12900</v>
      </c>
      <c r="Z71" s="72" t="s">
        <v>25</v>
      </c>
      <c r="AA71" s="73" t="s">
        <v>25</v>
      </c>
      <c r="AB71" s="73" t="s">
        <v>24</v>
      </c>
      <c r="AC71" s="72" t="s">
        <v>24</v>
      </c>
      <c r="AD71" s="32" t="s">
        <v>176</v>
      </c>
      <c r="AG71" s="73">
        <f t="shared" si="1"/>
        <v>12900</v>
      </c>
      <c r="AH71" s="73">
        <v>12900</v>
      </c>
      <c r="AI71" s="73">
        <v>2451</v>
      </c>
      <c r="AJ71" s="73">
        <v>15351</v>
      </c>
    </row>
    <row r="72" spans="1:36" x14ac:dyDescent="0.25">
      <c r="A72" s="32">
        <v>70</v>
      </c>
      <c r="B72" s="23">
        <v>1111000028</v>
      </c>
      <c r="C72" s="24" t="s">
        <v>20</v>
      </c>
      <c r="D72" s="113" t="s">
        <v>295</v>
      </c>
      <c r="E72" s="26" t="s">
        <v>22</v>
      </c>
      <c r="F72" s="114" t="s">
        <v>295</v>
      </c>
      <c r="G72" s="26" t="e">
        <v>#N/A</v>
      </c>
      <c r="H72" s="26" t="e">
        <v>#N/A</v>
      </c>
      <c r="I72" s="26" t="s">
        <v>20</v>
      </c>
      <c r="J72" s="70">
        <v>21923.19</v>
      </c>
      <c r="K72" s="71">
        <v>0</v>
      </c>
      <c r="L72" s="71">
        <v>0</v>
      </c>
      <c r="M72" s="71">
        <v>0</v>
      </c>
      <c r="N72" s="71">
        <v>0</v>
      </c>
      <c r="O72" s="71">
        <v>2</v>
      </c>
      <c r="P72" s="71">
        <v>0.16666666666666666</v>
      </c>
      <c r="Q72" s="71">
        <v>0</v>
      </c>
      <c r="R72" s="71">
        <v>0</v>
      </c>
      <c r="S72" s="26"/>
      <c r="T72" s="28">
        <f>VLOOKUP(D72:D217,'[1]Lista de artículos (1)'!$A$3:$I$553,7)</f>
        <v>3319.2400764705885</v>
      </c>
      <c r="U72" s="28" t="e">
        <f>VLOOKUP(D72,'[1]Lista de artículos (1)'!$A$3:$G$553,7,0)</f>
        <v>#N/A</v>
      </c>
      <c r="V72" s="26" t="s">
        <v>176</v>
      </c>
      <c r="W72" s="26" t="s">
        <v>176</v>
      </c>
      <c r="X72" s="32" t="s">
        <v>25</v>
      </c>
      <c r="Y72" s="72">
        <v>54900</v>
      </c>
      <c r="Z72" s="72" t="s">
        <v>25</v>
      </c>
      <c r="AA72" s="73" t="s">
        <v>25</v>
      </c>
      <c r="AB72" s="73" t="s">
        <v>24</v>
      </c>
      <c r="AC72" s="72" t="s">
        <v>24</v>
      </c>
      <c r="AD72" s="32" t="s">
        <v>176</v>
      </c>
      <c r="AG72" s="73">
        <f t="shared" si="1"/>
        <v>54900</v>
      </c>
      <c r="AH72" s="73">
        <v>54900</v>
      </c>
      <c r="AI72" s="73">
        <v>10431</v>
      </c>
      <c r="AJ72" s="73">
        <v>65331</v>
      </c>
    </row>
    <row r="73" spans="1:36" x14ac:dyDescent="0.25">
      <c r="A73" s="32">
        <v>71</v>
      </c>
      <c r="B73" s="23">
        <v>1111000270</v>
      </c>
      <c r="C73" s="24" t="s">
        <v>20</v>
      </c>
      <c r="D73" s="113" t="s">
        <v>296</v>
      </c>
      <c r="E73" s="26" t="s">
        <v>22</v>
      </c>
      <c r="F73" s="114" t="s">
        <v>296</v>
      </c>
      <c r="G73" s="26" t="e">
        <v>#N/A</v>
      </c>
      <c r="H73" s="26" t="e">
        <v>#N/A</v>
      </c>
      <c r="I73" s="26" t="s">
        <v>20</v>
      </c>
      <c r="J73" s="70">
        <v>21519.19</v>
      </c>
      <c r="K73" s="71">
        <v>0</v>
      </c>
      <c r="L73" s="71">
        <v>0</v>
      </c>
      <c r="M73" s="71">
        <v>0</v>
      </c>
      <c r="N73" s="71">
        <v>0</v>
      </c>
      <c r="O73" s="71">
        <v>1</v>
      </c>
      <c r="P73" s="71">
        <v>8.3333333333333329E-2</v>
      </c>
      <c r="Q73" s="71">
        <v>0</v>
      </c>
      <c r="R73" s="71">
        <v>0</v>
      </c>
      <c r="S73" s="26"/>
      <c r="T73" s="28">
        <f>VLOOKUP(D73:D218,'[1]Lista de artículos (1)'!$A$3:$I$553,7)</f>
        <v>20084.726134285713</v>
      </c>
      <c r="U73" s="28">
        <f>VLOOKUP(D73,'[1]Lista de artículos (1)'!$A$3:$G$553,7,0)</f>
        <v>20084.726134285713</v>
      </c>
      <c r="V73" s="26" t="s">
        <v>176</v>
      </c>
      <c r="W73" s="26" t="s">
        <v>176</v>
      </c>
      <c r="X73" s="32" t="s">
        <v>25</v>
      </c>
      <c r="Y73" s="72">
        <v>44900</v>
      </c>
      <c r="Z73" s="72" t="s">
        <v>25</v>
      </c>
      <c r="AA73" s="73" t="s">
        <v>25</v>
      </c>
      <c r="AB73" s="73" t="s">
        <v>24</v>
      </c>
      <c r="AC73" s="72" t="s">
        <v>24</v>
      </c>
      <c r="AD73" s="32" t="s">
        <v>176</v>
      </c>
      <c r="AG73" s="73">
        <f t="shared" si="1"/>
        <v>44900</v>
      </c>
      <c r="AH73" s="73">
        <v>44900</v>
      </c>
      <c r="AI73" s="73">
        <v>8531</v>
      </c>
      <c r="AJ73" s="73">
        <v>53431</v>
      </c>
    </row>
    <row r="74" spans="1:36" x14ac:dyDescent="0.25">
      <c r="A74" s="32">
        <v>72</v>
      </c>
      <c r="B74" s="23">
        <v>1111000305</v>
      </c>
      <c r="C74" s="24" t="s">
        <v>20</v>
      </c>
      <c r="D74" s="113" t="s">
        <v>297</v>
      </c>
      <c r="E74" s="26" t="s">
        <v>22</v>
      </c>
      <c r="F74" s="114" t="s">
        <v>297</v>
      </c>
      <c r="G74" s="26" t="e">
        <v>#N/A</v>
      </c>
      <c r="H74" s="26" t="e">
        <v>#N/A</v>
      </c>
      <c r="I74" s="26" t="s">
        <v>20</v>
      </c>
      <c r="J74" s="70">
        <v>14500</v>
      </c>
      <c r="K74" s="71">
        <v>0</v>
      </c>
      <c r="L74" s="71">
        <v>0</v>
      </c>
      <c r="M74" s="71">
        <v>0</v>
      </c>
      <c r="N74" s="71">
        <v>0</v>
      </c>
      <c r="O74" s="71">
        <v>0</v>
      </c>
      <c r="P74" s="71">
        <v>0</v>
      </c>
      <c r="Q74" s="71">
        <v>0</v>
      </c>
      <c r="R74" s="71">
        <v>0</v>
      </c>
      <c r="S74" s="26"/>
      <c r="T74" s="28">
        <f>VLOOKUP(D74:D219,'[1]Lista de artículos (1)'!$A$3:$I$553,7)</f>
        <v>20084.726134285713</v>
      </c>
      <c r="U74" s="28" t="e">
        <f>VLOOKUP(D74,'[1]Lista de artículos (1)'!$A$3:$G$553,7,0)</f>
        <v>#N/A</v>
      </c>
      <c r="V74" s="26" t="s">
        <v>176</v>
      </c>
      <c r="W74" s="26" t="s">
        <v>176</v>
      </c>
      <c r="X74" s="32" t="s">
        <v>25</v>
      </c>
      <c r="Y74" s="72">
        <v>9900</v>
      </c>
      <c r="Z74" s="72">
        <v>5850</v>
      </c>
      <c r="AA74" s="73">
        <v>5900</v>
      </c>
      <c r="AB74" s="73" t="s">
        <v>24</v>
      </c>
      <c r="AC74" s="72" t="s">
        <v>24</v>
      </c>
      <c r="AD74" s="32" t="s">
        <v>176</v>
      </c>
      <c r="AG74" s="73">
        <f t="shared" si="1"/>
        <v>5850</v>
      </c>
      <c r="AH74" s="73">
        <v>7216.666666666667</v>
      </c>
      <c r="AI74" s="73">
        <v>1371.166666666667</v>
      </c>
      <c r="AJ74" s="73">
        <v>8587.8333333333339</v>
      </c>
    </row>
    <row r="75" spans="1:36" ht="33" x14ac:dyDescent="0.25">
      <c r="A75" s="32">
        <v>73</v>
      </c>
      <c r="B75" s="23">
        <v>1043205803</v>
      </c>
      <c r="C75" s="24" t="s">
        <v>20</v>
      </c>
      <c r="D75" s="113" t="s">
        <v>298</v>
      </c>
      <c r="E75" s="26" t="s">
        <v>231</v>
      </c>
      <c r="F75" s="114" t="s">
        <v>298</v>
      </c>
      <c r="G75" s="26" t="e">
        <v>#N/A</v>
      </c>
      <c r="H75" s="26" t="e">
        <v>#N/A</v>
      </c>
      <c r="I75" s="26" t="s">
        <v>20</v>
      </c>
      <c r="J75" s="70">
        <v>1</v>
      </c>
      <c r="K75" s="71">
        <v>0</v>
      </c>
      <c r="L75" s="71">
        <v>0</v>
      </c>
      <c r="M75" s="71">
        <v>0</v>
      </c>
      <c r="N75" s="71">
        <v>0</v>
      </c>
      <c r="O75" s="71">
        <v>0</v>
      </c>
      <c r="P75" s="71">
        <v>0</v>
      </c>
      <c r="Q75" s="71">
        <v>0</v>
      </c>
      <c r="R75" s="71">
        <v>0</v>
      </c>
      <c r="S75" s="26"/>
      <c r="T75" s="28">
        <f>VLOOKUP(D75:D220,'[1]Lista de artículos (1)'!$A$3:$I$553,7)</f>
        <v>34994.273949075628</v>
      </c>
      <c r="U75" s="28" t="e">
        <f>VLOOKUP(D75,'[1]Lista de artículos (1)'!$A$3:$G$553,7,0)</f>
        <v>#N/A</v>
      </c>
      <c r="V75" s="26" t="s">
        <v>176</v>
      </c>
      <c r="W75" s="26" t="s">
        <v>176</v>
      </c>
      <c r="X75" s="32" t="s">
        <v>25</v>
      </c>
      <c r="Y75" s="72">
        <v>37300</v>
      </c>
      <c r="Z75" s="72" t="s">
        <v>25</v>
      </c>
      <c r="AA75" s="73" t="s">
        <v>25</v>
      </c>
      <c r="AB75" s="73" t="s">
        <v>24</v>
      </c>
      <c r="AC75" s="72" t="s">
        <v>24</v>
      </c>
      <c r="AD75" s="32" t="s">
        <v>176</v>
      </c>
      <c r="AG75" s="73">
        <f t="shared" si="1"/>
        <v>37300</v>
      </c>
      <c r="AH75" s="73">
        <v>37300</v>
      </c>
      <c r="AI75" s="73">
        <v>7087</v>
      </c>
      <c r="AJ75" s="73">
        <v>44387</v>
      </c>
    </row>
    <row r="76" spans="1:36" ht="33" x14ac:dyDescent="0.25">
      <c r="A76" s="32">
        <v>74</v>
      </c>
      <c r="B76" s="23">
        <v>1041099129</v>
      </c>
      <c r="C76" s="24" t="s">
        <v>20</v>
      </c>
      <c r="D76" s="113" t="s">
        <v>299</v>
      </c>
      <c r="E76" s="26" t="s">
        <v>22</v>
      </c>
      <c r="F76" s="114" t="s">
        <v>299</v>
      </c>
      <c r="G76" s="26" t="e">
        <v>#N/A</v>
      </c>
      <c r="H76" s="26" t="e">
        <v>#N/A</v>
      </c>
      <c r="I76" s="26" t="s">
        <v>20</v>
      </c>
      <c r="J76" s="70">
        <v>1</v>
      </c>
      <c r="K76" s="71">
        <v>0</v>
      </c>
      <c r="L76" s="71">
        <v>0</v>
      </c>
      <c r="M76" s="71">
        <v>0</v>
      </c>
      <c r="N76" s="71">
        <v>0</v>
      </c>
      <c r="O76" s="71">
        <v>0</v>
      </c>
      <c r="P76" s="71">
        <v>0</v>
      </c>
      <c r="Q76" s="71">
        <v>0</v>
      </c>
      <c r="R76" s="71">
        <v>0</v>
      </c>
      <c r="S76" s="26"/>
      <c r="T76" s="28">
        <f>VLOOKUP(D76:D221,'[1]Lista de artículos (1)'!$A$3:$I$553,7)</f>
        <v>34994.273949075628</v>
      </c>
      <c r="U76" s="28" t="e">
        <f>VLOOKUP(D76,'[1]Lista de artículos (1)'!$A$3:$G$553,7,0)</f>
        <v>#N/A</v>
      </c>
      <c r="V76" s="26" t="s">
        <v>176</v>
      </c>
      <c r="W76" s="26" t="s">
        <v>176</v>
      </c>
      <c r="X76" s="32" t="s">
        <v>25</v>
      </c>
      <c r="Y76" s="72">
        <v>74900</v>
      </c>
      <c r="Z76" s="72" t="s">
        <v>25</v>
      </c>
      <c r="AA76" s="73" t="s">
        <v>25</v>
      </c>
      <c r="AB76" s="73" t="s">
        <v>24</v>
      </c>
      <c r="AC76" s="32" t="s">
        <v>24</v>
      </c>
      <c r="AD76" s="32" t="s">
        <v>176</v>
      </c>
      <c r="AG76" s="73">
        <f t="shared" si="1"/>
        <v>74900</v>
      </c>
      <c r="AH76" s="73">
        <v>74900</v>
      </c>
      <c r="AI76" s="73">
        <v>14231</v>
      </c>
      <c r="AJ76" s="73">
        <v>89131</v>
      </c>
    </row>
    <row r="77" spans="1:36" ht="33" x14ac:dyDescent="0.25">
      <c r="A77" s="32">
        <v>75</v>
      </c>
      <c r="B77" s="23">
        <v>1111000510</v>
      </c>
      <c r="C77" s="24" t="s">
        <v>20</v>
      </c>
      <c r="D77" s="113" t="s">
        <v>300</v>
      </c>
      <c r="E77" s="26" t="s">
        <v>22</v>
      </c>
      <c r="F77" s="114" t="s">
        <v>300</v>
      </c>
      <c r="G77" s="26" t="e">
        <v>#N/A</v>
      </c>
      <c r="H77" s="26" t="e">
        <v>#N/A</v>
      </c>
      <c r="I77" s="26" t="s">
        <v>20</v>
      </c>
      <c r="J77" s="70">
        <v>27977.08</v>
      </c>
      <c r="K77" s="71">
        <v>0</v>
      </c>
      <c r="L77" s="71">
        <v>0</v>
      </c>
      <c r="M77" s="71">
        <v>0</v>
      </c>
      <c r="N77" s="71">
        <v>0</v>
      </c>
      <c r="O77" s="71">
        <v>0</v>
      </c>
      <c r="P77" s="71">
        <v>0</v>
      </c>
      <c r="Q77" s="71">
        <v>0</v>
      </c>
      <c r="R77" s="71">
        <v>0</v>
      </c>
      <c r="S77" s="26"/>
      <c r="T77" s="28">
        <f>VLOOKUP(D77:D222,'[1]Lista de artículos (1)'!$A$3:$I$553,7)</f>
        <v>5879.7967068907556</v>
      </c>
      <c r="U77" s="28" t="e">
        <f>VLOOKUP(D77,'[1]Lista de artículos (1)'!$A$3:$G$553,7,0)</f>
        <v>#N/A</v>
      </c>
      <c r="V77" s="26" t="s">
        <v>176</v>
      </c>
      <c r="W77" s="26" t="s">
        <v>176</v>
      </c>
      <c r="X77" s="32" t="s">
        <v>25</v>
      </c>
      <c r="Y77" s="72" t="s">
        <v>25</v>
      </c>
      <c r="Z77" s="72" t="s">
        <v>25</v>
      </c>
      <c r="AA77" s="73">
        <v>26600</v>
      </c>
      <c r="AB77" s="73" t="s">
        <v>24</v>
      </c>
      <c r="AC77" s="72" t="s">
        <v>24</v>
      </c>
      <c r="AD77" s="32" t="s">
        <v>176</v>
      </c>
      <c r="AG77" s="73">
        <f t="shared" si="1"/>
        <v>26600</v>
      </c>
      <c r="AH77" s="73">
        <v>26600</v>
      </c>
      <c r="AI77" s="73">
        <v>5054</v>
      </c>
      <c r="AJ77" s="73">
        <v>31654</v>
      </c>
    </row>
    <row r="78" spans="1:36" ht="33" x14ac:dyDescent="0.25">
      <c r="A78" s="32">
        <v>76</v>
      </c>
      <c r="B78" s="23">
        <v>1043205805</v>
      </c>
      <c r="C78" s="24" t="s">
        <v>20</v>
      </c>
      <c r="D78" s="113" t="s">
        <v>301</v>
      </c>
      <c r="E78" s="26" t="s">
        <v>302</v>
      </c>
      <c r="F78" s="114" t="s">
        <v>301</v>
      </c>
      <c r="G78" s="26" t="e">
        <v>#N/A</v>
      </c>
      <c r="H78" s="26" t="e">
        <v>#N/A</v>
      </c>
      <c r="I78" s="26" t="s">
        <v>20</v>
      </c>
      <c r="J78" s="70">
        <v>1</v>
      </c>
      <c r="K78" s="71">
        <v>0</v>
      </c>
      <c r="L78" s="71">
        <v>0</v>
      </c>
      <c r="M78" s="71">
        <v>0</v>
      </c>
      <c r="N78" s="71">
        <v>0</v>
      </c>
      <c r="O78" s="71">
        <v>0</v>
      </c>
      <c r="P78" s="71">
        <v>0</v>
      </c>
      <c r="Q78" s="71">
        <v>0</v>
      </c>
      <c r="R78" s="71">
        <v>0</v>
      </c>
      <c r="S78" s="26"/>
      <c r="T78" s="28">
        <f>VLOOKUP(D78:D224,'[1]Lista de artículos (1)'!$A$3:$I$553,7)</f>
        <v>493144.23993277305</v>
      </c>
      <c r="U78" s="28" t="e">
        <f>VLOOKUP(D78,'[1]Lista de artículos (1)'!$A$3:$G$553,7,0)</f>
        <v>#N/A</v>
      </c>
      <c r="V78" s="28">
        <v>30900</v>
      </c>
      <c r="W78" s="28" t="s">
        <v>24</v>
      </c>
      <c r="X78" s="32" t="s">
        <v>25</v>
      </c>
      <c r="Y78" s="72" t="s">
        <v>25</v>
      </c>
      <c r="Z78" s="72" t="s">
        <v>25</v>
      </c>
      <c r="AA78" s="73" t="s">
        <v>25</v>
      </c>
      <c r="AB78" s="73" t="s">
        <v>24</v>
      </c>
      <c r="AC78" s="72" t="s">
        <v>24</v>
      </c>
      <c r="AD78" s="115" t="s">
        <v>24</v>
      </c>
      <c r="AG78" s="73">
        <f t="shared" si="1"/>
        <v>30900</v>
      </c>
      <c r="AH78" s="73">
        <v>30900</v>
      </c>
      <c r="AI78" s="73">
        <v>5871</v>
      </c>
      <c r="AJ78" s="73">
        <v>36771</v>
      </c>
    </row>
    <row r="79" spans="1:36" ht="33" x14ac:dyDescent="0.25">
      <c r="A79" s="32">
        <v>77</v>
      </c>
      <c r="B79" s="23">
        <v>1043205806</v>
      </c>
      <c r="C79" s="24" t="s">
        <v>20</v>
      </c>
      <c r="D79" s="113" t="s">
        <v>303</v>
      </c>
      <c r="E79" s="26" t="s">
        <v>302</v>
      </c>
      <c r="F79" s="114" t="s">
        <v>303</v>
      </c>
      <c r="G79" s="26" t="e">
        <v>#N/A</v>
      </c>
      <c r="H79" s="26" t="e">
        <v>#N/A</v>
      </c>
      <c r="I79" s="26" t="s">
        <v>20</v>
      </c>
      <c r="J79" s="70">
        <v>10</v>
      </c>
      <c r="K79" s="71">
        <v>0</v>
      </c>
      <c r="L79" s="71">
        <v>0</v>
      </c>
      <c r="M79" s="71">
        <v>0</v>
      </c>
      <c r="N79" s="71">
        <v>0</v>
      </c>
      <c r="O79" s="71">
        <v>0</v>
      </c>
      <c r="P79" s="71">
        <v>0</v>
      </c>
      <c r="Q79" s="71">
        <v>0</v>
      </c>
      <c r="R79" s="71">
        <v>0</v>
      </c>
      <c r="S79" s="26"/>
      <c r="T79" s="28">
        <f>VLOOKUP(D79:D225,'[1]Lista de artículos (1)'!$A$3:$I$553,7)</f>
        <v>493144.23993277305</v>
      </c>
      <c r="U79" s="28" t="e">
        <f>VLOOKUP(D79,'[1]Lista de artículos (1)'!$A$3:$G$553,7,0)</f>
        <v>#N/A</v>
      </c>
      <c r="V79" s="28">
        <v>21900</v>
      </c>
      <c r="W79" s="28" t="s">
        <v>24</v>
      </c>
      <c r="X79" s="32" t="s">
        <v>25</v>
      </c>
      <c r="Y79" s="72" t="s">
        <v>25</v>
      </c>
      <c r="Z79" s="72" t="s">
        <v>25</v>
      </c>
      <c r="AA79" s="73" t="s">
        <v>25</v>
      </c>
      <c r="AB79" s="73" t="s">
        <v>24</v>
      </c>
      <c r="AC79" s="72" t="s">
        <v>24</v>
      </c>
      <c r="AD79" s="115" t="s">
        <v>24</v>
      </c>
      <c r="AG79" s="73">
        <f t="shared" si="1"/>
        <v>21900</v>
      </c>
      <c r="AH79" s="73">
        <v>21900</v>
      </c>
      <c r="AI79" s="73">
        <v>4161</v>
      </c>
      <c r="AJ79" s="73">
        <v>26061</v>
      </c>
    </row>
    <row r="80" spans="1:36" ht="33" x14ac:dyDescent="0.25">
      <c r="A80" s="32">
        <v>78</v>
      </c>
      <c r="B80" s="23">
        <v>1043205807</v>
      </c>
      <c r="C80" s="24" t="s">
        <v>20</v>
      </c>
      <c r="D80" s="113" t="s">
        <v>304</v>
      </c>
      <c r="E80" s="26" t="s">
        <v>302</v>
      </c>
      <c r="F80" s="114" t="s">
        <v>304</v>
      </c>
      <c r="G80" s="26" t="e">
        <v>#N/A</v>
      </c>
      <c r="H80" s="26" t="e">
        <v>#N/A</v>
      </c>
      <c r="I80" s="26" t="s">
        <v>20</v>
      </c>
      <c r="J80" s="70">
        <v>1</v>
      </c>
      <c r="K80" s="71">
        <v>0</v>
      </c>
      <c r="L80" s="71">
        <v>0</v>
      </c>
      <c r="M80" s="71">
        <v>0</v>
      </c>
      <c r="N80" s="71">
        <v>0</v>
      </c>
      <c r="O80" s="71">
        <v>0</v>
      </c>
      <c r="P80" s="71">
        <v>0</v>
      </c>
      <c r="Q80" s="71">
        <v>0</v>
      </c>
      <c r="R80" s="71">
        <v>0</v>
      </c>
      <c r="S80" s="26"/>
      <c r="T80" s="28">
        <f>VLOOKUP(D80:D226,'[1]Lista de artículos (1)'!$A$3:$I$553,7)</f>
        <v>493144.23993277305</v>
      </c>
      <c r="U80" s="28" t="e">
        <f>VLOOKUP(D80,'[1]Lista de artículos (1)'!$A$3:$G$553,7,0)</f>
        <v>#N/A</v>
      </c>
      <c r="V80" s="26" t="s">
        <v>176</v>
      </c>
      <c r="W80" s="26" t="s">
        <v>176</v>
      </c>
      <c r="X80" s="32" t="s">
        <v>25</v>
      </c>
      <c r="Y80" s="72">
        <v>133118</v>
      </c>
      <c r="Z80" s="72" t="s">
        <v>25</v>
      </c>
      <c r="AA80" s="73" t="s">
        <v>25</v>
      </c>
      <c r="AB80" s="73" t="s">
        <v>24</v>
      </c>
      <c r="AC80" s="72" t="s">
        <v>24</v>
      </c>
      <c r="AD80" s="32" t="s">
        <v>176</v>
      </c>
      <c r="AG80" s="73">
        <f t="shared" si="1"/>
        <v>133118</v>
      </c>
      <c r="AH80" s="73">
        <v>133118</v>
      </c>
      <c r="AI80" s="73">
        <v>25292.42</v>
      </c>
      <c r="AJ80" s="73">
        <v>158410.41999999998</v>
      </c>
    </row>
    <row r="81" spans="1:36" ht="33" x14ac:dyDescent="0.25">
      <c r="A81" s="32">
        <v>79</v>
      </c>
      <c r="B81" s="23">
        <v>1043205808</v>
      </c>
      <c r="C81" s="24" t="s">
        <v>20</v>
      </c>
      <c r="D81" s="113" t="s">
        <v>305</v>
      </c>
      <c r="E81" s="26" t="s">
        <v>302</v>
      </c>
      <c r="F81" s="114" t="s">
        <v>305</v>
      </c>
      <c r="G81" s="26" t="e">
        <v>#N/A</v>
      </c>
      <c r="H81" s="26" t="e">
        <v>#N/A</v>
      </c>
      <c r="I81" s="26" t="s">
        <v>20</v>
      </c>
      <c r="J81" s="70">
        <v>1</v>
      </c>
      <c r="K81" s="71">
        <v>0</v>
      </c>
      <c r="L81" s="71">
        <v>0</v>
      </c>
      <c r="M81" s="71">
        <v>0</v>
      </c>
      <c r="N81" s="71">
        <v>0</v>
      </c>
      <c r="O81" s="71">
        <v>0</v>
      </c>
      <c r="P81" s="71">
        <v>0</v>
      </c>
      <c r="Q81" s="71">
        <v>0</v>
      </c>
      <c r="R81" s="71">
        <v>0</v>
      </c>
      <c r="S81" s="26"/>
      <c r="T81" s="28">
        <f>VLOOKUP(D81:D227,'[1]Lista de artículos (1)'!$A$3:$I$553,7)</f>
        <v>493144.23993277305</v>
      </c>
      <c r="U81" s="28" t="e">
        <f>VLOOKUP(D81,'[1]Lista de artículos (1)'!$A$3:$G$553,7,0)</f>
        <v>#N/A</v>
      </c>
      <c r="V81" s="26" t="s">
        <v>176</v>
      </c>
      <c r="W81" s="26" t="s">
        <v>176</v>
      </c>
      <c r="X81" s="32" t="s">
        <v>25</v>
      </c>
      <c r="Y81" s="72">
        <v>62801</v>
      </c>
      <c r="Z81" s="72" t="s">
        <v>25</v>
      </c>
      <c r="AA81" s="73" t="s">
        <v>25</v>
      </c>
      <c r="AB81" s="73" t="s">
        <v>24</v>
      </c>
      <c r="AC81" s="72" t="s">
        <v>24</v>
      </c>
      <c r="AD81" s="32" t="s">
        <v>176</v>
      </c>
      <c r="AG81" s="73">
        <f t="shared" si="1"/>
        <v>62801</v>
      </c>
      <c r="AH81" s="73">
        <v>62801</v>
      </c>
      <c r="AI81" s="73">
        <v>11932.19</v>
      </c>
      <c r="AJ81" s="73">
        <v>74733.19</v>
      </c>
    </row>
    <row r="82" spans="1:36" ht="33" x14ac:dyDescent="0.25">
      <c r="A82" s="32">
        <v>80</v>
      </c>
      <c r="B82" s="23">
        <v>1043205809</v>
      </c>
      <c r="C82" s="24" t="s">
        <v>20</v>
      </c>
      <c r="D82" s="113" t="s">
        <v>306</v>
      </c>
      <c r="E82" s="26" t="s">
        <v>302</v>
      </c>
      <c r="F82" s="114" t="s">
        <v>306</v>
      </c>
      <c r="G82" s="26" t="e">
        <v>#N/A</v>
      </c>
      <c r="H82" s="26" t="e">
        <v>#N/A</v>
      </c>
      <c r="I82" s="26" t="s">
        <v>20</v>
      </c>
      <c r="J82" s="70">
        <v>1</v>
      </c>
      <c r="K82" s="71">
        <v>0</v>
      </c>
      <c r="L82" s="71">
        <v>0</v>
      </c>
      <c r="M82" s="71">
        <v>0</v>
      </c>
      <c r="N82" s="71">
        <v>0</v>
      </c>
      <c r="O82" s="71">
        <v>0</v>
      </c>
      <c r="P82" s="71">
        <v>0</v>
      </c>
      <c r="Q82" s="71">
        <v>0</v>
      </c>
      <c r="R82" s="71">
        <v>0</v>
      </c>
      <c r="S82" s="26"/>
      <c r="T82" s="28">
        <f>VLOOKUP(D82:D228,'[1]Lista de artículos (1)'!$A$3:$I$553,7)</f>
        <v>493144.23993277305</v>
      </c>
      <c r="U82" s="28" t="e">
        <f>VLOOKUP(D82,'[1]Lista de artículos (1)'!$A$3:$G$553,7,0)</f>
        <v>#N/A</v>
      </c>
      <c r="V82" s="26" t="s">
        <v>176</v>
      </c>
      <c r="W82" s="26" t="s">
        <v>176</v>
      </c>
      <c r="X82" s="32" t="s">
        <v>25</v>
      </c>
      <c r="Y82" s="72">
        <v>75348</v>
      </c>
      <c r="Z82" s="72" t="s">
        <v>25</v>
      </c>
      <c r="AA82" s="73" t="s">
        <v>25</v>
      </c>
      <c r="AB82" s="73" t="s">
        <v>24</v>
      </c>
      <c r="AC82" s="72" t="s">
        <v>24</v>
      </c>
      <c r="AD82" s="32" t="s">
        <v>176</v>
      </c>
      <c r="AG82" s="73">
        <f t="shared" si="1"/>
        <v>75348</v>
      </c>
      <c r="AH82" s="73">
        <v>75348</v>
      </c>
      <c r="AI82" s="73">
        <v>14316.12</v>
      </c>
      <c r="AJ82" s="73">
        <v>89664.12</v>
      </c>
    </row>
    <row r="83" spans="1:36" ht="33" x14ac:dyDescent="0.25">
      <c r="A83" s="32">
        <v>81</v>
      </c>
      <c r="B83" s="23">
        <v>1043205810</v>
      </c>
      <c r="C83" s="24" t="s">
        <v>20</v>
      </c>
      <c r="D83" s="113" t="s">
        <v>307</v>
      </c>
      <c r="E83" s="26" t="s">
        <v>302</v>
      </c>
      <c r="F83" s="114" t="s">
        <v>307</v>
      </c>
      <c r="G83" s="26" t="e">
        <v>#N/A</v>
      </c>
      <c r="H83" s="26" t="e">
        <v>#N/A</v>
      </c>
      <c r="I83" s="26" t="s">
        <v>20</v>
      </c>
      <c r="J83" s="70">
        <v>1</v>
      </c>
      <c r="K83" s="71">
        <v>0</v>
      </c>
      <c r="L83" s="71">
        <v>0</v>
      </c>
      <c r="M83" s="71">
        <v>0</v>
      </c>
      <c r="N83" s="71">
        <v>0</v>
      </c>
      <c r="O83" s="71">
        <v>0</v>
      </c>
      <c r="P83" s="71">
        <v>0</v>
      </c>
      <c r="Q83" s="71">
        <v>0</v>
      </c>
      <c r="R83" s="71">
        <v>0</v>
      </c>
      <c r="S83" s="26"/>
      <c r="T83" s="28">
        <f>VLOOKUP(D83:D229,'[1]Lista de artículos (1)'!$A$3:$I$553,7)</f>
        <v>493144.23993277305</v>
      </c>
      <c r="U83" s="28" t="e">
        <f>VLOOKUP(D83,'[1]Lista de artículos (1)'!$A$3:$G$553,7,0)</f>
        <v>#N/A</v>
      </c>
      <c r="V83" s="28">
        <v>49900</v>
      </c>
      <c r="W83" s="28" t="s">
        <v>308</v>
      </c>
      <c r="X83" s="32" t="s">
        <v>25</v>
      </c>
      <c r="Y83" s="72" t="s">
        <v>25</v>
      </c>
      <c r="Z83" s="72" t="s">
        <v>25</v>
      </c>
      <c r="AA83" s="73" t="s">
        <v>25</v>
      </c>
      <c r="AB83" s="73" t="s">
        <v>24</v>
      </c>
      <c r="AC83" s="72" t="s">
        <v>24</v>
      </c>
      <c r="AD83" s="115" t="s">
        <v>24</v>
      </c>
      <c r="AG83" s="73">
        <f t="shared" si="1"/>
        <v>49900</v>
      </c>
      <c r="AH83" s="73">
        <v>49900</v>
      </c>
      <c r="AI83" s="73">
        <v>9481</v>
      </c>
      <c r="AJ83" s="73">
        <v>59381</v>
      </c>
    </row>
    <row r="84" spans="1:36" ht="33" x14ac:dyDescent="0.25">
      <c r="A84" s="32">
        <v>82</v>
      </c>
      <c r="B84" s="23">
        <v>1043205811</v>
      </c>
      <c r="C84" s="24" t="s">
        <v>20</v>
      </c>
      <c r="D84" s="113" t="s">
        <v>309</v>
      </c>
      <c r="E84" s="26" t="s">
        <v>302</v>
      </c>
      <c r="F84" s="114" t="s">
        <v>309</v>
      </c>
      <c r="G84" s="26" t="e">
        <v>#N/A</v>
      </c>
      <c r="H84" s="26" t="e">
        <v>#N/A</v>
      </c>
      <c r="I84" s="26" t="s">
        <v>20</v>
      </c>
      <c r="J84" s="70">
        <v>1</v>
      </c>
      <c r="K84" s="71">
        <v>0</v>
      </c>
      <c r="L84" s="71">
        <v>0</v>
      </c>
      <c r="M84" s="71">
        <v>0</v>
      </c>
      <c r="N84" s="71">
        <v>0</v>
      </c>
      <c r="O84" s="71">
        <v>0</v>
      </c>
      <c r="P84" s="71">
        <v>0</v>
      </c>
      <c r="Q84" s="71">
        <v>0</v>
      </c>
      <c r="R84" s="71">
        <v>0</v>
      </c>
      <c r="S84" s="26"/>
      <c r="T84" s="28">
        <f>VLOOKUP(D84:D230,'[1]Lista de artículos (1)'!$A$3:$I$553,7)</f>
        <v>493144.23993277305</v>
      </c>
      <c r="U84" s="28" t="e">
        <f>VLOOKUP(D84,'[1]Lista de artículos (1)'!$A$3:$G$553,7,0)</f>
        <v>#N/A</v>
      </c>
      <c r="V84" s="28">
        <v>49900</v>
      </c>
      <c r="W84" s="28" t="s">
        <v>37</v>
      </c>
      <c r="X84" s="32" t="s">
        <v>25</v>
      </c>
      <c r="Y84" s="72" t="s">
        <v>25</v>
      </c>
      <c r="Z84" s="72" t="s">
        <v>25</v>
      </c>
      <c r="AA84" s="73" t="s">
        <v>25</v>
      </c>
      <c r="AB84" s="73" t="s">
        <v>24</v>
      </c>
      <c r="AC84" s="72" t="s">
        <v>24</v>
      </c>
      <c r="AD84" s="115" t="s">
        <v>24</v>
      </c>
      <c r="AG84" s="73">
        <f t="shared" si="1"/>
        <v>49900</v>
      </c>
      <c r="AH84" s="73">
        <v>49900</v>
      </c>
      <c r="AI84" s="73">
        <v>9481</v>
      </c>
      <c r="AJ84" s="73">
        <v>59381</v>
      </c>
    </row>
    <row r="85" spans="1:36" ht="33" x14ac:dyDescent="0.25">
      <c r="A85" s="32">
        <v>83</v>
      </c>
      <c r="B85" s="23">
        <v>1043205814</v>
      </c>
      <c r="C85" s="24" t="s">
        <v>20</v>
      </c>
      <c r="D85" s="113" t="s">
        <v>310</v>
      </c>
      <c r="E85" s="26" t="s">
        <v>302</v>
      </c>
      <c r="F85" s="114" t="s">
        <v>310</v>
      </c>
      <c r="G85" s="26" t="e">
        <v>#N/A</v>
      </c>
      <c r="H85" s="26" t="e">
        <v>#N/A</v>
      </c>
      <c r="I85" s="26" t="s">
        <v>20</v>
      </c>
      <c r="J85" s="70">
        <v>1</v>
      </c>
      <c r="K85" s="71">
        <v>0</v>
      </c>
      <c r="L85" s="71">
        <v>0</v>
      </c>
      <c r="M85" s="71">
        <v>0</v>
      </c>
      <c r="N85" s="71">
        <v>0</v>
      </c>
      <c r="O85" s="71">
        <v>0</v>
      </c>
      <c r="P85" s="71">
        <v>0</v>
      </c>
      <c r="Q85" s="71">
        <v>0</v>
      </c>
      <c r="R85" s="71">
        <v>0</v>
      </c>
      <c r="S85" s="26"/>
      <c r="T85" s="28">
        <f>VLOOKUP(D85:D231,'[1]Lista de artículos (1)'!$A$3:$I$553,7)</f>
        <v>493144.23993277305</v>
      </c>
      <c r="U85" s="28" t="e">
        <f>VLOOKUP(D85,'[1]Lista de artículos (1)'!$A$3:$G$553,7,0)</f>
        <v>#N/A</v>
      </c>
      <c r="V85" s="28">
        <v>38900</v>
      </c>
      <c r="W85" s="28">
        <v>45000</v>
      </c>
      <c r="X85" s="32" t="s">
        <v>25</v>
      </c>
      <c r="Y85" s="72" t="s">
        <v>25</v>
      </c>
      <c r="Z85" s="72" t="s">
        <v>25</v>
      </c>
      <c r="AA85" s="73" t="s">
        <v>25</v>
      </c>
      <c r="AB85" s="73" t="s">
        <v>24</v>
      </c>
      <c r="AC85" s="72" t="s">
        <v>24</v>
      </c>
      <c r="AD85" s="115" t="s">
        <v>24</v>
      </c>
      <c r="AG85" s="73">
        <f t="shared" si="1"/>
        <v>38900</v>
      </c>
      <c r="AH85" s="73">
        <v>41950</v>
      </c>
      <c r="AI85" s="73">
        <v>7970.5</v>
      </c>
      <c r="AJ85" s="73">
        <v>49920.5</v>
      </c>
    </row>
    <row r="86" spans="1:36" ht="33" x14ac:dyDescent="0.25">
      <c r="A86" s="32">
        <v>84</v>
      </c>
      <c r="B86" s="23">
        <v>1043205815</v>
      </c>
      <c r="C86" s="24" t="s">
        <v>20</v>
      </c>
      <c r="D86" s="113" t="s">
        <v>311</v>
      </c>
      <c r="E86" s="26" t="s">
        <v>302</v>
      </c>
      <c r="F86" s="114" t="s">
        <v>312</v>
      </c>
      <c r="G86" s="26" t="e">
        <v>#N/A</v>
      </c>
      <c r="H86" s="26" t="e">
        <v>#N/A</v>
      </c>
      <c r="I86" s="26" t="s">
        <v>20</v>
      </c>
      <c r="J86" s="70">
        <v>1</v>
      </c>
      <c r="K86" s="71">
        <v>0</v>
      </c>
      <c r="L86" s="71">
        <v>0</v>
      </c>
      <c r="M86" s="71">
        <v>0</v>
      </c>
      <c r="N86" s="71">
        <v>0</v>
      </c>
      <c r="O86" s="71">
        <v>0</v>
      </c>
      <c r="P86" s="71">
        <v>0</v>
      </c>
      <c r="Q86" s="71">
        <v>0</v>
      </c>
      <c r="R86" s="71">
        <v>0</v>
      </c>
      <c r="S86" s="26"/>
      <c r="T86" s="28">
        <f>VLOOKUP(D86:D232,'[1]Lista de artículos (1)'!$A$3:$I$553,7)</f>
        <v>493144.23993277305</v>
      </c>
      <c r="U86" s="28" t="e">
        <f>VLOOKUP(D86,'[1]Lista de artículos (1)'!$A$3:$G$553,7,0)</f>
        <v>#N/A</v>
      </c>
      <c r="V86" s="26" t="s">
        <v>176</v>
      </c>
      <c r="W86" s="26" t="s">
        <v>176</v>
      </c>
      <c r="X86" s="32" t="s">
        <v>25</v>
      </c>
      <c r="Y86" s="72">
        <v>24915</v>
      </c>
      <c r="Z86" s="72" t="s">
        <v>25</v>
      </c>
      <c r="AA86" s="73" t="s">
        <v>25</v>
      </c>
      <c r="AB86" s="73" t="s">
        <v>24</v>
      </c>
      <c r="AC86" s="72" t="s">
        <v>24</v>
      </c>
      <c r="AD86" s="32" t="s">
        <v>176</v>
      </c>
      <c r="AG86" s="73">
        <f t="shared" si="1"/>
        <v>24915</v>
      </c>
      <c r="AH86" s="73">
        <v>24915</v>
      </c>
      <c r="AI86" s="73">
        <v>4733.8500000000004</v>
      </c>
      <c r="AJ86" s="73">
        <v>29648.85</v>
      </c>
    </row>
    <row r="87" spans="1:36" ht="33" x14ac:dyDescent="0.25">
      <c r="A87" s="32">
        <v>85</v>
      </c>
      <c r="B87" s="23">
        <v>1043205816</v>
      </c>
      <c r="C87" s="24" t="s">
        <v>20</v>
      </c>
      <c r="D87" s="113" t="s">
        <v>313</v>
      </c>
      <c r="E87" s="26" t="s">
        <v>302</v>
      </c>
      <c r="F87" s="114" t="s">
        <v>314</v>
      </c>
      <c r="G87" s="26" t="e">
        <v>#N/A</v>
      </c>
      <c r="H87" s="26" t="e">
        <v>#N/A</v>
      </c>
      <c r="I87" s="26" t="s">
        <v>20</v>
      </c>
      <c r="J87" s="70">
        <v>1</v>
      </c>
      <c r="K87" s="71">
        <v>0</v>
      </c>
      <c r="L87" s="71">
        <v>0</v>
      </c>
      <c r="M87" s="71">
        <v>0</v>
      </c>
      <c r="N87" s="71">
        <v>0</v>
      </c>
      <c r="O87" s="71">
        <v>0</v>
      </c>
      <c r="P87" s="71">
        <v>0</v>
      </c>
      <c r="Q87" s="71">
        <v>0</v>
      </c>
      <c r="R87" s="71">
        <v>0</v>
      </c>
      <c r="S87" s="26"/>
      <c r="T87" s="28">
        <f>VLOOKUP(D87:D233,'[1]Lista de artículos (1)'!$A$3:$I$553,7)</f>
        <v>493144.23993277305</v>
      </c>
      <c r="U87" s="28" t="e">
        <f>VLOOKUP(D87,'[1]Lista de artículos (1)'!$A$3:$G$553,7,0)</f>
        <v>#N/A</v>
      </c>
      <c r="V87" s="28">
        <v>66489</v>
      </c>
      <c r="W87" s="28">
        <v>34900</v>
      </c>
      <c r="X87" s="32" t="s">
        <v>25</v>
      </c>
      <c r="Y87" s="72" t="s">
        <v>25</v>
      </c>
      <c r="Z87" s="72" t="s">
        <v>25</v>
      </c>
      <c r="AA87" s="73" t="s">
        <v>25</v>
      </c>
      <c r="AB87" s="73" t="s">
        <v>24</v>
      </c>
      <c r="AC87" s="72" t="s">
        <v>24</v>
      </c>
      <c r="AD87" s="115" t="s">
        <v>24</v>
      </c>
      <c r="AG87" s="73">
        <f t="shared" si="1"/>
        <v>34900</v>
      </c>
      <c r="AH87" s="73">
        <v>50694.5</v>
      </c>
      <c r="AI87" s="73">
        <v>9631.9549999999999</v>
      </c>
      <c r="AJ87" s="73">
        <v>60326.455000000002</v>
      </c>
    </row>
    <row r="88" spans="1:36" ht="33" x14ac:dyDescent="0.25">
      <c r="A88" s="32">
        <v>86</v>
      </c>
      <c r="B88" s="23">
        <v>1043205818</v>
      </c>
      <c r="C88" s="24" t="s">
        <v>20</v>
      </c>
      <c r="D88" s="113" t="s">
        <v>315</v>
      </c>
      <c r="E88" s="26" t="s">
        <v>302</v>
      </c>
      <c r="F88" s="114" t="s">
        <v>316</v>
      </c>
      <c r="G88" s="26" t="e">
        <v>#N/A</v>
      </c>
      <c r="H88" s="26" t="e">
        <v>#N/A</v>
      </c>
      <c r="I88" s="26" t="s">
        <v>20</v>
      </c>
      <c r="J88" s="70">
        <v>1</v>
      </c>
      <c r="K88" s="71">
        <v>0</v>
      </c>
      <c r="L88" s="71">
        <v>0</v>
      </c>
      <c r="M88" s="71">
        <v>0</v>
      </c>
      <c r="N88" s="71">
        <v>0</v>
      </c>
      <c r="O88" s="71">
        <v>0</v>
      </c>
      <c r="P88" s="71">
        <v>0</v>
      </c>
      <c r="Q88" s="71">
        <v>0</v>
      </c>
      <c r="R88" s="71">
        <v>0</v>
      </c>
      <c r="S88" s="26"/>
      <c r="T88" s="28">
        <f>VLOOKUP(D88:D235,'[1]Lista de artículos (1)'!$A$3:$I$553,7)</f>
        <v>493144.23993277305</v>
      </c>
      <c r="U88" s="28" t="e">
        <f>VLOOKUP(D88,'[1]Lista de artículos (1)'!$A$3:$G$553,7,0)</f>
        <v>#N/A</v>
      </c>
      <c r="V88" s="28">
        <v>38900</v>
      </c>
      <c r="W88" s="28">
        <v>45000</v>
      </c>
      <c r="X88" s="32" t="s">
        <v>25</v>
      </c>
      <c r="Y88" s="72" t="s">
        <v>25</v>
      </c>
      <c r="Z88" s="72" t="s">
        <v>25</v>
      </c>
      <c r="AA88" s="73" t="s">
        <v>25</v>
      </c>
      <c r="AB88" s="73" t="s">
        <v>24</v>
      </c>
      <c r="AC88" s="72" t="s">
        <v>24</v>
      </c>
      <c r="AD88" s="115" t="s">
        <v>24</v>
      </c>
      <c r="AG88" s="73">
        <f t="shared" si="1"/>
        <v>38900</v>
      </c>
      <c r="AH88" s="73">
        <v>41950</v>
      </c>
      <c r="AI88" s="73">
        <v>7970.5</v>
      </c>
      <c r="AJ88" s="73">
        <v>49920.5</v>
      </c>
    </row>
    <row r="89" spans="1:36" ht="49.5" x14ac:dyDescent="0.25">
      <c r="A89" s="32">
        <v>87</v>
      </c>
      <c r="B89" s="23">
        <v>1043205819</v>
      </c>
      <c r="C89" s="24" t="s">
        <v>20</v>
      </c>
      <c r="D89" s="113" t="s">
        <v>317</v>
      </c>
      <c r="E89" s="26" t="s">
        <v>302</v>
      </c>
      <c r="F89" s="114" t="s">
        <v>318</v>
      </c>
      <c r="G89" s="26" t="e">
        <v>#N/A</v>
      </c>
      <c r="H89" s="26" t="e">
        <v>#N/A</v>
      </c>
      <c r="I89" s="26" t="s">
        <v>20</v>
      </c>
      <c r="J89" s="70">
        <v>33125.03</v>
      </c>
      <c r="K89" s="71">
        <v>0</v>
      </c>
      <c r="L89" s="71">
        <v>0</v>
      </c>
      <c r="M89" s="71">
        <v>0</v>
      </c>
      <c r="N89" s="71">
        <v>0</v>
      </c>
      <c r="O89" s="71">
        <v>20</v>
      </c>
      <c r="P89" s="71">
        <v>1.6666666666666667</v>
      </c>
      <c r="Q89" s="71">
        <v>0</v>
      </c>
      <c r="R89" s="71">
        <v>0</v>
      </c>
      <c r="S89" s="26"/>
      <c r="T89" s="28">
        <f>VLOOKUP(D89:D236,'[1]Lista de artículos (1)'!$A$3:$I$553,7)</f>
        <v>493144.23993277305</v>
      </c>
      <c r="U89" s="28" t="e">
        <f>VLOOKUP(D89,'[1]Lista de artículos (1)'!$A$3:$G$553,7,0)</f>
        <v>#N/A</v>
      </c>
      <c r="V89" s="28">
        <v>49900</v>
      </c>
      <c r="W89" s="28" t="s">
        <v>24</v>
      </c>
      <c r="X89" s="32" t="s">
        <v>25</v>
      </c>
      <c r="Y89" s="72" t="s">
        <v>25</v>
      </c>
      <c r="Z89" s="72" t="s">
        <v>25</v>
      </c>
      <c r="AA89" s="73" t="s">
        <v>25</v>
      </c>
      <c r="AB89" s="73" t="s">
        <v>24</v>
      </c>
      <c r="AC89" s="72" t="s">
        <v>24</v>
      </c>
      <c r="AD89" s="115" t="s">
        <v>24</v>
      </c>
      <c r="AG89" s="73">
        <f t="shared" si="1"/>
        <v>49900</v>
      </c>
      <c r="AH89" s="73">
        <v>49900</v>
      </c>
      <c r="AI89" s="73">
        <v>9481</v>
      </c>
      <c r="AJ89" s="73">
        <v>59381</v>
      </c>
    </row>
    <row r="90" spans="1:36" ht="49.5" x14ac:dyDescent="0.25">
      <c r="A90" s="32">
        <v>88</v>
      </c>
      <c r="B90" s="23">
        <v>1043205822</v>
      </c>
      <c r="C90" s="24" t="s">
        <v>20</v>
      </c>
      <c r="D90" s="113" t="s">
        <v>319</v>
      </c>
      <c r="E90" s="26" t="s">
        <v>302</v>
      </c>
      <c r="F90" s="114" t="s">
        <v>320</v>
      </c>
      <c r="G90" s="26" t="e">
        <v>#N/A</v>
      </c>
      <c r="H90" s="26" t="e">
        <v>#N/A</v>
      </c>
      <c r="I90" s="26" t="s">
        <v>20</v>
      </c>
      <c r="J90" s="70">
        <v>1</v>
      </c>
      <c r="K90" s="71">
        <v>0</v>
      </c>
      <c r="L90" s="71">
        <v>0</v>
      </c>
      <c r="M90" s="71">
        <v>0</v>
      </c>
      <c r="N90" s="71">
        <v>0</v>
      </c>
      <c r="O90" s="71">
        <v>0</v>
      </c>
      <c r="P90" s="71">
        <v>0</v>
      </c>
      <c r="Q90" s="71">
        <v>0</v>
      </c>
      <c r="R90" s="71">
        <v>0</v>
      </c>
      <c r="S90" s="26"/>
      <c r="T90" s="28">
        <f>VLOOKUP(D90:D237,'[1]Lista de artículos (1)'!$A$3:$I$553,7)</f>
        <v>30916.350426554625</v>
      </c>
      <c r="U90" s="28" t="e">
        <f>VLOOKUP(D90,'[1]Lista de artículos (1)'!$A$3:$G$553,7,0)</f>
        <v>#N/A</v>
      </c>
      <c r="V90" s="26" t="s">
        <v>176</v>
      </c>
      <c r="W90" s="26" t="s">
        <v>176</v>
      </c>
      <c r="X90" s="32" t="s">
        <v>25</v>
      </c>
      <c r="Y90" s="72" t="s">
        <v>25</v>
      </c>
      <c r="Z90" s="72" t="s">
        <v>25</v>
      </c>
      <c r="AA90" s="73" t="s">
        <v>25</v>
      </c>
      <c r="AB90" s="73" t="s">
        <v>24</v>
      </c>
      <c r="AC90" s="72">
        <v>37526</v>
      </c>
      <c r="AD90" s="32" t="s">
        <v>176</v>
      </c>
      <c r="AG90" s="73">
        <f t="shared" si="1"/>
        <v>37526</v>
      </c>
      <c r="AH90" s="73">
        <v>37526</v>
      </c>
      <c r="AI90" s="73">
        <v>7129.94</v>
      </c>
      <c r="AJ90" s="73">
        <v>44655.94</v>
      </c>
    </row>
    <row r="91" spans="1:36" ht="49.5" x14ac:dyDescent="0.25">
      <c r="A91" s="32">
        <v>89</v>
      </c>
      <c r="B91" s="23">
        <v>1043205812</v>
      </c>
      <c r="C91" s="24" t="s">
        <v>20</v>
      </c>
      <c r="D91" s="113" t="s">
        <v>321</v>
      </c>
      <c r="E91" s="26" t="s">
        <v>302</v>
      </c>
      <c r="F91" s="114" t="s">
        <v>322</v>
      </c>
      <c r="G91" s="26" t="e">
        <v>#N/A</v>
      </c>
      <c r="H91" s="26" t="e">
        <v>#N/A</v>
      </c>
      <c r="I91" s="26" t="s">
        <v>20</v>
      </c>
      <c r="J91" s="70">
        <v>24800</v>
      </c>
      <c r="K91" s="71">
        <v>0</v>
      </c>
      <c r="L91" s="71">
        <v>0</v>
      </c>
      <c r="M91" s="71">
        <v>0</v>
      </c>
      <c r="N91" s="71">
        <v>0</v>
      </c>
      <c r="O91" s="71">
        <v>31.5</v>
      </c>
      <c r="P91" s="71">
        <v>2.625</v>
      </c>
      <c r="Q91" s="71">
        <v>0</v>
      </c>
      <c r="R91" s="71">
        <v>0</v>
      </c>
      <c r="S91" s="26"/>
      <c r="T91" s="28">
        <f>VLOOKUP(D91:D238,'[1]Lista de artículos (1)'!$A$3:$I$553,7)</f>
        <v>30916.350426554625</v>
      </c>
      <c r="U91" s="28" t="e">
        <f>VLOOKUP(D91,'[1]Lista de artículos (1)'!$A$3:$G$553,7,0)</f>
        <v>#N/A</v>
      </c>
      <c r="V91" s="26" t="s">
        <v>176</v>
      </c>
      <c r="W91" s="26" t="s">
        <v>176</v>
      </c>
      <c r="X91" s="32" t="s">
        <v>25</v>
      </c>
      <c r="Y91" s="72">
        <v>71856</v>
      </c>
      <c r="Z91" s="72" t="s">
        <v>25</v>
      </c>
      <c r="AA91" s="73" t="s">
        <v>25</v>
      </c>
      <c r="AB91" s="73" t="s">
        <v>24</v>
      </c>
      <c r="AC91" s="72">
        <v>37526</v>
      </c>
      <c r="AD91" s="32" t="s">
        <v>176</v>
      </c>
      <c r="AG91" s="73">
        <f t="shared" si="1"/>
        <v>37526</v>
      </c>
      <c r="AH91" s="73">
        <v>54691</v>
      </c>
      <c r="AI91" s="73">
        <v>10391.290000000001</v>
      </c>
      <c r="AJ91" s="73">
        <v>65082.29</v>
      </c>
    </row>
    <row r="92" spans="1:36" ht="49.5" x14ac:dyDescent="0.25">
      <c r="A92" s="32">
        <v>90</v>
      </c>
      <c r="B92" s="23">
        <v>1043205813</v>
      </c>
      <c r="C92" s="24" t="s">
        <v>20</v>
      </c>
      <c r="D92" s="113" t="s">
        <v>323</v>
      </c>
      <c r="E92" s="26" t="s">
        <v>302</v>
      </c>
      <c r="F92" s="114" t="s">
        <v>324</v>
      </c>
      <c r="G92" s="26" t="e">
        <v>#N/A</v>
      </c>
      <c r="H92" s="26" t="e">
        <v>#N/A</v>
      </c>
      <c r="I92" s="26" t="s">
        <v>20</v>
      </c>
      <c r="J92" s="70">
        <v>1</v>
      </c>
      <c r="K92" s="71">
        <v>0</v>
      </c>
      <c r="L92" s="71">
        <v>0</v>
      </c>
      <c r="M92" s="71">
        <v>0</v>
      </c>
      <c r="N92" s="71">
        <v>0</v>
      </c>
      <c r="O92" s="71">
        <v>0</v>
      </c>
      <c r="P92" s="71">
        <v>0</v>
      </c>
      <c r="Q92" s="71">
        <v>0</v>
      </c>
      <c r="R92" s="71">
        <v>0</v>
      </c>
      <c r="S92" s="26"/>
      <c r="T92" s="28">
        <f>VLOOKUP(D92:D239,'[1]Lista de artículos (1)'!$A$3:$I$553,7)</f>
        <v>30916.350426554625</v>
      </c>
      <c r="U92" s="28" t="e">
        <f>VLOOKUP(D92,'[1]Lista de artículos (1)'!$A$3:$G$553,7,0)</f>
        <v>#N/A</v>
      </c>
      <c r="V92" s="26" t="s">
        <v>176</v>
      </c>
      <c r="W92" s="26" t="s">
        <v>176</v>
      </c>
      <c r="X92" s="32" t="s">
        <v>25</v>
      </c>
      <c r="Y92" s="72">
        <v>84640</v>
      </c>
      <c r="Z92" s="72" t="s">
        <v>25</v>
      </c>
      <c r="AA92" s="73" t="s">
        <v>25</v>
      </c>
      <c r="AB92" s="73" t="s">
        <v>24</v>
      </c>
      <c r="AC92" s="72" t="s">
        <v>24</v>
      </c>
      <c r="AD92" s="32" t="s">
        <v>176</v>
      </c>
      <c r="AG92" s="73">
        <f t="shared" si="1"/>
        <v>84640</v>
      </c>
      <c r="AH92" s="73">
        <v>84640</v>
      </c>
      <c r="AI92" s="73">
        <v>16081.6</v>
      </c>
      <c r="AJ92" s="73">
        <v>100721.60000000001</v>
      </c>
    </row>
    <row r="93" spans="1:36" ht="33" x14ac:dyDescent="0.25">
      <c r="A93" s="32">
        <v>91</v>
      </c>
      <c r="B93" s="23">
        <v>1043205827</v>
      </c>
      <c r="C93" s="24" t="s">
        <v>20</v>
      </c>
      <c r="D93" s="113" t="s">
        <v>325</v>
      </c>
      <c r="E93" s="26" t="s">
        <v>302</v>
      </c>
      <c r="F93" s="114" t="s">
        <v>326</v>
      </c>
      <c r="G93" s="26" t="e">
        <v>#N/A</v>
      </c>
      <c r="H93" s="26" t="e">
        <v>#N/A</v>
      </c>
      <c r="I93" s="26" t="s">
        <v>20</v>
      </c>
      <c r="J93" s="70">
        <v>1</v>
      </c>
      <c r="K93" s="71">
        <v>0</v>
      </c>
      <c r="L93" s="71">
        <v>0</v>
      </c>
      <c r="M93" s="71">
        <v>0</v>
      </c>
      <c r="N93" s="71">
        <v>0</v>
      </c>
      <c r="O93" s="71">
        <v>0</v>
      </c>
      <c r="P93" s="71">
        <v>0</v>
      </c>
      <c r="Q93" s="71">
        <v>0</v>
      </c>
      <c r="R93" s="71">
        <v>0</v>
      </c>
      <c r="S93" s="26"/>
      <c r="T93" s="28">
        <f>VLOOKUP(D93:D241,'[1]Lista de artículos (1)'!$A$3:$I$553,7)</f>
        <v>33192.400764705882</v>
      </c>
      <c r="U93" s="28" t="e">
        <f>VLOOKUP(D93,'[1]Lista de artículos (1)'!$A$3:$G$553,7,0)</f>
        <v>#N/A</v>
      </c>
      <c r="V93" s="28">
        <v>29900</v>
      </c>
      <c r="W93" s="28" t="s">
        <v>24</v>
      </c>
      <c r="X93" s="32" t="s">
        <v>25</v>
      </c>
      <c r="Y93" s="72" t="s">
        <v>25</v>
      </c>
      <c r="Z93" s="72" t="s">
        <v>25</v>
      </c>
      <c r="AA93" s="73" t="s">
        <v>25</v>
      </c>
      <c r="AB93" s="73" t="s">
        <v>24</v>
      </c>
      <c r="AC93" s="72" t="s">
        <v>24</v>
      </c>
      <c r="AD93" s="115" t="s">
        <v>24</v>
      </c>
      <c r="AG93" s="73">
        <f t="shared" si="1"/>
        <v>29900</v>
      </c>
      <c r="AH93" s="73">
        <v>29900</v>
      </c>
      <c r="AI93" s="73">
        <v>5681</v>
      </c>
      <c r="AJ93" s="73">
        <v>35581</v>
      </c>
    </row>
    <row r="94" spans="1:36" ht="33" x14ac:dyDescent="0.25">
      <c r="A94" s="32">
        <v>92</v>
      </c>
      <c r="B94" s="23">
        <v>1043205824</v>
      </c>
      <c r="C94" s="24" t="s">
        <v>20</v>
      </c>
      <c r="D94" s="113" t="s">
        <v>327</v>
      </c>
      <c r="E94" s="26" t="s">
        <v>302</v>
      </c>
      <c r="F94" s="114" t="s">
        <v>328</v>
      </c>
      <c r="G94" s="26" t="e">
        <v>#N/A</v>
      </c>
      <c r="H94" s="26" t="e">
        <v>#N/A</v>
      </c>
      <c r="I94" s="26" t="s">
        <v>20</v>
      </c>
      <c r="J94" s="70">
        <v>1</v>
      </c>
      <c r="K94" s="71">
        <v>0</v>
      </c>
      <c r="L94" s="71">
        <v>0</v>
      </c>
      <c r="M94" s="71">
        <v>0</v>
      </c>
      <c r="N94" s="71">
        <v>0</v>
      </c>
      <c r="O94" s="71">
        <v>0</v>
      </c>
      <c r="P94" s="71">
        <v>0</v>
      </c>
      <c r="Q94" s="71">
        <v>0</v>
      </c>
      <c r="R94" s="71">
        <v>0</v>
      </c>
      <c r="S94" s="26"/>
      <c r="T94" s="28">
        <f>VLOOKUP(D94:D242,'[1]Lista de artículos (1)'!$A$3:$I$553,7)</f>
        <v>33192.400764705882</v>
      </c>
      <c r="U94" s="28" t="e">
        <f>VLOOKUP(D94,'[1]Lista de artículos (1)'!$A$3:$G$553,7,0)</f>
        <v>#N/A</v>
      </c>
      <c r="V94" s="28">
        <v>49900</v>
      </c>
      <c r="W94" s="28" t="s">
        <v>24</v>
      </c>
      <c r="X94" s="32" t="s">
        <v>25</v>
      </c>
      <c r="Y94" s="72" t="s">
        <v>25</v>
      </c>
      <c r="Z94" s="72" t="s">
        <v>25</v>
      </c>
      <c r="AA94" s="73" t="s">
        <v>25</v>
      </c>
      <c r="AB94" s="73" t="s">
        <v>24</v>
      </c>
      <c r="AC94" s="72" t="s">
        <v>24</v>
      </c>
      <c r="AD94" s="115">
        <v>19510</v>
      </c>
      <c r="AG94" s="73">
        <f t="shared" si="1"/>
        <v>19510</v>
      </c>
      <c r="AH94" s="73">
        <v>34705</v>
      </c>
      <c r="AI94" s="73">
        <v>6593.95</v>
      </c>
      <c r="AJ94" s="73">
        <v>41298.949999999997</v>
      </c>
    </row>
    <row r="95" spans="1:36" ht="33" x14ac:dyDescent="0.25">
      <c r="A95" s="32">
        <v>93</v>
      </c>
      <c r="B95" s="23">
        <v>1043205825</v>
      </c>
      <c r="C95" s="24" t="s">
        <v>20</v>
      </c>
      <c r="D95" s="113" t="s">
        <v>329</v>
      </c>
      <c r="E95" s="26" t="s">
        <v>302</v>
      </c>
      <c r="F95" s="114" t="s">
        <v>330</v>
      </c>
      <c r="G95" s="26" t="e">
        <v>#N/A</v>
      </c>
      <c r="H95" s="26" t="e">
        <v>#N/A</v>
      </c>
      <c r="I95" s="26" t="s">
        <v>20</v>
      </c>
      <c r="J95" s="70">
        <v>46233.06</v>
      </c>
      <c r="K95" s="71">
        <v>0</v>
      </c>
      <c r="L95" s="71">
        <v>0</v>
      </c>
      <c r="M95" s="71">
        <v>0</v>
      </c>
      <c r="N95" s="71">
        <v>0</v>
      </c>
      <c r="O95" s="71">
        <v>5</v>
      </c>
      <c r="P95" s="71">
        <v>0.41666666666666669</v>
      </c>
      <c r="Q95" s="71">
        <v>0</v>
      </c>
      <c r="R95" s="71">
        <v>0</v>
      </c>
      <c r="S95" s="26"/>
      <c r="T95" s="28">
        <f>VLOOKUP(D95:D243,'[1]Lista de artículos (1)'!$A$3:$I$553,7)</f>
        <v>33192.400764705882</v>
      </c>
      <c r="U95" s="28" t="e">
        <f>VLOOKUP(D95,'[1]Lista de artículos (1)'!$A$3:$G$553,7,0)</f>
        <v>#N/A</v>
      </c>
      <c r="V95" s="28">
        <v>33900</v>
      </c>
      <c r="W95" s="28" t="s">
        <v>24</v>
      </c>
      <c r="X95" s="32" t="s">
        <v>25</v>
      </c>
      <c r="Y95" s="72" t="s">
        <v>25</v>
      </c>
      <c r="Z95" s="72" t="s">
        <v>25</v>
      </c>
      <c r="AA95" s="73" t="s">
        <v>25</v>
      </c>
      <c r="AB95" s="73" t="s">
        <v>24</v>
      </c>
      <c r="AC95" s="72" t="s">
        <v>24</v>
      </c>
      <c r="AD95" s="115" t="s">
        <v>24</v>
      </c>
      <c r="AG95" s="73">
        <f t="shared" si="1"/>
        <v>33900</v>
      </c>
      <c r="AH95" s="73">
        <v>33900</v>
      </c>
      <c r="AI95" s="73">
        <v>6441</v>
      </c>
      <c r="AJ95" s="73">
        <v>40341</v>
      </c>
    </row>
    <row r="96" spans="1:36" ht="33" x14ac:dyDescent="0.25">
      <c r="A96" s="32">
        <v>94</v>
      </c>
      <c r="B96" s="23">
        <v>1043205828</v>
      </c>
      <c r="C96" s="24" t="s">
        <v>20</v>
      </c>
      <c r="D96" s="113" t="s">
        <v>331</v>
      </c>
      <c r="E96" s="26" t="s">
        <v>302</v>
      </c>
      <c r="F96" s="114" t="s">
        <v>331</v>
      </c>
      <c r="G96" s="26" t="e">
        <v>#N/A</v>
      </c>
      <c r="H96" s="26" t="e">
        <v>#N/A</v>
      </c>
      <c r="I96" s="26" t="s">
        <v>20</v>
      </c>
      <c r="J96" s="70">
        <v>1</v>
      </c>
      <c r="K96" s="71">
        <v>0</v>
      </c>
      <c r="L96" s="71">
        <v>0</v>
      </c>
      <c r="M96" s="71">
        <v>0</v>
      </c>
      <c r="N96" s="71">
        <v>0</v>
      </c>
      <c r="O96" s="71">
        <v>0</v>
      </c>
      <c r="P96" s="71">
        <v>0</v>
      </c>
      <c r="Q96" s="71">
        <v>0</v>
      </c>
      <c r="R96" s="71">
        <v>0</v>
      </c>
      <c r="S96" s="26"/>
      <c r="T96" s="28">
        <f>VLOOKUP(D96:D244,'[1]Lista de artículos (1)'!$A$3:$I$553,7)</f>
        <v>33192.400764705882</v>
      </c>
      <c r="U96" s="28" t="e">
        <f>VLOOKUP(D96,'[1]Lista de artículos (1)'!$A$3:$G$553,7,0)</f>
        <v>#N/A</v>
      </c>
      <c r="V96" s="28">
        <v>19900</v>
      </c>
      <c r="W96" s="28" t="s">
        <v>24</v>
      </c>
      <c r="X96" s="32" t="s">
        <v>25</v>
      </c>
      <c r="Y96" s="72" t="s">
        <v>25</v>
      </c>
      <c r="Z96" s="72" t="s">
        <v>25</v>
      </c>
      <c r="AA96" s="73" t="s">
        <v>25</v>
      </c>
      <c r="AB96" s="73" t="s">
        <v>24</v>
      </c>
      <c r="AC96" s="72" t="s">
        <v>24</v>
      </c>
      <c r="AD96" s="115" t="s">
        <v>24</v>
      </c>
      <c r="AG96" s="73">
        <f t="shared" si="1"/>
        <v>19900</v>
      </c>
      <c r="AH96" s="73">
        <v>19900</v>
      </c>
      <c r="AI96" s="73">
        <v>3781</v>
      </c>
      <c r="AJ96" s="73">
        <v>23681</v>
      </c>
    </row>
    <row r="97" spans="1:36" ht="33" x14ac:dyDescent="0.25">
      <c r="A97" s="32">
        <v>95</v>
      </c>
      <c r="B97" s="23">
        <v>1043257223</v>
      </c>
      <c r="C97" s="24" t="s">
        <v>20</v>
      </c>
      <c r="D97" s="113" t="s">
        <v>332</v>
      </c>
      <c r="E97" s="26" t="s">
        <v>22</v>
      </c>
      <c r="F97" s="114" t="s">
        <v>332</v>
      </c>
      <c r="G97" s="26" t="e">
        <v>#N/A</v>
      </c>
      <c r="H97" s="26" t="e">
        <v>#N/A</v>
      </c>
      <c r="I97" s="26" t="s">
        <v>20</v>
      </c>
      <c r="J97" s="70">
        <v>20220.939999999999</v>
      </c>
      <c r="K97" s="71">
        <v>0</v>
      </c>
      <c r="L97" s="71">
        <v>0</v>
      </c>
      <c r="M97" s="71">
        <v>0</v>
      </c>
      <c r="N97" s="71">
        <v>0</v>
      </c>
      <c r="O97" s="71">
        <v>7</v>
      </c>
      <c r="P97" s="71">
        <v>0.58333333333333337</v>
      </c>
      <c r="Q97" s="71">
        <v>0</v>
      </c>
      <c r="R97" s="71">
        <v>1</v>
      </c>
      <c r="S97" s="26"/>
      <c r="T97" s="28">
        <f>VLOOKUP(D97:D245,'[1]Lista de artículos (1)'!$A$3:$I$553,7)</f>
        <v>18872.250720504202</v>
      </c>
      <c r="U97" s="28">
        <f>VLOOKUP(D97,'[1]Lista de artículos (1)'!$A$3:$G$553,7,0)</f>
        <v>18872.250720504202</v>
      </c>
      <c r="V97" s="26" t="s">
        <v>176</v>
      </c>
      <c r="W97" s="26" t="s">
        <v>176</v>
      </c>
      <c r="X97" s="32" t="s">
        <v>25</v>
      </c>
      <c r="Y97" s="72" t="s">
        <v>25</v>
      </c>
      <c r="Z97" s="72">
        <v>7100</v>
      </c>
      <c r="AA97" s="73" t="s">
        <v>25</v>
      </c>
      <c r="AB97" s="73" t="s">
        <v>24</v>
      </c>
      <c r="AC97" s="72" t="s">
        <v>24</v>
      </c>
      <c r="AD97" s="32" t="s">
        <v>176</v>
      </c>
      <c r="AG97" s="73">
        <f t="shared" si="1"/>
        <v>7100</v>
      </c>
      <c r="AH97" s="73">
        <v>7100</v>
      </c>
      <c r="AI97" s="73">
        <v>1349</v>
      </c>
      <c r="AJ97" s="73">
        <v>8449</v>
      </c>
    </row>
    <row r="98" spans="1:36" ht="33" x14ac:dyDescent="0.25">
      <c r="A98" s="32">
        <v>96</v>
      </c>
      <c r="B98" s="23">
        <v>1042099056</v>
      </c>
      <c r="C98" s="24" t="s">
        <v>20</v>
      </c>
      <c r="D98" s="113" t="s">
        <v>333</v>
      </c>
      <c r="E98" s="26" t="s">
        <v>90</v>
      </c>
      <c r="F98" s="114" t="s">
        <v>334</v>
      </c>
      <c r="G98" s="26" t="e">
        <v>#N/A</v>
      </c>
      <c r="H98" s="26" t="e">
        <v>#N/A</v>
      </c>
      <c r="I98" s="26" t="s">
        <v>20</v>
      </c>
      <c r="J98" s="70">
        <v>1</v>
      </c>
      <c r="K98" s="71">
        <v>0</v>
      </c>
      <c r="L98" s="71">
        <v>0</v>
      </c>
      <c r="M98" s="71">
        <v>0</v>
      </c>
      <c r="N98" s="71">
        <v>0</v>
      </c>
      <c r="O98" s="71">
        <v>0</v>
      </c>
      <c r="P98" s="71">
        <v>0</v>
      </c>
      <c r="Q98" s="71">
        <v>0</v>
      </c>
      <c r="R98" s="71">
        <v>0</v>
      </c>
      <c r="S98" s="26"/>
      <c r="T98" s="28">
        <f>VLOOKUP(D98:D246,'[1]Lista de artículos (1)'!$A$3:$I$553,7)</f>
        <v>18872.250720504202</v>
      </c>
      <c r="U98" s="28" t="e">
        <f>VLOOKUP(D98,'[1]Lista de artículos (1)'!$A$3:$G$553,7,0)</f>
        <v>#N/A</v>
      </c>
      <c r="V98" s="26" t="s">
        <v>176</v>
      </c>
      <c r="W98" s="26" t="s">
        <v>176</v>
      </c>
      <c r="X98" s="32" t="s">
        <v>25</v>
      </c>
      <c r="Y98" s="72">
        <v>26900</v>
      </c>
      <c r="Z98" s="72" t="s">
        <v>25</v>
      </c>
      <c r="AA98" s="73" t="s">
        <v>25</v>
      </c>
      <c r="AB98" s="73" t="s">
        <v>24</v>
      </c>
      <c r="AC98" s="72" t="s">
        <v>24</v>
      </c>
      <c r="AD98" s="32" t="s">
        <v>176</v>
      </c>
      <c r="AG98" s="73">
        <f t="shared" si="1"/>
        <v>26900</v>
      </c>
      <c r="AH98" s="73">
        <v>26900</v>
      </c>
      <c r="AI98" s="73">
        <v>5111</v>
      </c>
      <c r="AJ98" s="73">
        <v>32011</v>
      </c>
    </row>
    <row r="99" spans="1:36" ht="33" x14ac:dyDescent="0.25">
      <c r="A99" s="32">
        <v>97</v>
      </c>
      <c r="B99" s="23">
        <v>1042099078</v>
      </c>
      <c r="C99" s="24" t="s">
        <v>20</v>
      </c>
      <c r="D99" s="113" t="s">
        <v>335</v>
      </c>
      <c r="E99" s="26" t="s">
        <v>90</v>
      </c>
      <c r="F99" s="114" t="s">
        <v>336</v>
      </c>
      <c r="G99" s="26" t="e">
        <v>#N/A</v>
      </c>
      <c r="H99" s="26" t="e">
        <v>#N/A</v>
      </c>
      <c r="I99" s="26" t="s">
        <v>20</v>
      </c>
      <c r="J99" s="70">
        <v>1</v>
      </c>
      <c r="K99" s="71">
        <v>0</v>
      </c>
      <c r="L99" s="71">
        <v>0</v>
      </c>
      <c r="M99" s="71">
        <v>0</v>
      </c>
      <c r="N99" s="71">
        <v>0</v>
      </c>
      <c r="O99" s="71">
        <v>0</v>
      </c>
      <c r="P99" s="71">
        <v>0</v>
      </c>
      <c r="Q99" s="71">
        <v>0</v>
      </c>
      <c r="R99" s="71">
        <v>0</v>
      </c>
      <c r="S99" s="26"/>
      <c r="T99" s="28">
        <f>VLOOKUP(D99:D247,'[1]Lista de artículos (1)'!$A$3:$I$553,7)</f>
        <v>18872.250720504202</v>
      </c>
      <c r="U99" s="28" t="e">
        <f>VLOOKUP(D99,'[1]Lista de artículos (1)'!$A$3:$G$553,7,0)</f>
        <v>#N/A</v>
      </c>
      <c r="V99" s="28">
        <v>45900</v>
      </c>
      <c r="W99" s="28" t="s">
        <v>24</v>
      </c>
      <c r="X99" s="32" t="s">
        <v>25</v>
      </c>
      <c r="Y99" s="72" t="s">
        <v>25</v>
      </c>
      <c r="Z99" s="72" t="s">
        <v>25</v>
      </c>
      <c r="AA99" s="73" t="s">
        <v>25</v>
      </c>
      <c r="AB99" s="73" t="s">
        <v>24</v>
      </c>
      <c r="AC99" s="72" t="s">
        <v>24</v>
      </c>
      <c r="AD99" s="115" t="s">
        <v>24</v>
      </c>
      <c r="AG99" s="73">
        <f t="shared" si="1"/>
        <v>45900</v>
      </c>
      <c r="AH99" s="73">
        <v>45900</v>
      </c>
      <c r="AI99" s="73">
        <v>8721</v>
      </c>
      <c r="AJ99" s="73">
        <v>54621</v>
      </c>
    </row>
    <row r="100" spans="1:36" x14ac:dyDescent="0.25">
      <c r="A100" s="32">
        <v>98</v>
      </c>
      <c r="B100" s="23">
        <v>123761096</v>
      </c>
      <c r="C100" s="24" t="s">
        <v>20</v>
      </c>
      <c r="D100" s="113" t="s">
        <v>337</v>
      </c>
      <c r="E100" s="26" t="s">
        <v>22</v>
      </c>
      <c r="F100" s="114" t="s">
        <v>337</v>
      </c>
      <c r="G100" s="26" t="e">
        <v>#N/A</v>
      </c>
      <c r="H100" s="26" t="e">
        <v>#N/A</v>
      </c>
      <c r="I100" s="26" t="s">
        <v>20</v>
      </c>
      <c r="J100" s="70">
        <v>1</v>
      </c>
      <c r="K100" s="71">
        <v>0</v>
      </c>
      <c r="L100" s="71">
        <v>0</v>
      </c>
      <c r="M100" s="71">
        <v>0</v>
      </c>
      <c r="N100" s="71">
        <v>0</v>
      </c>
      <c r="O100" s="71">
        <v>0</v>
      </c>
      <c r="P100" s="71">
        <v>0</v>
      </c>
      <c r="Q100" s="71">
        <v>0</v>
      </c>
      <c r="R100" s="71">
        <v>0</v>
      </c>
      <c r="S100" s="26"/>
      <c r="T100" s="28">
        <f>VLOOKUP(D100:D249,'[1]Lista de artículos (1)'!$A$3:$I$553,7)</f>
        <v>34140.755072268905</v>
      </c>
      <c r="U100" s="28" t="e">
        <f>VLOOKUP(D100,'[1]Lista de artículos (1)'!$A$3:$G$553,7,0)</f>
        <v>#N/A</v>
      </c>
      <c r="V100" s="26" t="s">
        <v>176</v>
      </c>
      <c r="W100" s="26" t="s">
        <v>176</v>
      </c>
      <c r="X100" s="32" t="s">
        <v>25</v>
      </c>
      <c r="Y100" s="72">
        <v>55800</v>
      </c>
      <c r="Z100" s="72" t="s">
        <v>25</v>
      </c>
      <c r="AA100" s="73">
        <v>8200</v>
      </c>
      <c r="AB100" s="73" t="s">
        <v>24</v>
      </c>
      <c r="AC100" s="32" t="s">
        <v>24</v>
      </c>
      <c r="AD100" s="32" t="s">
        <v>176</v>
      </c>
      <c r="AG100" s="73">
        <f t="shared" si="1"/>
        <v>8200</v>
      </c>
      <c r="AH100" s="73">
        <v>32000</v>
      </c>
      <c r="AI100" s="73">
        <v>6080</v>
      </c>
      <c r="AJ100" s="73">
        <v>38080</v>
      </c>
    </row>
    <row r="101" spans="1:36" x14ac:dyDescent="0.25">
      <c r="A101" s="32">
        <v>99</v>
      </c>
      <c r="B101" s="23">
        <v>1044582046</v>
      </c>
      <c r="C101" s="24" t="s">
        <v>20</v>
      </c>
      <c r="D101" s="113" t="s">
        <v>338</v>
      </c>
      <c r="E101" s="26" t="s">
        <v>22</v>
      </c>
      <c r="F101" s="114" t="s">
        <v>339</v>
      </c>
      <c r="G101" s="26" t="e">
        <v>#N/A</v>
      </c>
      <c r="H101" s="26" t="e">
        <v>#N/A</v>
      </c>
      <c r="I101" s="26" t="s">
        <v>20</v>
      </c>
      <c r="J101" s="70">
        <v>212432.29</v>
      </c>
      <c r="K101" s="71">
        <v>0</v>
      </c>
      <c r="L101" s="71">
        <v>1</v>
      </c>
      <c r="M101" s="71">
        <v>0</v>
      </c>
      <c r="N101" s="71">
        <v>0</v>
      </c>
      <c r="O101" s="71">
        <v>0</v>
      </c>
      <c r="P101" s="71">
        <v>0</v>
      </c>
      <c r="Q101" s="71">
        <v>0</v>
      </c>
      <c r="R101" s="71">
        <v>2</v>
      </c>
      <c r="S101" s="26"/>
      <c r="T101" s="28">
        <f>VLOOKUP(D101:D250,'[1]Lista de artículos (1)'!$A$3:$I$553,7)</f>
        <v>198268.0921512605</v>
      </c>
      <c r="U101" s="28" t="e">
        <f>VLOOKUP(D101,'[1]Lista de artículos (1)'!$A$3:$G$553,7,0)</f>
        <v>#N/A</v>
      </c>
      <c r="V101" s="26" t="s">
        <v>176</v>
      </c>
      <c r="W101" s="28">
        <v>232000</v>
      </c>
      <c r="X101" s="32" t="s">
        <v>25</v>
      </c>
      <c r="Y101" s="72" t="s">
        <v>25</v>
      </c>
      <c r="Z101" s="72" t="s">
        <v>25</v>
      </c>
      <c r="AA101" s="73" t="s">
        <v>25</v>
      </c>
      <c r="AB101" s="73" t="s">
        <v>24</v>
      </c>
      <c r="AC101" s="72" t="s">
        <v>24</v>
      </c>
      <c r="AD101" s="32" t="s">
        <v>176</v>
      </c>
      <c r="AG101" s="73">
        <f t="shared" si="1"/>
        <v>232000</v>
      </c>
      <c r="AH101" s="73">
        <v>232000</v>
      </c>
      <c r="AI101" s="73">
        <v>44080</v>
      </c>
      <c r="AJ101" s="73">
        <v>276080</v>
      </c>
    </row>
    <row r="102" spans="1:36" ht="33" x14ac:dyDescent="0.25">
      <c r="A102" s="32">
        <v>100</v>
      </c>
      <c r="B102" s="23">
        <v>1044582126</v>
      </c>
      <c r="C102" s="24" t="s">
        <v>20</v>
      </c>
      <c r="D102" s="113" t="s">
        <v>340</v>
      </c>
      <c r="E102" s="26" t="s">
        <v>22</v>
      </c>
      <c r="F102" s="114" t="s">
        <v>341</v>
      </c>
      <c r="G102" s="26" t="e">
        <v>#N/A</v>
      </c>
      <c r="H102" s="26" t="e">
        <v>#N/A</v>
      </c>
      <c r="I102" s="26" t="s">
        <v>20</v>
      </c>
      <c r="J102" s="70">
        <v>212432.29</v>
      </c>
      <c r="K102" s="71">
        <v>0</v>
      </c>
      <c r="L102" s="71">
        <v>0</v>
      </c>
      <c r="M102" s="71">
        <v>0</v>
      </c>
      <c r="N102" s="71">
        <v>0</v>
      </c>
      <c r="O102" s="71">
        <v>1</v>
      </c>
      <c r="P102" s="71">
        <v>8.3333333333333329E-2</v>
      </c>
      <c r="Q102" s="71">
        <v>0</v>
      </c>
      <c r="R102" s="71">
        <v>1</v>
      </c>
      <c r="S102" s="26"/>
      <c r="T102" s="28">
        <f>VLOOKUP(D102:D252,'[1]Lista de artículos (1)'!$A$3:$I$553,7)</f>
        <v>198268.0921512605</v>
      </c>
      <c r="U102" s="28" t="e">
        <f>VLOOKUP(D102,'[1]Lista de artículos (1)'!$A$3:$G$553,7,0)</f>
        <v>#N/A</v>
      </c>
      <c r="V102" s="28" t="s">
        <v>37</v>
      </c>
      <c r="W102" s="28">
        <v>283000</v>
      </c>
      <c r="X102" s="32" t="s">
        <v>25</v>
      </c>
      <c r="Y102" s="72" t="s">
        <v>25</v>
      </c>
      <c r="Z102" s="72" t="s">
        <v>25</v>
      </c>
      <c r="AA102" s="73" t="s">
        <v>25</v>
      </c>
      <c r="AB102" s="73" t="s">
        <v>24</v>
      </c>
      <c r="AC102" s="72" t="s">
        <v>24</v>
      </c>
      <c r="AD102" s="115" t="s">
        <v>24</v>
      </c>
      <c r="AG102" s="73">
        <f t="shared" si="1"/>
        <v>283000</v>
      </c>
      <c r="AH102" s="73">
        <v>283000</v>
      </c>
      <c r="AI102" s="73">
        <v>53770</v>
      </c>
      <c r="AJ102" s="73">
        <v>336770</v>
      </c>
    </row>
    <row r="103" spans="1:36" x14ac:dyDescent="0.25">
      <c r="A103" s="32">
        <v>101</v>
      </c>
      <c r="B103" s="23">
        <v>1043205834</v>
      </c>
      <c r="C103" s="24" t="s">
        <v>20</v>
      </c>
      <c r="D103" s="113" t="s">
        <v>342</v>
      </c>
      <c r="E103" s="26" t="s">
        <v>343</v>
      </c>
      <c r="F103" s="114" t="s">
        <v>342</v>
      </c>
      <c r="G103" s="26" t="e">
        <v>#N/A</v>
      </c>
      <c r="H103" s="26" t="e">
        <v>#N/A</v>
      </c>
      <c r="I103" s="26" t="s">
        <v>20</v>
      </c>
      <c r="J103" s="70">
        <v>1</v>
      </c>
      <c r="K103" s="71">
        <v>0</v>
      </c>
      <c r="L103" s="71">
        <v>0</v>
      </c>
      <c r="M103" s="71">
        <v>0</v>
      </c>
      <c r="N103" s="71">
        <v>0</v>
      </c>
      <c r="O103" s="71">
        <v>0</v>
      </c>
      <c r="P103" s="71">
        <v>0</v>
      </c>
      <c r="Q103" s="71">
        <v>0</v>
      </c>
      <c r="R103" s="71">
        <v>0</v>
      </c>
      <c r="S103" s="26"/>
      <c r="T103" s="28">
        <f>VLOOKUP(D103:D253,'[1]Lista de artículos (1)'!$A$3:$I$553,7)</f>
        <v>73023.281682352957</v>
      </c>
      <c r="U103" s="28" t="e">
        <f>VLOOKUP(D103,'[1]Lista de artículos (1)'!$A$3:$G$553,7,0)</f>
        <v>#N/A</v>
      </c>
      <c r="V103" s="26" t="s">
        <v>176</v>
      </c>
      <c r="W103" s="26" t="s">
        <v>176</v>
      </c>
      <c r="X103" s="32" t="s">
        <v>25</v>
      </c>
      <c r="Y103" s="72">
        <v>91900</v>
      </c>
      <c r="Z103" s="72" t="s">
        <v>25</v>
      </c>
      <c r="AA103" s="73" t="s">
        <v>25</v>
      </c>
      <c r="AB103" s="73" t="s">
        <v>24</v>
      </c>
      <c r="AC103" s="72" t="s">
        <v>24</v>
      </c>
      <c r="AD103" s="32" t="s">
        <v>176</v>
      </c>
      <c r="AG103" s="73">
        <f t="shared" si="1"/>
        <v>91900</v>
      </c>
      <c r="AH103" s="73">
        <v>91900</v>
      </c>
      <c r="AI103" s="73">
        <v>17461</v>
      </c>
      <c r="AJ103" s="73">
        <v>109361</v>
      </c>
    </row>
    <row r="104" spans="1:36" ht="33" x14ac:dyDescent="0.25">
      <c r="A104" s="32">
        <v>102</v>
      </c>
      <c r="B104" s="23">
        <v>1043205833</v>
      </c>
      <c r="C104" s="24" t="s">
        <v>20</v>
      </c>
      <c r="D104" s="113" t="s">
        <v>344</v>
      </c>
      <c r="E104" s="26" t="s">
        <v>22</v>
      </c>
      <c r="F104" s="114" t="s">
        <v>344</v>
      </c>
      <c r="G104" s="26" t="e">
        <v>#N/A</v>
      </c>
      <c r="H104" s="26" t="e">
        <v>#N/A</v>
      </c>
      <c r="I104" s="26" t="s">
        <v>20</v>
      </c>
      <c r="J104" s="70">
        <v>1</v>
      </c>
      <c r="K104" s="71">
        <v>0</v>
      </c>
      <c r="L104" s="71">
        <v>0</v>
      </c>
      <c r="M104" s="71">
        <v>0</v>
      </c>
      <c r="N104" s="71">
        <v>0</v>
      </c>
      <c r="O104" s="71">
        <v>0</v>
      </c>
      <c r="P104" s="71">
        <v>0</v>
      </c>
      <c r="Q104" s="71">
        <v>0</v>
      </c>
      <c r="R104" s="71">
        <v>0</v>
      </c>
      <c r="S104" s="26"/>
      <c r="T104" s="28">
        <f>VLOOKUP(D104:D254,'[1]Lista de artículos (1)'!$A$3:$I$553,7)</f>
        <v>73023.281682352957</v>
      </c>
      <c r="U104" s="28" t="e">
        <f>VLOOKUP(D104,'[1]Lista de artículos (1)'!$A$3:$G$553,7,0)</f>
        <v>#N/A</v>
      </c>
      <c r="V104" s="28" t="s">
        <v>37</v>
      </c>
      <c r="W104" s="28">
        <v>35000</v>
      </c>
      <c r="X104" s="32" t="s">
        <v>25</v>
      </c>
      <c r="Y104" s="72" t="s">
        <v>25</v>
      </c>
      <c r="Z104" s="72" t="s">
        <v>25</v>
      </c>
      <c r="AA104" s="73" t="s">
        <v>25</v>
      </c>
      <c r="AB104" s="73" t="s">
        <v>24</v>
      </c>
      <c r="AC104" s="72" t="s">
        <v>24</v>
      </c>
      <c r="AD104" s="115" t="s">
        <v>24</v>
      </c>
      <c r="AG104" s="73">
        <f t="shared" si="1"/>
        <v>35000</v>
      </c>
      <c r="AH104" s="73">
        <v>35000</v>
      </c>
      <c r="AI104" s="73">
        <v>6650</v>
      </c>
      <c r="AJ104" s="73">
        <v>41650</v>
      </c>
    </row>
    <row r="105" spans="1:36" ht="33" x14ac:dyDescent="0.25">
      <c r="A105" s="32">
        <v>103</v>
      </c>
      <c r="B105" s="23">
        <v>1043205835</v>
      </c>
      <c r="C105" s="24" t="s">
        <v>20</v>
      </c>
      <c r="D105" s="113" t="s">
        <v>345</v>
      </c>
      <c r="E105" s="26" t="s">
        <v>90</v>
      </c>
      <c r="F105" s="114" t="s">
        <v>345</v>
      </c>
      <c r="G105" s="26" t="e">
        <v>#N/A</v>
      </c>
      <c r="H105" s="26" t="e">
        <v>#N/A</v>
      </c>
      <c r="I105" s="26" t="s">
        <v>20</v>
      </c>
      <c r="J105" s="70">
        <v>29806.06</v>
      </c>
      <c r="K105" s="71">
        <v>0</v>
      </c>
      <c r="L105" s="71">
        <v>0</v>
      </c>
      <c r="M105" s="71">
        <v>0</v>
      </c>
      <c r="N105" s="71">
        <v>0</v>
      </c>
      <c r="O105" s="71">
        <v>5</v>
      </c>
      <c r="P105" s="71">
        <v>0.41666666666666669</v>
      </c>
      <c r="Q105" s="71">
        <v>0</v>
      </c>
      <c r="R105" s="71">
        <v>0</v>
      </c>
      <c r="S105" s="26"/>
      <c r="T105" s="28">
        <f>VLOOKUP(D105:D255,'[1]Lista de artículos (1)'!$A$3:$I$553,7)</f>
        <v>73023.281682352957</v>
      </c>
      <c r="U105" s="28" t="e">
        <f>VLOOKUP(D105,'[1]Lista de artículos (1)'!$A$3:$G$553,7,0)</f>
        <v>#N/A</v>
      </c>
      <c r="V105" s="26" t="s">
        <v>176</v>
      </c>
      <c r="W105" s="26" t="s">
        <v>176</v>
      </c>
      <c r="X105" s="32" t="s">
        <v>25</v>
      </c>
      <c r="Y105" s="72">
        <v>77900</v>
      </c>
      <c r="Z105" s="72" t="s">
        <v>25</v>
      </c>
      <c r="AA105" s="73" t="s">
        <v>25</v>
      </c>
      <c r="AB105" s="73" t="s">
        <v>24</v>
      </c>
      <c r="AC105" s="72" t="s">
        <v>24</v>
      </c>
      <c r="AD105" s="32" t="s">
        <v>176</v>
      </c>
      <c r="AG105" s="73">
        <f t="shared" si="1"/>
        <v>77900</v>
      </c>
      <c r="AH105" s="73">
        <v>77900</v>
      </c>
      <c r="AI105" s="73">
        <v>14801</v>
      </c>
      <c r="AJ105" s="73">
        <v>92701</v>
      </c>
    </row>
    <row r="106" spans="1:36" ht="33" x14ac:dyDescent="0.25">
      <c r="A106" s="32">
        <v>104</v>
      </c>
      <c r="B106" s="23">
        <v>1043205074</v>
      </c>
      <c r="C106" s="24" t="s">
        <v>20</v>
      </c>
      <c r="D106" s="113" t="s">
        <v>346</v>
      </c>
      <c r="E106" s="26" t="s">
        <v>231</v>
      </c>
      <c r="F106" s="117" t="s">
        <v>346</v>
      </c>
      <c r="G106" s="26" t="e">
        <v>#N/A</v>
      </c>
      <c r="H106" s="26" t="e">
        <v>#N/A</v>
      </c>
      <c r="I106" s="26" t="s">
        <v>20</v>
      </c>
      <c r="J106" s="70">
        <v>1</v>
      </c>
      <c r="K106" s="71">
        <v>0</v>
      </c>
      <c r="L106" s="71">
        <v>0</v>
      </c>
      <c r="M106" s="71">
        <v>0</v>
      </c>
      <c r="N106" s="71">
        <v>0</v>
      </c>
      <c r="O106" s="71">
        <v>0</v>
      </c>
      <c r="P106" s="71">
        <v>0</v>
      </c>
      <c r="Q106" s="71">
        <v>0</v>
      </c>
      <c r="R106" s="71">
        <v>0</v>
      </c>
      <c r="S106" s="26"/>
      <c r="T106" s="28">
        <f>VLOOKUP(D106:D256,'[1]Lista de artículos (1)'!$A$3:$I$553,7)</f>
        <v>73023.281682352957</v>
      </c>
      <c r="U106" s="28" t="e">
        <f>VLOOKUP(D106,'[1]Lista de artículos (1)'!$A$3:$G$553,7,0)</f>
        <v>#N/A</v>
      </c>
      <c r="V106" s="28">
        <v>112500</v>
      </c>
      <c r="W106" s="28">
        <v>93450</v>
      </c>
      <c r="X106" s="32" t="s">
        <v>25</v>
      </c>
      <c r="Y106" s="72" t="s">
        <v>25</v>
      </c>
      <c r="Z106" s="72" t="s">
        <v>25</v>
      </c>
      <c r="AA106" s="73" t="s">
        <v>25</v>
      </c>
      <c r="AB106" s="73" t="s">
        <v>24</v>
      </c>
      <c r="AC106" s="72" t="s">
        <v>24</v>
      </c>
      <c r="AD106" s="115" t="s">
        <v>24</v>
      </c>
      <c r="AG106" s="73">
        <f t="shared" si="1"/>
        <v>93450</v>
      </c>
      <c r="AH106" s="73">
        <v>102975</v>
      </c>
      <c r="AI106" s="73">
        <v>19565.25</v>
      </c>
      <c r="AJ106" s="73">
        <v>122540.25</v>
      </c>
    </row>
    <row r="107" spans="1:36" ht="33" x14ac:dyDescent="0.25">
      <c r="A107" s="32">
        <v>105</v>
      </c>
      <c r="B107" s="23">
        <v>1043205838</v>
      </c>
      <c r="C107" s="24" t="s">
        <v>20</v>
      </c>
      <c r="D107" s="113" t="s">
        <v>347</v>
      </c>
      <c r="E107" s="26" t="s">
        <v>90</v>
      </c>
      <c r="F107" s="114" t="s">
        <v>347</v>
      </c>
      <c r="G107" s="26" t="e">
        <v>#N/A</v>
      </c>
      <c r="H107" s="26" t="e">
        <v>#N/A</v>
      </c>
      <c r="I107" s="26" t="s">
        <v>20</v>
      </c>
      <c r="J107" s="70">
        <v>1</v>
      </c>
      <c r="K107" s="71">
        <v>0</v>
      </c>
      <c r="L107" s="71">
        <v>0</v>
      </c>
      <c r="M107" s="71">
        <v>0</v>
      </c>
      <c r="N107" s="71">
        <v>0</v>
      </c>
      <c r="O107" s="71">
        <v>0</v>
      </c>
      <c r="P107" s="71">
        <v>0</v>
      </c>
      <c r="Q107" s="71">
        <v>0</v>
      </c>
      <c r="R107" s="71">
        <v>0</v>
      </c>
      <c r="S107" s="26"/>
      <c r="T107" s="28">
        <f>VLOOKUP(D107:D257,'[1]Lista de artículos (1)'!$A$3:$I$553,7)</f>
        <v>73023.281682352957</v>
      </c>
      <c r="U107" s="28" t="e">
        <f>VLOOKUP(D107,'[1]Lista de artículos (1)'!$A$3:$G$553,7,0)</f>
        <v>#N/A</v>
      </c>
      <c r="V107" s="26" t="s">
        <v>176</v>
      </c>
      <c r="W107" s="26" t="s">
        <v>176</v>
      </c>
      <c r="X107" s="32" t="s">
        <v>25</v>
      </c>
      <c r="Y107" s="72">
        <v>252900</v>
      </c>
      <c r="Z107" s="72" t="s">
        <v>25</v>
      </c>
      <c r="AA107" s="73" t="s">
        <v>25</v>
      </c>
      <c r="AB107" s="73" t="s">
        <v>24</v>
      </c>
      <c r="AC107" s="72" t="s">
        <v>24</v>
      </c>
      <c r="AD107" s="32" t="s">
        <v>176</v>
      </c>
      <c r="AG107" s="73">
        <f t="shared" si="1"/>
        <v>252900</v>
      </c>
      <c r="AH107" s="73">
        <v>252900</v>
      </c>
      <c r="AI107" s="73">
        <v>48051</v>
      </c>
      <c r="AJ107" s="73">
        <v>300951</v>
      </c>
    </row>
    <row r="108" spans="1:36" x14ac:dyDescent="0.25">
      <c r="A108" s="32">
        <v>106</v>
      </c>
      <c r="B108" s="23">
        <v>1123229145</v>
      </c>
      <c r="C108" s="24" t="s">
        <v>20</v>
      </c>
      <c r="D108" s="113" t="s">
        <v>348</v>
      </c>
      <c r="E108" s="26" t="s">
        <v>22</v>
      </c>
      <c r="F108" s="114" t="s">
        <v>348</v>
      </c>
      <c r="G108" s="26" t="e">
        <v>#N/A</v>
      </c>
      <c r="H108" s="26" t="e">
        <v>#N/A</v>
      </c>
      <c r="I108" s="26" t="s">
        <v>20</v>
      </c>
      <c r="J108" s="70">
        <v>10175.02</v>
      </c>
      <c r="K108" s="71">
        <v>0</v>
      </c>
      <c r="L108" s="71">
        <v>27</v>
      </c>
      <c r="M108" s="71">
        <v>53</v>
      </c>
      <c r="N108" s="71">
        <v>4.416666666666667</v>
      </c>
      <c r="O108" s="71">
        <v>11</v>
      </c>
      <c r="P108" s="71">
        <v>0.91666666666666663</v>
      </c>
      <c r="Q108" s="71">
        <v>0</v>
      </c>
      <c r="R108" s="71">
        <v>0</v>
      </c>
      <c r="S108" s="26"/>
      <c r="T108" s="28">
        <f>VLOOKUP(D108:D258,'[1]Lista de artículos (1)'!$A$3:$I$553,7)</f>
        <v>73023.281682352957</v>
      </c>
      <c r="U108" s="28" t="e">
        <f>VLOOKUP(D108,'[1]Lista de artículos (1)'!$A$3:$G$553,7,0)</f>
        <v>#N/A</v>
      </c>
      <c r="V108" s="28">
        <v>43000</v>
      </c>
      <c r="W108" s="28">
        <v>43137</v>
      </c>
      <c r="X108" s="32" t="s">
        <v>25</v>
      </c>
      <c r="Y108" s="72" t="s">
        <v>25</v>
      </c>
      <c r="Z108" s="72" t="s">
        <v>25</v>
      </c>
      <c r="AA108" s="73" t="s">
        <v>25</v>
      </c>
      <c r="AB108" s="73" t="s">
        <v>24</v>
      </c>
      <c r="AC108" s="72" t="s">
        <v>24</v>
      </c>
      <c r="AD108" s="115" t="s">
        <v>24</v>
      </c>
      <c r="AG108" s="73">
        <f t="shared" si="1"/>
        <v>43000</v>
      </c>
      <c r="AH108" s="73">
        <v>43068.5</v>
      </c>
      <c r="AI108" s="73">
        <v>8183.0150000000003</v>
      </c>
      <c r="AJ108" s="73">
        <v>51251.514999999999</v>
      </c>
    </row>
    <row r="109" spans="1:36" x14ac:dyDescent="0.25">
      <c r="A109" s="32">
        <v>107</v>
      </c>
      <c r="B109" s="23">
        <v>1102090183</v>
      </c>
      <c r="C109" s="24" t="s">
        <v>20</v>
      </c>
      <c r="D109" s="113" t="s">
        <v>349</v>
      </c>
      <c r="E109" s="26" t="s">
        <v>350</v>
      </c>
      <c r="F109" s="114" t="s">
        <v>351</v>
      </c>
      <c r="G109" s="26" t="e">
        <v>#N/A</v>
      </c>
      <c r="H109" s="26" t="e">
        <v>#N/A</v>
      </c>
      <c r="I109" s="26" t="s">
        <v>20</v>
      </c>
      <c r="J109" s="70">
        <v>9022.1766700000007</v>
      </c>
      <c r="K109" s="71">
        <v>0</v>
      </c>
      <c r="L109" s="71">
        <v>0</v>
      </c>
      <c r="M109" s="71">
        <v>0</v>
      </c>
      <c r="N109" s="71">
        <v>0</v>
      </c>
      <c r="O109" s="71">
        <v>6</v>
      </c>
      <c r="P109" s="71">
        <v>0.5</v>
      </c>
      <c r="Q109" s="71">
        <v>0</v>
      </c>
      <c r="R109" s="71">
        <v>0</v>
      </c>
      <c r="S109" s="26"/>
      <c r="T109" s="28">
        <f>VLOOKUP(D109:D259,'[1]Lista de artículos (1)'!$A$3:$I$553,7)</f>
        <v>9496.837762184874</v>
      </c>
      <c r="U109" s="28" t="e">
        <f>VLOOKUP(D109,'[1]Lista de artículos (1)'!$A$3:$G$553,7,0)</f>
        <v>#N/A</v>
      </c>
      <c r="V109" s="26" t="s">
        <v>176</v>
      </c>
      <c r="W109" s="26" t="s">
        <v>176</v>
      </c>
      <c r="X109" s="32" t="s">
        <v>25</v>
      </c>
      <c r="Y109" s="72" t="s">
        <v>25</v>
      </c>
      <c r="Z109" s="72">
        <v>6500</v>
      </c>
      <c r="AA109" s="73" t="s">
        <v>25</v>
      </c>
      <c r="AB109" s="73" t="s">
        <v>24</v>
      </c>
      <c r="AC109" s="72">
        <v>11221</v>
      </c>
      <c r="AD109" s="32" t="s">
        <v>176</v>
      </c>
      <c r="AG109" s="73">
        <f t="shared" si="1"/>
        <v>6500</v>
      </c>
      <c r="AH109" s="73">
        <v>8860.5</v>
      </c>
      <c r="AI109" s="73">
        <v>1683.4949999999999</v>
      </c>
      <c r="AJ109" s="73">
        <v>10543.994999999999</v>
      </c>
    </row>
    <row r="110" spans="1:36" ht="33" x14ac:dyDescent="0.25">
      <c r="A110" s="32">
        <v>108</v>
      </c>
      <c r="B110" s="23">
        <v>1043205404</v>
      </c>
      <c r="C110" s="24" t="s">
        <v>20</v>
      </c>
      <c r="D110" s="113" t="s">
        <v>352</v>
      </c>
      <c r="E110" s="26" t="s">
        <v>22</v>
      </c>
      <c r="F110" s="114" t="s">
        <v>353</v>
      </c>
      <c r="G110" s="26" t="e">
        <v>#N/A</v>
      </c>
      <c r="H110" s="26" t="e">
        <v>#N/A</v>
      </c>
      <c r="I110" s="26" t="s">
        <v>20</v>
      </c>
      <c r="J110" s="70">
        <v>1</v>
      </c>
      <c r="K110" s="71">
        <v>0</v>
      </c>
      <c r="L110" s="71">
        <v>0</v>
      </c>
      <c r="M110" s="71">
        <v>0</v>
      </c>
      <c r="N110" s="71">
        <v>0</v>
      </c>
      <c r="O110" s="71">
        <v>0</v>
      </c>
      <c r="P110" s="71">
        <v>0</v>
      </c>
      <c r="Q110" s="71">
        <v>0</v>
      </c>
      <c r="R110" s="71">
        <v>0</v>
      </c>
      <c r="S110" s="26"/>
      <c r="T110" s="28">
        <f>VLOOKUP(D110:D267,'[1]Lista de artículos (1)'!$A$3:$I$553,7)</f>
        <v>14509.820905714285</v>
      </c>
      <c r="U110" s="28" t="e">
        <f>VLOOKUP(D110,'[1]Lista de artículos (1)'!$A$3:$G$553,7,0)</f>
        <v>#N/A</v>
      </c>
      <c r="V110" s="26" t="s">
        <v>176</v>
      </c>
      <c r="W110" s="26" t="s">
        <v>176</v>
      </c>
      <c r="X110" s="32" t="s">
        <v>25</v>
      </c>
      <c r="Y110" s="72">
        <v>14800</v>
      </c>
      <c r="Z110" s="72" t="s">
        <v>25</v>
      </c>
      <c r="AA110" s="73" t="s">
        <v>25</v>
      </c>
      <c r="AB110" s="73" t="s">
        <v>24</v>
      </c>
      <c r="AC110" s="72" t="s">
        <v>37</v>
      </c>
      <c r="AD110" s="32" t="s">
        <v>176</v>
      </c>
      <c r="AG110" s="73">
        <f t="shared" si="1"/>
        <v>14800</v>
      </c>
      <c r="AH110" s="73">
        <v>14800</v>
      </c>
      <c r="AI110" s="73">
        <v>2812</v>
      </c>
      <c r="AJ110" s="73">
        <v>17612</v>
      </c>
    </row>
    <row r="111" spans="1:36" ht="33" x14ac:dyDescent="0.25">
      <c r="A111" s="32">
        <v>109</v>
      </c>
      <c r="B111" s="23">
        <v>1043205356</v>
      </c>
      <c r="C111" s="24" t="s">
        <v>20</v>
      </c>
      <c r="D111" s="113" t="s">
        <v>354</v>
      </c>
      <c r="E111" s="26" t="s">
        <v>22</v>
      </c>
      <c r="F111" s="114" t="s">
        <v>354</v>
      </c>
      <c r="G111" s="26" t="e">
        <v>#N/A</v>
      </c>
      <c r="H111" s="26" t="e">
        <v>#N/A</v>
      </c>
      <c r="I111" s="26" t="s">
        <v>20</v>
      </c>
      <c r="J111" s="70">
        <v>7620.8</v>
      </c>
      <c r="K111" s="71">
        <v>4</v>
      </c>
      <c r="L111" s="71">
        <v>0</v>
      </c>
      <c r="M111" s="71">
        <v>25</v>
      </c>
      <c r="N111" s="71">
        <v>2.0833333333333335</v>
      </c>
      <c r="O111" s="71">
        <v>0</v>
      </c>
      <c r="P111" s="71">
        <v>0</v>
      </c>
      <c r="Q111" s="71">
        <v>0</v>
      </c>
      <c r="R111" s="71">
        <v>0</v>
      </c>
      <c r="S111" s="26"/>
      <c r="T111" s="28">
        <f>VLOOKUP(D111:D269,'[1]Lista de artículos (1)'!$A$3:$I$553,7)</f>
        <v>14509.820905714285</v>
      </c>
      <c r="U111" s="28" t="e">
        <f>VLOOKUP(D111,'[1]Lista de artículos (1)'!$A$3:$G$553,7,0)</f>
        <v>#N/A</v>
      </c>
      <c r="V111" s="28">
        <v>60330</v>
      </c>
      <c r="W111" s="28" t="s">
        <v>37</v>
      </c>
      <c r="X111" s="32" t="s">
        <v>25</v>
      </c>
      <c r="Y111" s="72" t="s">
        <v>25</v>
      </c>
      <c r="Z111" s="72" t="s">
        <v>25</v>
      </c>
      <c r="AA111" s="73" t="s">
        <v>25</v>
      </c>
      <c r="AB111" s="73" t="s">
        <v>24</v>
      </c>
      <c r="AC111" s="72" t="s">
        <v>37</v>
      </c>
      <c r="AD111" s="115">
        <v>60084</v>
      </c>
      <c r="AG111" s="73">
        <f t="shared" si="1"/>
        <v>60084</v>
      </c>
      <c r="AH111" s="73">
        <v>60207</v>
      </c>
      <c r="AI111" s="73">
        <v>11439.33</v>
      </c>
      <c r="AJ111" s="73">
        <v>71646.33</v>
      </c>
    </row>
    <row r="112" spans="1:36" ht="33" x14ac:dyDescent="0.25">
      <c r="A112" s="32">
        <v>110</v>
      </c>
      <c r="B112" s="23">
        <v>1043205403</v>
      </c>
      <c r="C112" s="24" t="s">
        <v>20</v>
      </c>
      <c r="D112" s="113" t="s">
        <v>355</v>
      </c>
      <c r="E112" s="26" t="s">
        <v>22</v>
      </c>
      <c r="F112" s="114" t="s">
        <v>356</v>
      </c>
      <c r="G112" s="26" t="e">
        <v>#N/A</v>
      </c>
      <c r="H112" s="26" t="e">
        <v>#N/A</v>
      </c>
      <c r="I112" s="26" t="s">
        <v>20</v>
      </c>
      <c r="J112" s="70">
        <v>15546.07</v>
      </c>
      <c r="K112" s="71">
        <v>0</v>
      </c>
      <c r="L112" s="71">
        <v>0</v>
      </c>
      <c r="M112" s="71">
        <v>0</v>
      </c>
      <c r="N112" s="71">
        <v>0</v>
      </c>
      <c r="O112" s="71">
        <v>0</v>
      </c>
      <c r="P112" s="71">
        <v>0</v>
      </c>
      <c r="Q112" s="71">
        <v>0</v>
      </c>
      <c r="R112" s="71">
        <v>5</v>
      </c>
      <c r="S112" s="26"/>
      <c r="T112" s="28">
        <f>VLOOKUP(D112:D270,'[1]Lista de artículos (1)'!$A$3:$I$553,7)</f>
        <v>14509.820905714285</v>
      </c>
      <c r="U112" s="28" t="e">
        <f>VLOOKUP(D112,'[1]Lista de artículos (1)'!$A$3:$G$553,7,0)</f>
        <v>#N/A</v>
      </c>
      <c r="V112" s="26" t="s">
        <v>176</v>
      </c>
      <c r="W112" s="26" t="s">
        <v>176</v>
      </c>
      <c r="X112" s="32" t="s">
        <v>25</v>
      </c>
      <c r="Y112" s="72">
        <v>23990</v>
      </c>
      <c r="Z112" s="72" t="s">
        <v>25</v>
      </c>
      <c r="AA112" s="73" t="s">
        <v>25</v>
      </c>
      <c r="AB112" s="73" t="s">
        <v>24</v>
      </c>
      <c r="AC112" s="72" t="s">
        <v>37</v>
      </c>
      <c r="AD112" s="32" t="s">
        <v>176</v>
      </c>
      <c r="AG112" s="73">
        <f t="shared" si="1"/>
        <v>23990</v>
      </c>
      <c r="AH112" s="73">
        <v>23990</v>
      </c>
      <c r="AI112" s="73">
        <v>4558.1000000000004</v>
      </c>
      <c r="AJ112" s="73">
        <v>28548.1</v>
      </c>
    </row>
    <row r="113" spans="1:36" ht="33" x14ac:dyDescent="0.25">
      <c r="A113" s="32">
        <v>111</v>
      </c>
      <c r="B113" s="23">
        <v>1043205424</v>
      </c>
      <c r="C113" s="24" t="s">
        <v>20</v>
      </c>
      <c r="D113" s="113" t="s">
        <v>357</v>
      </c>
      <c r="E113" s="26" t="s">
        <v>22</v>
      </c>
      <c r="F113" s="114" t="s">
        <v>358</v>
      </c>
      <c r="G113" s="26" t="e">
        <v>#N/A</v>
      </c>
      <c r="H113" s="26" t="e">
        <v>#N/A</v>
      </c>
      <c r="I113" s="26" t="s">
        <v>20</v>
      </c>
      <c r="J113" s="70">
        <v>1</v>
      </c>
      <c r="K113" s="71">
        <v>0</v>
      </c>
      <c r="L113" s="71">
        <v>0</v>
      </c>
      <c r="M113" s="71">
        <v>0</v>
      </c>
      <c r="N113" s="71">
        <v>0</v>
      </c>
      <c r="O113" s="71">
        <v>0</v>
      </c>
      <c r="P113" s="71">
        <v>0</v>
      </c>
      <c r="Q113" s="71">
        <v>0</v>
      </c>
      <c r="R113" s="71">
        <v>0</v>
      </c>
      <c r="S113" s="26"/>
      <c r="T113" s="28">
        <f>VLOOKUP(D113:D271,'[1]Lista de artículos (1)'!$A$3:$I$553,7)</f>
        <v>14509.820905714285</v>
      </c>
      <c r="U113" s="28" t="e">
        <f>VLOOKUP(D113,'[1]Lista de artículos (1)'!$A$3:$G$553,7,0)</f>
        <v>#N/A</v>
      </c>
      <c r="V113" s="26" t="s">
        <v>176</v>
      </c>
      <c r="W113" s="26" t="s">
        <v>176</v>
      </c>
      <c r="X113" s="32" t="s">
        <v>25</v>
      </c>
      <c r="Y113" s="72">
        <v>7400</v>
      </c>
      <c r="Z113" s="72" t="s">
        <v>25</v>
      </c>
      <c r="AA113" s="73" t="s">
        <v>25</v>
      </c>
      <c r="AB113" s="73" t="s">
        <v>24</v>
      </c>
      <c r="AC113" s="72" t="s">
        <v>37</v>
      </c>
      <c r="AD113" s="32" t="s">
        <v>176</v>
      </c>
      <c r="AG113" s="73">
        <f t="shared" si="1"/>
        <v>7400</v>
      </c>
      <c r="AH113" s="73">
        <v>7400</v>
      </c>
      <c r="AI113" s="73">
        <v>1406</v>
      </c>
      <c r="AJ113" s="73">
        <v>8806</v>
      </c>
    </row>
    <row r="114" spans="1:36" ht="33" x14ac:dyDescent="0.25">
      <c r="A114" s="32">
        <v>112</v>
      </c>
      <c r="B114" s="23">
        <v>1043205406</v>
      </c>
      <c r="C114" s="24" t="s">
        <v>20</v>
      </c>
      <c r="D114" s="113" t="s">
        <v>359</v>
      </c>
      <c r="E114" s="26" t="s">
        <v>22</v>
      </c>
      <c r="F114" s="114" t="s">
        <v>360</v>
      </c>
      <c r="G114" s="26" t="e">
        <v>#N/A</v>
      </c>
      <c r="H114" s="26" t="e">
        <v>#N/A</v>
      </c>
      <c r="I114" s="26" t="s">
        <v>20</v>
      </c>
      <c r="J114" s="70">
        <v>1</v>
      </c>
      <c r="K114" s="71">
        <v>0</v>
      </c>
      <c r="L114" s="71">
        <v>0</v>
      </c>
      <c r="M114" s="71">
        <v>0</v>
      </c>
      <c r="N114" s="71">
        <v>0</v>
      </c>
      <c r="O114" s="71">
        <v>0</v>
      </c>
      <c r="P114" s="71">
        <v>0</v>
      </c>
      <c r="Q114" s="71">
        <v>0</v>
      </c>
      <c r="R114" s="71">
        <v>0</v>
      </c>
      <c r="S114" s="26"/>
      <c r="T114" s="28">
        <f>VLOOKUP(D114:D272,'[1]Lista de artículos (1)'!$A$3:$I$553,7)</f>
        <v>4030.9489633613448</v>
      </c>
      <c r="U114" s="28" t="e">
        <f>VLOOKUP(D114,'[1]Lista de artículos (1)'!$A$3:$G$553,7,0)</f>
        <v>#N/A</v>
      </c>
      <c r="V114" s="26" t="s">
        <v>176</v>
      </c>
      <c r="W114" s="26" t="s">
        <v>176</v>
      </c>
      <c r="X114" s="32" t="s">
        <v>25</v>
      </c>
      <c r="Y114" s="72">
        <v>37400</v>
      </c>
      <c r="Z114" s="72" t="s">
        <v>25</v>
      </c>
      <c r="AA114" s="73" t="s">
        <v>25</v>
      </c>
      <c r="AB114" s="73" t="s">
        <v>24</v>
      </c>
      <c r="AC114" s="72" t="s">
        <v>37</v>
      </c>
      <c r="AD114" s="32" t="s">
        <v>176</v>
      </c>
      <c r="AG114" s="73">
        <f t="shared" si="1"/>
        <v>37400</v>
      </c>
      <c r="AH114" s="73">
        <v>37400</v>
      </c>
      <c r="AI114" s="73">
        <v>7106</v>
      </c>
      <c r="AJ114" s="73">
        <v>44506</v>
      </c>
    </row>
    <row r="115" spans="1:36" ht="33" x14ac:dyDescent="0.25">
      <c r="A115" s="32">
        <v>113</v>
      </c>
      <c r="B115" s="23">
        <v>1043205405</v>
      </c>
      <c r="C115" s="24" t="s">
        <v>20</v>
      </c>
      <c r="D115" s="113" t="s">
        <v>361</v>
      </c>
      <c r="E115" s="26" t="s">
        <v>22</v>
      </c>
      <c r="F115" s="114" t="s">
        <v>362</v>
      </c>
      <c r="G115" s="26" t="e">
        <v>#N/A</v>
      </c>
      <c r="H115" s="26" t="e">
        <v>#N/A</v>
      </c>
      <c r="I115" s="26" t="s">
        <v>20</v>
      </c>
      <c r="J115" s="70">
        <v>1</v>
      </c>
      <c r="K115" s="71">
        <v>0</v>
      </c>
      <c r="L115" s="71">
        <v>0</v>
      </c>
      <c r="M115" s="71">
        <v>0</v>
      </c>
      <c r="N115" s="71">
        <v>0</v>
      </c>
      <c r="O115" s="71">
        <v>0</v>
      </c>
      <c r="P115" s="71">
        <v>0</v>
      </c>
      <c r="Q115" s="71">
        <v>0</v>
      </c>
      <c r="R115" s="71">
        <v>0</v>
      </c>
      <c r="S115" s="26"/>
      <c r="T115" s="28">
        <f>VLOOKUP(D115:D273,'[1]Lista de artículos (1)'!$A$3:$I$553,7)</f>
        <v>4030.9489633613448</v>
      </c>
      <c r="U115" s="28" t="e">
        <f>VLOOKUP(D115,'[1]Lista de artículos (1)'!$A$3:$G$553,7,0)</f>
        <v>#N/A</v>
      </c>
      <c r="V115" s="26" t="s">
        <v>176</v>
      </c>
      <c r="W115" s="26" t="s">
        <v>176</v>
      </c>
      <c r="X115" s="32" t="s">
        <v>25</v>
      </c>
      <c r="Y115" s="72">
        <v>12990</v>
      </c>
      <c r="Z115" s="72" t="s">
        <v>25</v>
      </c>
      <c r="AA115" s="73" t="s">
        <v>25</v>
      </c>
      <c r="AB115" s="73" t="s">
        <v>24</v>
      </c>
      <c r="AC115" s="72" t="s">
        <v>37</v>
      </c>
      <c r="AD115" s="32" t="s">
        <v>176</v>
      </c>
      <c r="AG115" s="73">
        <f t="shared" si="1"/>
        <v>12990</v>
      </c>
      <c r="AH115" s="73">
        <v>12990</v>
      </c>
      <c r="AI115" s="73">
        <v>2468.1</v>
      </c>
      <c r="AJ115" s="73">
        <v>15458.1</v>
      </c>
    </row>
    <row r="116" spans="1:36" ht="33" x14ac:dyDescent="0.25">
      <c r="A116" s="32">
        <v>114</v>
      </c>
      <c r="B116" s="23">
        <v>1043205425</v>
      </c>
      <c r="C116" s="24" t="s">
        <v>20</v>
      </c>
      <c r="D116" s="113" t="s">
        <v>363</v>
      </c>
      <c r="E116" s="26" t="s">
        <v>22</v>
      </c>
      <c r="F116" s="114" t="s">
        <v>363</v>
      </c>
      <c r="G116" s="26" t="e">
        <v>#N/A</v>
      </c>
      <c r="H116" s="26" t="e">
        <v>#N/A</v>
      </c>
      <c r="I116" s="26" t="s">
        <v>20</v>
      </c>
      <c r="J116" s="70">
        <v>80018.02</v>
      </c>
      <c r="K116" s="71">
        <v>0</v>
      </c>
      <c r="L116" s="71">
        <v>0</v>
      </c>
      <c r="M116" s="71">
        <v>0</v>
      </c>
      <c r="N116" s="71">
        <v>0</v>
      </c>
      <c r="O116" s="71">
        <v>1</v>
      </c>
      <c r="P116" s="71">
        <v>8.3333333333333329E-2</v>
      </c>
      <c r="Q116" s="71">
        <v>0</v>
      </c>
      <c r="R116" s="71">
        <v>0</v>
      </c>
      <c r="S116" s="26"/>
      <c r="T116" s="28">
        <f>VLOOKUP(D116:D274,'[1]Lista de artículos (1)'!$A$3:$I$553,7)</f>
        <v>4030.9489633613448</v>
      </c>
      <c r="U116" s="28" t="e">
        <f>VLOOKUP(D116,'[1]Lista de artículos (1)'!$A$3:$G$553,7,0)</f>
        <v>#N/A</v>
      </c>
      <c r="V116" s="28">
        <v>112700</v>
      </c>
      <c r="W116" s="28" t="s">
        <v>37</v>
      </c>
      <c r="X116" s="32" t="s">
        <v>25</v>
      </c>
      <c r="Y116" s="72" t="s">
        <v>25</v>
      </c>
      <c r="Z116" s="72" t="s">
        <v>25</v>
      </c>
      <c r="AA116" s="73" t="s">
        <v>25</v>
      </c>
      <c r="AB116" s="73" t="s">
        <v>24</v>
      </c>
      <c r="AC116" s="72" t="s">
        <v>37</v>
      </c>
      <c r="AD116" s="115" t="s">
        <v>37</v>
      </c>
      <c r="AG116" s="73">
        <f t="shared" si="1"/>
        <v>112700</v>
      </c>
      <c r="AH116" s="73">
        <v>112700</v>
      </c>
      <c r="AI116" s="73">
        <v>21413</v>
      </c>
      <c r="AJ116" s="73">
        <v>134113</v>
      </c>
    </row>
    <row r="117" spans="1:36" ht="33" x14ac:dyDescent="0.25">
      <c r="A117" s="32">
        <v>115</v>
      </c>
      <c r="B117" s="23">
        <v>1043205535</v>
      </c>
      <c r="C117" s="24" t="s">
        <v>20</v>
      </c>
      <c r="D117" s="113" t="s">
        <v>364</v>
      </c>
      <c r="E117" s="26" t="s">
        <v>365</v>
      </c>
      <c r="F117" s="114" t="s">
        <v>366</v>
      </c>
      <c r="G117" s="26" t="e">
        <v>#N/A</v>
      </c>
      <c r="H117" s="26" t="e">
        <v>#N/A</v>
      </c>
      <c r="I117" s="26" t="s">
        <v>20</v>
      </c>
      <c r="J117" s="70">
        <v>145292.96</v>
      </c>
      <c r="K117" s="71">
        <v>0</v>
      </c>
      <c r="L117" s="71">
        <v>16</v>
      </c>
      <c r="M117" s="71">
        <v>25</v>
      </c>
      <c r="N117" s="71">
        <v>2.0833333333333335</v>
      </c>
      <c r="O117" s="71">
        <v>3</v>
      </c>
      <c r="P117" s="71">
        <v>0.25</v>
      </c>
      <c r="Q117" s="71">
        <v>0</v>
      </c>
      <c r="R117" s="71">
        <v>0</v>
      </c>
      <c r="S117" s="26"/>
      <c r="T117" s="28">
        <f>VLOOKUP(D117:D275,'[1]Lista de artículos (1)'!$A$3:$I$553,7)</f>
        <v>180807.73714285714</v>
      </c>
      <c r="U117" s="28" t="e">
        <f>VLOOKUP(D117,'[1]Lista de artículos (1)'!$A$3:$G$553,7,0)</f>
        <v>#N/A</v>
      </c>
      <c r="V117" s="26" t="s">
        <v>176</v>
      </c>
      <c r="W117" s="26" t="s">
        <v>176</v>
      </c>
      <c r="X117" s="32" t="s">
        <v>25</v>
      </c>
      <c r="Y117" s="72" t="s">
        <v>25</v>
      </c>
      <c r="Z117" s="72">
        <v>300</v>
      </c>
      <c r="AA117" s="73" t="s">
        <v>25</v>
      </c>
      <c r="AB117" s="73" t="s">
        <v>24</v>
      </c>
      <c r="AC117" s="72" t="s">
        <v>24</v>
      </c>
      <c r="AD117" s="32" t="s">
        <v>176</v>
      </c>
      <c r="AG117" s="73">
        <f t="shared" si="1"/>
        <v>300</v>
      </c>
      <c r="AH117" s="73">
        <v>300</v>
      </c>
      <c r="AI117" s="73">
        <v>57</v>
      </c>
      <c r="AJ117" s="73">
        <v>357</v>
      </c>
    </row>
    <row r="118" spans="1:36" x14ac:dyDescent="0.25">
      <c r="A118" s="32">
        <v>116</v>
      </c>
      <c r="B118" s="36">
        <v>1043205409</v>
      </c>
      <c r="C118" s="118" t="s">
        <v>20</v>
      </c>
      <c r="D118" s="119" t="s">
        <v>367</v>
      </c>
      <c r="E118" s="38" t="s">
        <v>22</v>
      </c>
      <c r="F118" s="120" t="s">
        <v>367</v>
      </c>
      <c r="G118" s="38" t="e">
        <v>#N/A</v>
      </c>
      <c r="H118" s="38" t="e">
        <v>#N/A</v>
      </c>
      <c r="I118" s="38" t="s">
        <v>20</v>
      </c>
      <c r="J118" s="100">
        <v>1</v>
      </c>
      <c r="K118" s="101">
        <v>0</v>
      </c>
      <c r="L118" s="101">
        <v>0</v>
      </c>
      <c r="M118" s="101">
        <v>0</v>
      </c>
      <c r="N118" s="101">
        <v>0</v>
      </c>
      <c r="O118" s="101">
        <v>0</v>
      </c>
      <c r="P118" s="101">
        <v>0</v>
      </c>
      <c r="Q118" s="101">
        <v>0</v>
      </c>
      <c r="R118" s="101">
        <v>0</v>
      </c>
      <c r="S118" s="38"/>
      <c r="T118" s="40">
        <f>VLOOKUP(D118:D276,'[1]Lista de artículos (1)'!$A$3:$I$553,7)</f>
        <v>3319.2400764705885</v>
      </c>
      <c r="U118" s="28" t="e">
        <f>VLOOKUP(D118,'[1]Lista de artículos (1)'!$A$3:$G$553,7,0)</f>
        <v>#N/A</v>
      </c>
      <c r="V118" s="40">
        <v>48900</v>
      </c>
      <c r="W118" s="40">
        <v>100000</v>
      </c>
      <c r="X118" s="121" t="s">
        <v>25</v>
      </c>
      <c r="Y118" s="77" t="s">
        <v>25</v>
      </c>
      <c r="Z118" s="77" t="s">
        <v>25</v>
      </c>
      <c r="AA118" s="122" t="s">
        <v>25</v>
      </c>
      <c r="AB118" s="122" t="s">
        <v>24</v>
      </c>
      <c r="AC118" s="77" t="s">
        <v>24</v>
      </c>
      <c r="AD118" s="123" t="s">
        <v>24</v>
      </c>
      <c r="AG118" s="73">
        <f t="shared" si="1"/>
        <v>48900</v>
      </c>
      <c r="AH118" s="73">
        <v>74450</v>
      </c>
      <c r="AI118" s="73">
        <v>14145.5</v>
      </c>
      <c r="AJ118" s="73">
        <v>88595.5</v>
      </c>
    </row>
    <row r="119" spans="1:36" ht="33" x14ac:dyDescent="0.25">
      <c r="A119" s="32">
        <v>117</v>
      </c>
      <c r="B119" s="24">
        <v>1043205380</v>
      </c>
      <c r="C119" s="24" t="s">
        <v>20</v>
      </c>
      <c r="D119" s="124" t="s">
        <v>368</v>
      </c>
      <c r="E119" s="26" t="s">
        <v>22</v>
      </c>
      <c r="F119" s="114" t="s">
        <v>368</v>
      </c>
      <c r="G119" s="26" t="e">
        <v>#N/A</v>
      </c>
      <c r="H119" s="26" t="e">
        <v>#N/A</v>
      </c>
      <c r="I119" s="26" t="s">
        <v>20</v>
      </c>
      <c r="J119" s="70">
        <v>5425.9933300000002</v>
      </c>
      <c r="K119" s="71">
        <v>0</v>
      </c>
      <c r="L119" s="71">
        <v>0</v>
      </c>
      <c r="M119" s="71">
        <v>0</v>
      </c>
      <c r="N119" s="71">
        <v>0</v>
      </c>
      <c r="O119" s="71">
        <v>0</v>
      </c>
      <c r="P119" s="71">
        <v>0</v>
      </c>
      <c r="Q119" s="71">
        <v>0</v>
      </c>
      <c r="R119" s="71">
        <v>30</v>
      </c>
      <c r="S119" s="26"/>
      <c r="T119" s="28">
        <f>VLOOKUP(D119:D279,'[1]Lista de artículos (1)'!$A$3:$I$553,7)</f>
        <v>4143.5106428571426</v>
      </c>
      <c r="U119" s="28" t="e">
        <f>VLOOKUP(D119,'[1]Lista de artículos (1)'!$A$3:$G$553,7,0)</f>
        <v>#N/A</v>
      </c>
      <c r="V119" s="26" t="s">
        <v>176</v>
      </c>
      <c r="W119" s="26" t="s">
        <v>176</v>
      </c>
      <c r="X119" s="32" t="s">
        <v>25</v>
      </c>
      <c r="Y119" s="72">
        <v>6900</v>
      </c>
      <c r="Z119" s="72" t="s">
        <v>25</v>
      </c>
      <c r="AA119" s="73" t="s">
        <v>25</v>
      </c>
      <c r="AB119" s="73" t="s">
        <v>24</v>
      </c>
      <c r="AC119" s="72" t="s">
        <v>24</v>
      </c>
      <c r="AD119" s="32" t="s">
        <v>176</v>
      </c>
      <c r="AG119" s="73">
        <f t="shared" si="1"/>
        <v>6900</v>
      </c>
      <c r="AH119" s="73">
        <v>6900</v>
      </c>
      <c r="AI119" s="73">
        <v>1311</v>
      </c>
      <c r="AJ119" s="73">
        <v>8211</v>
      </c>
    </row>
    <row r="120" spans="1:36" x14ac:dyDescent="0.25">
      <c r="E120" s="48"/>
      <c r="F120" s="78"/>
      <c r="G120" s="46"/>
      <c r="H120" s="46"/>
      <c r="I120" s="46"/>
      <c r="J120" s="46"/>
      <c r="K120" s="46"/>
      <c r="L120" s="46"/>
      <c r="M120" s="46"/>
      <c r="N120" s="46"/>
      <c r="O120" s="46"/>
      <c r="P120" s="46"/>
      <c r="Q120" s="46"/>
      <c r="R120" s="46"/>
      <c r="S120" s="46"/>
      <c r="T120" s="79"/>
      <c r="U120" s="79"/>
      <c r="V120" s="46"/>
      <c r="W120" s="46"/>
      <c r="X120" s="46"/>
      <c r="Y120" s="79"/>
      <c r="Z120" s="79"/>
      <c r="AA120" s="80"/>
      <c r="AB120" s="78"/>
      <c r="AC120" s="46"/>
      <c r="AD120" s="46"/>
      <c r="AE120" s="46"/>
    </row>
    <row r="121" spans="1:36" x14ac:dyDescent="0.25">
      <c r="E121" s="48"/>
      <c r="F121" s="78"/>
      <c r="G121" s="46"/>
      <c r="H121" s="46"/>
      <c r="I121" s="46"/>
      <c r="J121" s="46"/>
      <c r="K121" s="46"/>
      <c r="L121" s="46"/>
      <c r="M121" s="46"/>
      <c r="N121" s="46"/>
      <c r="O121" s="46"/>
      <c r="P121" s="46"/>
      <c r="Q121" s="46"/>
      <c r="R121" s="46"/>
      <c r="S121" s="46"/>
      <c r="T121" s="79"/>
      <c r="U121" s="79"/>
      <c r="V121" s="46"/>
      <c r="W121" s="46"/>
      <c r="X121" s="46"/>
      <c r="Y121" s="79"/>
      <c r="Z121" s="79"/>
      <c r="AA121" s="80"/>
      <c r="AB121" s="78"/>
      <c r="AC121" s="46"/>
      <c r="AD121" s="46"/>
      <c r="AE121" s="46"/>
    </row>
    <row r="122" spans="1:36" ht="18" customHeight="1" x14ac:dyDescent="0.25">
      <c r="A122" s="131" t="s">
        <v>369</v>
      </c>
      <c r="B122" s="131"/>
      <c r="C122" s="131"/>
      <c r="D122" s="131"/>
      <c r="E122" s="131"/>
      <c r="F122" s="131"/>
      <c r="G122" s="46"/>
      <c r="H122" s="46"/>
      <c r="I122" s="46"/>
      <c r="J122" s="46"/>
      <c r="K122" s="46"/>
      <c r="L122" s="46"/>
      <c r="M122" s="46"/>
      <c r="N122" s="46"/>
      <c r="O122" s="46"/>
      <c r="P122" s="46"/>
      <c r="Q122" s="46"/>
      <c r="R122" s="46"/>
      <c r="S122" s="46"/>
      <c r="T122" s="79"/>
      <c r="U122" s="79"/>
      <c r="V122" s="46"/>
      <c r="W122" s="46"/>
      <c r="X122" s="46"/>
      <c r="Y122" s="79"/>
      <c r="Z122" s="79"/>
      <c r="AA122" s="80"/>
      <c r="AB122" s="78"/>
      <c r="AC122" s="46"/>
      <c r="AD122" s="46"/>
      <c r="AE122" s="46"/>
    </row>
    <row r="123" spans="1:36" ht="16.5" customHeight="1" x14ac:dyDescent="0.25">
      <c r="A123" s="131"/>
      <c r="B123" s="131"/>
      <c r="C123" s="131"/>
      <c r="D123" s="131"/>
      <c r="E123" s="131"/>
      <c r="F123" s="131"/>
      <c r="G123" s="46"/>
      <c r="H123" s="46"/>
      <c r="I123" s="46"/>
      <c r="J123" s="46"/>
      <c r="K123" s="46"/>
      <c r="L123" s="46"/>
      <c r="M123" s="46"/>
      <c r="N123" s="46"/>
      <c r="O123" s="46"/>
      <c r="P123" s="46"/>
      <c r="Q123" s="46"/>
      <c r="R123" s="46"/>
      <c r="S123" s="46"/>
      <c r="T123" s="79"/>
      <c r="U123" s="79"/>
      <c r="V123" s="46"/>
      <c r="W123" s="46"/>
      <c r="X123" s="46"/>
      <c r="Y123" s="79"/>
      <c r="Z123" s="79"/>
      <c r="AA123" s="80"/>
      <c r="AB123" s="78"/>
      <c r="AC123" s="46"/>
      <c r="AD123" s="46"/>
      <c r="AE123" s="46"/>
    </row>
    <row r="124" spans="1:36" ht="16.5" customHeight="1" x14ac:dyDescent="0.25">
      <c r="A124" s="131"/>
      <c r="B124" s="131"/>
      <c r="C124" s="131"/>
      <c r="D124" s="131"/>
      <c r="E124" s="131"/>
      <c r="F124" s="131"/>
      <c r="G124" s="46"/>
      <c r="H124" s="46"/>
      <c r="I124" s="46"/>
      <c r="J124" s="46"/>
      <c r="K124" s="46"/>
      <c r="L124" s="46"/>
      <c r="M124" s="46"/>
      <c r="N124" s="46"/>
      <c r="O124" s="46"/>
      <c r="P124" s="46"/>
      <c r="Q124" s="46"/>
      <c r="R124" s="46"/>
      <c r="S124" s="46"/>
      <c r="T124" s="79"/>
      <c r="U124" s="79"/>
      <c r="V124" s="46"/>
      <c r="W124" s="46"/>
      <c r="X124" s="46"/>
      <c r="Y124" s="79"/>
      <c r="Z124" s="79"/>
      <c r="AA124" s="80"/>
      <c r="AB124" s="78"/>
      <c r="AC124" s="46"/>
      <c r="AD124" s="46"/>
      <c r="AE124" s="46"/>
    </row>
    <row r="125" spans="1:36" x14ac:dyDescent="0.25">
      <c r="E125" s="48"/>
      <c r="F125" s="78"/>
      <c r="G125" s="46"/>
      <c r="H125" s="46"/>
      <c r="I125" s="46"/>
      <c r="J125" s="46"/>
      <c r="K125" s="46"/>
      <c r="L125" s="46"/>
      <c r="M125" s="46"/>
      <c r="N125" s="46"/>
      <c r="O125" s="46"/>
      <c r="P125" s="46"/>
      <c r="Q125" s="46"/>
      <c r="R125" s="46"/>
      <c r="S125" s="46"/>
      <c r="T125" s="79"/>
      <c r="U125" s="79"/>
      <c r="V125" s="46"/>
      <c r="W125" s="46"/>
      <c r="X125" s="46"/>
      <c r="Y125" s="79"/>
      <c r="Z125" s="79"/>
      <c r="AA125" s="80"/>
      <c r="AB125" s="78"/>
      <c r="AC125" s="46"/>
      <c r="AD125" s="46"/>
      <c r="AE125" s="46"/>
    </row>
    <row r="126" spans="1:36" x14ac:dyDescent="0.25">
      <c r="E126" s="48"/>
      <c r="F126" s="78"/>
      <c r="G126" s="46"/>
      <c r="H126" s="46"/>
      <c r="I126" s="46"/>
      <c r="J126" s="46"/>
      <c r="K126" s="46"/>
      <c r="L126" s="46"/>
      <c r="M126" s="46"/>
      <c r="N126" s="46"/>
      <c r="O126" s="46"/>
      <c r="P126" s="46"/>
      <c r="Q126" s="46"/>
      <c r="R126" s="46"/>
      <c r="S126" s="46"/>
      <c r="T126" s="79"/>
      <c r="U126" s="79"/>
      <c r="V126" s="46"/>
      <c r="W126" s="46"/>
      <c r="X126" s="46"/>
      <c r="Y126" s="79"/>
      <c r="Z126" s="79"/>
      <c r="AA126" s="80"/>
      <c r="AB126" s="78"/>
      <c r="AC126" s="46"/>
      <c r="AD126" s="46"/>
      <c r="AE126" s="46"/>
    </row>
    <row r="127" spans="1:36" x14ac:dyDescent="0.25">
      <c r="E127" s="48"/>
      <c r="F127" s="78"/>
      <c r="G127" s="46"/>
      <c r="H127" s="46"/>
      <c r="I127" s="46"/>
      <c r="J127" s="46"/>
      <c r="K127" s="46"/>
      <c r="L127" s="46"/>
      <c r="M127" s="46"/>
      <c r="N127" s="46"/>
      <c r="O127" s="46"/>
      <c r="P127" s="46"/>
      <c r="Q127" s="46"/>
      <c r="R127" s="46"/>
      <c r="S127" s="46"/>
      <c r="T127" s="79"/>
      <c r="U127" s="79"/>
      <c r="V127" s="46"/>
      <c r="W127" s="46"/>
      <c r="X127" s="46"/>
      <c r="Y127" s="79"/>
      <c r="Z127" s="79"/>
      <c r="AA127" s="80"/>
      <c r="AB127" s="78"/>
      <c r="AC127" s="46"/>
      <c r="AD127" s="46"/>
      <c r="AE127" s="46"/>
    </row>
    <row r="128" spans="1:36" x14ac:dyDescent="0.25">
      <c r="E128" s="48"/>
      <c r="F128" s="78"/>
      <c r="G128" s="46"/>
      <c r="H128" s="46"/>
      <c r="I128" s="46"/>
      <c r="J128" s="46"/>
      <c r="K128" s="46"/>
      <c r="L128" s="46"/>
      <c r="M128" s="46"/>
      <c r="N128" s="46"/>
      <c r="O128" s="46"/>
      <c r="P128" s="46"/>
      <c r="Q128" s="46"/>
      <c r="R128" s="46"/>
      <c r="S128" s="46"/>
      <c r="T128" s="79"/>
      <c r="U128" s="79"/>
      <c r="V128" s="46"/>
      <c r="W128" s="46"/>
      <c r="X128" s="46"/>
      <c r="Y128" s="79"/>
      <c r="Z128" s="79"/>
      <c r="AA128" s="80"/>
      <c r="AB128" s="78"/>
      <c r="AC128" s="46"/>
      <c r="AD128" s="46"/>
      <c r="AE128" s="46"/>
    </row>
    <row r="129" spans="5:31" x14ac:dyDescent="0.25">
      <c r="E129" s="48"/>
      <c r="F129" s="78"/>
      <c r="G129" s="46"/>
      <c r="H129" s="46"/>
      <c r="I129" s="46"/>
      <c r="J129" s="46"/>
      <c r="K129" s="46"/>
      <c r="L129" s="46"/>
      <c r="M129" s="46"/>
      <c r="N129" s="46"/>
      <c r="O129" s="46"/>
      <c r="P129" s="46"/>
      <c r="Q129" s="46"/>
      <c r="R129" s="46"/>
      <c r="S129" s="46"/>
      <c r="T129" s="79"/>
      <c r="U129" s="79"/>
      <c r="V129" s="46"/>
      <c r="W129" s="46"/>
      <c r="X129" s="46"/>
      <c r="Y129" s="79"/>
      <c r="Z129" s="79"/>
      <c r="AA129" s="80"/>
      <c r="AB129" s="78"/>
      <c r="AC129" s="46"/>
      <c r="AD129" s="46"/>
      <c r="AE129" s="46"/>
    </row>
    <row r="130" spans="5:31" x14ac:dyDescent="0.25">
      <c r="E130" s="48"/>
      <c r="F130" s="78"/>
      <c r="G130" s="46"/>
      <c r="H130" s="46"/>
      <c r="I130" s="46"/>
      <c r="J130" s="46"/>
      <c r="K130" s="46"/>
      <c r="L130" s="46"/>
      <c r="M130" s="46"/>
      <c r="N130" s="46"/>
      <c r="O130" s="46"/>
      <c r="P130" s="46"/>
      <c r="Q130" s="46"/>
      <c r="R130" s="46"/>
      <c r="S130" s="46"/>
      <c r="T130" s="79"/>
      <c r="U130" s="79"/>
      <c r="V130" s="46"/>
      <c r="W130" s="46"/>
      <c r="X130" s="46"/>
      <c r="Y130" s="79"/>
      <c r="Z130" s="79"/>
      <c r="AA130" s="80"/>
      <c r="AB130" s="78"/>
      <c r="AC130" s="46"/>
      <c r="AD130" s="46"/>
      <c r="AE130" s="46"/>
    </row>
    <row r="131" spans="5:31" x14ac:dyDescent="0.25">
      <c r="E131" s="48"/>
      <c r="F131" s="78"/>
      <c r="G131" s="46"/>
      <c r="H131" s="46"/>
      <c r="I131" s="46"/>
      <c r="J131" s="46"/>
      <c r="K131" s="46"/>
      <c r="L131" s="46"/>
      <c r="M131" s="46"/>
      <c r="N131" s="46"/>
      <c r="O131" s="46"/>
      <c r="P131" s="46"/>
      <c r="Q131" s="46"/>
      <c r="R131" s="46"/>
      <c r="S131" s="46"/>
      <c r="T131" s="79"/>
      <c r="U131" s="79"/>
      <c r="V131" s="46"/>
      <c r="W131" s="46"/>
      <c r="X131" s="46"/>
      <c r="Y131" s="79"/>
      <c r="Z131" s="79"/>
      <c r="AA131" s="80"/>
      <c r="AB131" s="78"/>
      <c r="AC131" s="46"/>
      <c r="AD131" s="46"/>
      <c r="AE131" s="46"/>
    </row>
    <row r="132" spans="5:31" x14ac:dyDescent="0.25">
      <c r="E132" s="48"/>
      <c r="F132" s="78"/>
      <c r="G132" s="46"/>
      <c r="H132" s="46"/>
      <c r="I132" s="46"/>
      <c r="J132" s="46"/>
      <c r="K132" s="46"/>
      <c r="L132" s="46"/>
      <c r="M132" s="46"/>
      <c r="N132" s="46"/>
      <c r="O132" s="46"/>
      <c r="P132" s="46"/>
      <c r="Q132" s="46"/>
      <c r="R132" s="46"/>
      <c r="S132" s="46"/>
      <c r="T132" s="79"/>
      <c r="U132" s="79"/>
      <c r="V132" s="46"/>
      <c r="W132" s="46"/>
      <c r="X132" s="46"/>
      <c r="Y132" s="79"/>
      <c r="Z132" s="79"/>
      <c r="AA132" s="80"/>
      <c r="AB132" s="78"/>
      <c r="AC132" s="46"/>
      <c r="AD132" s="46"/>
      <c r="AE132" s="46"/>
    </row>
    <row r="133" spans="5:31" x14ac:dyDescent="0.25">
      <c r="E133" s="48"/>
      <c r="F133" s="78"/>
      <c r="G133" s="46"/>
      <c r="H133" s="46"/>
      <c r="I133" s="46"/>
      <c r="J133" s="46"/>
      <c r="K133" s="46"/>
      <c r="L133" s="46"/>
      <c r="M133" s="46"/>
      <c r="N133" s="46"/>
      <c r="O133" s="46"/>
      <c r="P133" s="46"/>
      <c r="Q133" s="46"/>
      <c r="R133" s="46"/>
      <c r="S133" s="46"/>
      <c r="T133" s="79"/>
      <c r="U133" s="79"/>
      <c r="V133" s="46"/>
      <c r="W133" s="46"/>
      <c r="X133" s="46"/>
      <c r="Y133" s="79"/>
      <c r="Z133" s="79"/>
      <c r="AA133" s="80"/>
      <c r="AB133" s="78"/>
      <c r="AC133" s="46"/>
      <c r="AD133" s="46"/>
      <c r="AE133" s="46"/>
    </row>
    <row r="134" spans="5:31" x14ac:dyDescent="0.25">
      <c r="E134" s="48"/>
      <c r="F134" s="78"/>
      <c r="G134" s="46"/>
      <c r="H134" s="46"/>
      <c r="I134" s="46"/>
      <c r="J134" s="46"/>
      <c r="K134" s="46"/>
      <c r="L134" s="46"/>
      <c r="M134" s="46"/>
      <c r="N134" s="46"/>
      <c r="O134" s="46"/>
      <c r="P134" s="46"/>
      <c r="Q134" s="46"/>
      <c r="R134" s="46"/>
      <c r="S134" s="46"/>
      <c r="T134" s="79"/>
      <c r="U134" s="79"/>
      <c r="V134" s="46"/>
      <c r="W134" s="46"/>
      <c r="X134" s="46"/>
      <c r="Y134" s="79"/>
      <c r="Z134" s="79"/>
      <c r="AA134" s="80"/>
      <c r="AB134" s="78"/>
      <c r="AC134" s="46"/>
      <c r="AD134" s="46"/>
      <c r="AE134" s="46"/>
    </row>
    <row r="135" spans="5:31" x14ac:dyDescent="0.25">
      <c r="E135" s="48"/>
      <c r="F135" s="78"/>
      <c r="G135" s="46"/>
      <c r="H135" s="46"/>
      <c r="I135" s="46"/>
      <c r="J135" s="46"/>
      <c r="K135" s="46"/>
      <c r="L135" s="46"/>
      <c r="M135" s="46"/>
      <c r="N135" s="46"/>
      <c r="O135" s="46"/>
      <c r="P135" s="46"/>
      <c r="Q135" s="46"/>
      <c r="R135" s="46"/>
      <c r="S135" s="46"/>
      <c r="T135" s="79"/>
      <c r="U135" s="79"/>
      <c r="V135" s="46"/>
      <c r="W135" s="46"/>
      <c r="X135" s="46"/>
      <c r="Y135" s="79"/>
      <c r="Z135" s="79"/>
      <c r="AA135" s="80"/>
      <c r="AB135" s="78"/>
      <c r="AC135" s="46"/>
      <c r="AD135" s="46"/>
      <c r="AE135" s="46"/>
    </row>
    <row r="136" spans="5:31" x14ac:dyDescent="0.25">
      <c r="E136" s="48"/>
      <c r="F136" s="78"/>
      <c r="G136" s="46"/>
      <c r="H136" s="46"/>
      <c r="I136" s="46"/>
      <c r="J136" s="46"/>
      <c r="K136" s="46"/>
      <c r="L136" s="46"/>
      <c r="M136" s="46"/>
      <c r="N136" s="46"/>
      <c r="O136" s="46"/>
      <c r="P136" s="46"/>
      <c r="Q136" s="46"/>
      <c r="R136" s="46"/>
      <c r="S136" s="46"/>
      <c r="T136" s="79"/>
      <c r="U136" s="79"/>
      <c r="V136" s="46"/>
      <c r="W136" s="46"/>
      <c r="X136" s="46"/>
      <c r="Y136" s="79"/>
      <c r="Z136" s="79"/>
      <c r="AA136" s="80"/>
      <c r="AB136" s="78"/>
      <c r="AC136" s="46"/>
      <c r="AD136" s="46"/>
      <c r="AE136" s="46"/>
    </row>
    <row r="137" spans="5:31" x14ac:dyDescent="0.25">
      <c r="E137" s="48"/>
      <c r="F137" s="78"/>
      <c r="G137" s="46"/>
      <c r="H137" s="46"/>
      <c r="I137" s="46"/>
      <c r="J137" s="46"/>
      <c r="K137" s="46"/>
      <c r="L137" s="46"/>
      <c r="M137" s="46"/>
      <c r="N137" s="46"/>
      <c r="O137" s="46"/>
      <c r="P137" s="46"/>
      <c r="Q137" s="46"/>
      <c r="R137" s="46"/>
      <c r="S137" s="46"/>
      <c r="T137" s="79"/>
      <c r="U137" s="79"/>
      <c r="V137" s="46"/>
      <c r="W137" s="46"/>
      <c r="X137" s="46"/>
      <c r="Y137" s="79"/>
      <c r="Z137" s="79"/>
      <c r="AA137" s="80"/>
      <c r="AB137" s="78"/>
      <c r="AC137" s="46"/>
      <c r="AD137" s="46"/>
      <c r="AE137" s="46"/>
    </row>
    <row r="138" spans="5:31" x14ac:dyDescent="0.25">
      <c r="E138" s="48"/>
      <c r="F138" s="78"/>
      <c r="G138" s="46"/>
      <c r="H138" s="46"/>
      <c r="I138" s="46"/>
      <c r="J138" s="46"/>
      <c r="K138" s="46"/>
      <c r="L138" s="46"/>
      <c r="M138" s="46"/>
      <c r="N138" s="46"/>
      <c r="O138" s="46"/>
      <c r="P138" s="46"/>
      <c r="Q138" s="46"/>
      <c r="R138" s="46"/>
      <c r="S138" s="46"/>
      <c r="T138" s="79"/>
      <c r="U138" s="79"/>
      <c r="V138" s="46"/>
      <c r="W138" s="46"/>
      <c r="X138" s="46"/>
      <c r="Y138" s="79"/>
      <c r="Z138" s="79"/>
      <c r="AA138" s="80"/>
      <c r="AB138" s="78"/>
      <c r="AC138" s="46"/>
      <c r="AD138" s="46"/>
      <c r="AE138" s="46"/>
    </row>
    <row r="139" spans="5:31" x14ac:dyDescent="0.25">
      <c r="E139" s="48"/>
      <c r="F139" s="78"/>
      <c r="G139" s="46"/>
      <c r="H139" s="46"/>
      <c r="I139" s="46"/>
      <c r="J139" s="46"/>
      <c r="K139" s="46"/>
      <c r="L139" s="46"/>
      <c r="M139" s="46"/>
      <c r="N139" s="46"/>
      <c r="O139" s="46"/>
      <c r="P139" s="46"/>
      <c r="Q139" s="46"/>
      <c r="R139" s="46"/>
      <c r="S139" s="46"/>
      <c r="T139" s="79"/>
      <c r="U139" s="79"/>
      <c r="V139" s="46"/>
      <c r="W139" s="46"/>
      <c r="X139" s="46"/>
      <c r="Y139" s="79"/>
      <c r="Z139" s="79"/>
      <c r="AA139" s="80"/>
      <c r="AB139" s="78"/>
      <c r="AC139" s="46"/>
      <c r="AD139" s="46"/>
      <c r="AE139" s="46"/>
    </row>
    <row r="140" spans="5:31" x14ac:dyDescent="0.25">
      <c r="E140" s="48"/>
      <c r="F140" s="78"/>
      <c r="G140" s="46"/>
      <c r="H140" s="46"/>
      <c r="I140" s="46"/>
      <c r="J140" s="46"/>
      <c r="K140" s="46"/>
      <c r="L140" s="46"/>
      <c r="M140" s="46"/>
      <c r="N140" s="46"/>
      <c r="O140" s="46"/>
      <c r="P140" s="46"/>
      <c r="Q140" s="46"/>
      <c r="R140" s="46"/>
      <c r="S140" s="46"/>
      <c r="T140" s="79"/>
      <c r="U140" s="79"/>
      <c r="V140" s="46"/>
      <c r="W140" s="46"/>
      <c r="X140" s="46"/>
      <c r="Y140" s="79"/>
      <c r="Z140" s="79"/>
      <c r="AA140" s="80"/>
      <c r="AB140" s="78"/>
      <c r="AC140" s="46"/>
      <c r="AD140" s="46"/>
      <c r="AE140" s="46"/>
    </row>
    <row r="141" spans="5:31" x14ac:dyDescent="0.25">
      <c r="E141" s="48"/>
      <c r="F141" s="78"/>
      <c r="G141" s="46"/>
      <c r="H141" s="46"/>
      <c r="I141" s="46"/>
      <c r="J141" s="46"/>
      <c r="K141" s="46"/>
      <c r="L141" s="46"/>
      <c r="M141" s="46"/>
      <c r="N141" s="46"/>
      <c r="O141" s="46"/>
      <c r="P141" s="46"/>
      <c r="Q141" s="46"/>
      <c r="R141" s="46"/>
      <c r="S141" s="46"/>
      <c r="T141" s="79"/>
      <c r="U141" s="79"/>
      <c r="V141" s="46"/>
      <c r="W141" s="46"/>
      <c r="X141" s="46"/>
      <c r="Y141" s="79"/>
      <c r="Z141" s="79"/>
      <c r="AA141" s="80"/>
      <c r="AB141" s="78"/>
      <c r="AC141" s="46"/>
      <c r="AD141" s="46"/>
      <c r="AE141" s="46"/>
    </row>
    <row r="142" spans="5:31" x14ac:dyDescent="0.25">
      <c r="E142" s="48"/>
      <c r="F142" s="78"/>
      <c r="G142" s="46"/>
      <c r="H142" s="46"/>
      <c r="I142" s="46"/>
      <c r="J142" s="46"/>
      <c r="K142" s="46"/>
      <c r="L142" s="46"/>
      <c r="M142" s="46"/>
      <c r="N142" s="46"/>
      <c r="O142" s="46"/>
      <c r="P142" s="46"/>
      <c r="Q142" s="46"/>
      <c r="R142" s="46"/>
      <c r="S142" s="46"/>
      <c r="T142" s="79"/>
      <c r="U142" s="79"/>
      <c r="V142" s="46"/>
      <c r="W142" s="46"/>
      <c r="X142" s="46"/>
      <c r="Y142" s="79"/>
      <c r="Z142" s="79"/>
      <c r="AA142" s="80"/>
      <c r="AB142" s="78"/>
      <c r="AC142" s="46"/>
      <c r="AD142" s="46"/>
      <c r="AE142" s="46"/>
    </row>
    <row r="143" spans="5:31" x14ac:dyDescent="0.25">
      <c r="E143" s="48"/>
      <c r="F143" s="78"/>
      <c r="G143" s="46"/>
      <c r="H143" s="46"/>
      <c r="I143" s="46"/>
      <c r="J143" s="46"/>
      <c r="K143" s="46"/>
      <c r="L143" s="46"/>
      <c r="M143" s="46"/>
      <c r="N143" s="46"/>
      <c r="O143" s="46"/>
      <c r="P143" s="46"/>
      <c r="Q143" s="46"/>
      <c r="R143" s="46"/>
      <c r="S143" s="46"/>
      <c r="T143" s="79"/>
      <c r="U143" s="79"/>
      <c r="V143" s="46"/>
      <c r="W143" s="46"/>
      <c r="X143" s="46"/>
      <c r="Y143" s="79"/>
      <c r="Z143" s="79"/>
      <c r="AA143" s="80"/>
      <c r="AB143" s="78"/>
      <c r="AC143" s="46"/>
      <c r="AD143" s="46"/>
      <c r="AE143" s="46"/>
    </row>
    <row r="144" spans="5:31" x14ac:dyDescent="0.25">
      <c r="E144" s="48"/>
      <c r="F144" s="78"/>
      <c r="G144" s="46"/>
      <c r="H144" s="46"/>
      <c r="I144" s="46"/>
      <c r="J144" s="46"/>
      <c r="K144" s="46"/>
      <c r="L144" s="46"/>
      <c r="M144" s="46"/>
      <c r="N144" s="46"/>
      <c r="O144" s="46"/>
      <c r="P144" s="46"/>
      <c r="Q144" s="46"/>
      <c r="R144" s="46"/>
      <c r="S144" s="46"/>
      <c r="T144" s="79"/>
      <c r="U144" s="79"/>
      <c r="V144" s="46"/>
      <c r="W144" s="46"/>
      <c r="X144" s="46"/>
      <c r="Y144" s="79"/>
      <c r="Z144" s="79"/>
      <c r="AA144" s="80"/>
      <c r="AB144" s="78"/>
      <c r="AC144" s="46"/>
      <c r="AD144" s="46"/>
      <c r="AE144" s="46"/>
    </row>
    <row r="145" spans="5:31" x14ac:dyDescent="0.25">
      <c r="E145" s="48"/>
      <c r="F145" s="78"/>
      <c r="G145" s="46"/>
      <c r="H145" s="46"/>
      <c r="I145" s="46"/>
      <c r="J145" s="46"/>
      <c r="K145" s="46"/>
      <c r="L145" s="46"/>
      <c r="M145" s="46"/>
      <c r="N145" s="46"/>
      <c r="O145" s="46"/>
      <c r="P145" s="46"/>
      <c r="Q145" s="46"/>
      <c r="R145" s="46"/>
      <c r="S145" s="46"/>
      <c r="T145" s="79"/>
      <c r="U145" s="79"/>
      <c r="V145" s="46"/>
      <c r="W145" s="46"/>
      <c r="X145" s="46"/>
      <c r="Y145" s="79"/>
      <c r="Z145" s="79"/>
      <c r="AA145" s="80"/>
      <c r="AB145" s="78"/>
      <c r="AC145" s="46"/>
      <c r="AD145" s="46"/>
      <c r="AE145" s="46"/>
    </row>
    <row r="146" spans="5:31" x14ac:dyDescent="0.25">
      <c r="E146" s="48"/>
      <c r="F146" s="78"/>
      <c r="G146" s="46"/>
      <c r="H146" s="46"/>
      <c r="I146" s="46"/>
      <c r="J146" s="46"/>
      <c r="K146" s="46"/>
      <c r="L146" s="46"/>
      <c r="M146" s="46"/>
      <c r="N146" s="46"/>
      <c r="O146" s="46"/>
      <c r="P146" s="46"/>
      <c r="Q146" s="46"/>
      <c r="R146" s="46"/>
      <c r="S146" s="46"/>
      <c r="T146" s="79"/>
      <c r="U146" s="79"/>
      <c r="V146" s="46"/>
      <c r="W146" s="46"/>
      <c r="X146" s="46"/>
      <c r="Y146" s="79"/>
      <c r="Z146" s="79"/>
      <c r="AA146" s="80"/>
      <c r="AB146" s="78"/>
      <c r="AC146" s="46"/>
      <c r="AD146" s="46"/>
      <c r="AE146" s="46"/>
    </row>
    <row r="147" spans="5:31" x14ac:dyDescent="0.25">
      <c r="E147" s="48"/>
      <c r="F147" s="78"/>
      <c r="G147" s="46"/>
      <c r="H147" s="46"/>
      <c r="I147" s="46"/>
      <c r="J147" s="46"/>
      <c r="K147" s="46"/>
      <c r="L147" s="46"/>
      <c r="M147" s="46"/>
      <c r="N147" s="46"/>
      <c r="O147" s="46"/>
      <c r="P147" s="46"/>
      <c r="Q147" s="46"/>
      <c r="R147" s="46"/>
      <c r="S147" s="46"/>
      <c r="T147" s="79"/>
      <c r="U147" s="79"/>
      <c r="V147" s="46"/>
      <c r="W147" s="46"/>
      <c r="X147" s="46"/>
      <c r="Y147" s="79"/>
      <c r="Z147" s="79"/>
      <c r="AA147" s="80"/>
      <c r="AB147" s="78"/>
      <c r="AC147" s="46"/>
      <c r="AD147" s="46"/>
      <c r="AE147" s="46"/>
    </row>
    <row r="148" spans="5:31" x14ac:dyDescent="0.25">
      <c r="E148" s="48"/>
      <c r="F148" s="78"/>
      <c r="G148" s="46"/>
      <c r="H148" s="46"/>
      <c r="I148" s="46"/>
      <c r="J148" s="46"/>
      <c r="K148" s="46"/>
      <c r="L148" s="46"/>
      <c r="M148" s="46"/>
      <c r="N148" s="46"/>
      <c r="O148" s="46"/>
      <c r="P148" s="46"/>
      <c r="Q148" s="46"/>
      <c r="R148" s="46"/>
      <c r="S148" s="46"/>
      <c r="T148" s="79"/>
      <c r="U148" s="79"/>
      <c r="V148" s="46"/>
      <c r="W148" s="46"/>
      <c r="X148" s="46"/>
      <c r="Y148" s="79"/>
      <c r="Z148" s="79"/>
      <c r="AA148" s="80"/>
      <c r="AB148" s="78"/>
      <c r="AC148" s="46"/>
      <c r="AD148" s="46"/>
      <c r="AE148" s="46"/>
    </row>
    <row r="149" spans="5:31" x14ac:dyDescent="0.25">
      <c r="E149" s="48"/>
      <c r="F149" s="78"/>
      <c r="G149" s="46"/>
      <c r="H149" s="46"/>
      <c r="I149" s="46"/>
      <c r="J149" s="46"/>
      <c r="K149" s="46"/>
      <c r="L149" s="46"/>
      <c r="M149" s="46"/>
      <c r="N149" s="46"/>
      <c r="O149" s="46"/>
      <c r="P149" s="46"/>
      <c r="Q149" s="46"/>
      <c r="R149" s="46"/>
      <c r="S149" s="46"/>
      <c r="T149" s="79"/>
      <c r="U149" s="79"/>
      <c r="V149" s="46"/>
      <c r="W149" s="46"/>
      <c r="X149" s="46"/>
      <c r="Y149" s="79"/>
      <c r="Z149" s="79"/>
      <c r="AA149" s="80"/>
      <c r="AB149" s="78"/>
      <c r="AC149" s="46"/>
      <c r="AD149" s="46"/>
      <c r="AE149" s="46"/>
    </row>
    <row r="150" spans="5:31" x14ac:dyDescent="0.25">
      <c r="E150" s="48"/>
      <c r="F150" s="78"/>
      <c r="G150" s="46"/>
      <c r="H150" s="46"/>
      <c r="I150" s="46"/>
      <c r="J150" s="46"/>
      <c r="K150" s="46"/>
      <c r="L150" s="46"/>
      <c r="M150" s="46"/>
      <c r="N150" s="46"/>
      <c r="O150" s="46"/>
      <c r="P150" s="46"/>
      <c r="Q150" s="46"/>
      <c r="R150" s="46"/>
      <c r="S150" s="46"/>
      <c r="T150" s="79"/>
      <c r="U150" s="79"/>
      <c r="V150" s="46"/>
      <c r="W150" s="46"/>
      <c r="X150" s="46"/>
      <c r="Y150" s="79"/>
      <c r="Z150" s="79"/>
      <c r="AA150" s="80"/>
      <c r="AB150" s="78"/>
      <c r="AC150" s="46"/>
      <c r="AD150" s="46"/>
      <c r="AE150" s="46"/>
    </row>
    <row r="151" spans="5:31" x14ac:dyDescent="0.25">
      <c r="E151" s="48"/>
      <c r="F151" s="78"/>
      <c r="G151" s="46"/>
      <c r="H151" s="46"/>
      <c r="I151" s="46"/>
      <c r="J151" s="46"/>
      <c r="K151" s="46"/>
      <c r="L151" s="46"/>
      <c r="M151" s="46"/>
      <c r="N151" s="46"/>
      <c r="O151" s="46"/>
      <c r="P151" s="46"/>
      <c r="Q151" s="46"/>
      <c r="R151" s="46"/>
      <c r="S151" s="46"/>
      <c r="T151" s="79"/>
      <c r="U151" s="79"/>
      <c r="V151" s="46"/>
      <c r="W151" s="46"/>
      <c r="X151" s="46"/>
      <c r="Y151" s="79"/>
      <c r="Z151" s="79"/>
      <c r="AA151" s="80"/>
      <c r="AB151" s="78"/>
      <c r="AC151" s="46"/>
      <c r="AD151" s="46"/>
      <c r="AE151" s="46"/>
    </row>
    <row r="152" spans="5:31" x14ac:dyDescent="0.25">
      <c r="E152" s="48"/>
      <c r="F152" s="78"/>
      <c r="G152" s="46"/>
      <c r="H152" s="46"/>
      <c r="I152" s="46"/>
      <c r="J152" s="46"/>
      <c r="K152" s="46"/>
      <c r="L152" s="46"/>
      <c r="M152" s="46"/>
      <c r="N152" s="46"/>
      <c r="O152" s="46"/>
      <c r="P152" s="46"/>
      <c r="Q152" s="46"/>
      <c r="R152" s="46"/>
      <c r="S152" s="46"/>
      <c r="T152" s="79"/>
      <c r="U152" s="79"/>
      <c r="V152" s="46"/>
      <c r="W152" s="46"/>
      <c r="X152" s="46"/>
      <c r="Y152" s="79"/>
      <c r="Z152" s="79"/>
      <c r="AA152" s="80"/>
      <c r="AB152" s="78"/>
      <c r="AC152" s="46"/>
      <c r="AD152" s="46"/>
      <c r="AE152" s="46"/>
    </row>
    <row r="153" spans="5:31" x14ac:dyDescent="0.25">
      <c r="E153" s="48"/>
      <c r="F153" s="78"/>
      <c r="G153" s="46"/>
      <c r="H153" s="46"/>
      <c r="I153" s="46"/>
      <c r="J153" s="46"/>
      <c r="K153" s="46"/>
      <c r="L153" s="46"/>
      <c r="M153" s="46"/>
      <c r="N153" s="46"/>
      <c r="O153" s="46"/>
      <c r="P153" s="46"/>
      <c r="Q153" s="46"/>
      <c r="R153" s="46"/>
      <c r="S153" s="46"/>
      <c r="T153" s="79"/>
      <c r="U153" s="79"/>
      <c r="V153" s="46"/>
      <c r="W153" s="46"/>
      <c r="X153" s="46"/>
      <c r="Y153" s="79"/>
      <c r="Z153" s="79"/>
      <c r="AA153" s="80"/>
      <c r="AB153" s="78"/>
      <c r="AC153" s="46"/>
      <c r="AD153" s="46"/>
      <c r="AE153" s="46"/>
    </row>
    <row r="154" spans="5:31" x14ac:dyDescent="0.25">
      <c r="E154" s="48"/>
      <c r="F154" s="78"/>
      <c r="G154" s="46"/>
      <c r="H154" s="46"/>
      <c r="I154" s="46"/>
      <c r="J154" s="46"/>
      <c r="K154" s="46"/>
      <c r="L154" s="46"/>
      <c r="M154" s="46"/>
      <c r="N154" s="46"/>
      <c r="O154" s="46"/>
      <c r="P154" s="46"/>
      <c r="Q154" s="46"/>
      <c r="R154" s="46"/>
      <c r="S154" s="46"/>
      <c r="T154" s="79"/>
      <c r="U154" s="79"/>
      <c r="V154" s="46"/>
      <c r="W154" s="46"/>
      <c r="X154" s="46"/>
      <c r="Y154" s="79"/>
      <c r="Z154" s="79"/>
      <c r="AA154" s="80"/>
      <c r="AB154" s="78"/>
      <c r="AC154" s="46"/>
      <c r="AD154" s="46"/>
      <c r="AE154" s="46"/>
    </row>
    <row r="155" spans="5:31" x14ac:dyDescent="0.25">
      <c r="E155" s="48"/>
      <c r="F155" s="78"/>
      <c r="G155" s="46"/>
      <c r="H155" s="46"/>
      <c r="I155" s="46"/>
      <c r="J155" s="46"/>
      <c r="K155" s="46"/>
      <c r="L155" s="46"/>
      <c r="M155" s="46"/>
      <c r="N155" s="46"/>
      <c r="O155" s="46"/>
      <c r="P155" s="46"/>
      <c r="Q155" s="46"/>
      <c r="R155" s="46"/>
      <c r="S155" s="46"/>
      <c r="T155" s="79"/>
      <c r="U155" s="79"/>
      <c r="V155" s="46"/>
      <c r="W155" s="46"/>
      <c r="X155" s="46"/>
      <c r="Y155" s="79"/>
      <c r="Z155" s="79"/>
      <c r="AA155" s="80"/>
      <c r="AB155" s="78"/>
      <c r="AC155" s="46"/>
      <c r="AD155" s="46"/>
      <c r="AE155" s="46"/>
    </row>
    <row r="156" spans="5:31" x14ac:dyDescent="0.25">
      <c r="E156" s="48"/>
      <c r="F156" s="78"/>
      <c r="G156" s="46"/>
      <c r="H156" s="46"/>
      <c r="I156" s="46"/>
      <c r="J156" s="46"/>
      <c r="K156" s="46"/>
      <c r="L156" s="46"/>
      <c r="M156" s="46"/>
      <c r="N156" s="46"/>
      <c r="O156" s="46"/>
      <c r="P156" s="46"/>
      <c r="Q156" s="46"/>
      <c r="R156" s="46"/>
      <c r="S156" s="46"/>
      <c r="T156" s="79"/>
      <c r="U156" s="79"/>
      <c r="V156" s="46"/>
      <c r="W156" s="46"/>
      <c r="X156" s="46"/>
      <c r="Y156" s="79"/>
      <c r="Z156" s="79"/>
      <c r="AA156" s="80"/>
      <c r="AB156" s="78"/>
      <c r="AC156" s="46"/>
      <c r="AD156" s="46"/>
      <c r="AE156" s="46"/>
    </row>
    <row r="157" spans="5:31" x14ac:dyDescent="0.25">
      <c r="E157" s="48"/>
      <c r="F157" s="78"/>
      <c r="G157" s="46"/>
      <c r="H157" s="46"/>
      <c r="I157" s="46"/>
      <c r="J157" s="46"/>
      <c r="K157" s="46"/>
      <c r="L157" s="46"/>
      <c r="M157" s="46"/>
      <c r="N157" s="46"/>
      <c r="O157" s="46"/>
      <c r="P157" s="46"/>
      <c r="Q157" s="46"/>
      <c r="R157" s="46"/>
      <c r="S157" s="46"/>
      <c r="T157" s="79"/>
      <c r="U157" s="79"/>
      <c r="V157" s="46"/>
      <c r="W157" s="46"/>
      <c r="X157" s="46"/>
      <c r="Y157" s="79"/>
      <c r="Z157" s="79"/>
      <c r="AA157" s="80"/>
      <c r="AB157" s="78"/>
      <c r="AC157" s="46"/>
      <c r="AD157" s="46"/>
      <c r="AE157" s="46"/>
    </row>
    <row r="158" spans="5:31" x14ac:dyDescent="0.25">
      <c r="E158" s="48"/>
      <c r="F158" s="78"/>
      <c r="G158" s="46"/>
      <c r="H158" s="46"/>
      <c r="I158" s="46"/>
      <c r="J158" s="46"/>
      <c r="K158" s="46"/>
      <c r="L158" s="46"/>
      <c r="M158" s="46"/>
      <c r="N158" s="46"/>
      <c r="O158" s="46"/>
      <c r="P158" s="46"/>
      <c r="Q158" s="46"/>
      <c r="R158" s="46"/>
      <c r="S158" s="46"/>
      <c r="T158" s="79"/>
      <c r="U158" s="79"/>
      <c r="V158" s="46"/>
      <c r="W158" s="46"/>
      <c r="X158" s="46"/>
      <c r="Y158" s="79"/>
      <c r="Z158" s="79"/>
      <c r="AA158" s="80"/>
      <c r="AB158" s="78"/>
      <c r="AC158" s="46"/>
      <c r="AD158" s="46"/>
      <c r="AE158" s="46"/>
    </row>
    <row r="159" spans="5:31" x14ac:dyDescent="0.25">
      <c r="E159" s="48"/>
      <c r="F159" s="78"/>
      <c r="G159" s="46"/>
      <c r="H159" s="46"/>
      <c r="I159" s="46"/>
      <c r="J159" s="46"/>
      <c r="K159" s="46"/>
      <c r="L159" s="46"/>
      <c r="M159" s="46"/>
      <c r="N159" s="46"/>
      <c r="O159" s="46"/>
      <c r="P159" s="46"/>
      <c r="Q159" s="46"/>
      <c r="R159" s="46"/>
      <c r="S159" s="46"/>
      <c r="T159" s="79"/>
      <c r="U159" s="79"/>
      <c r="V159" s="46"/>
      <c r="W159" s="46"/>
      <c r="X159" s="46"/>
      <c r="Y159" s="79"/>
      <c r="Z159" s="79"/>
      <c r="AA159" s="80"/>
      <c r="AB159" s="78"/>
      <c r="AC159" s="46"/>
      <c r="AD159" s="46"/>
      <c r="AE159" s="46"/>
    </row>
    <row r="160" spans="5:31" x14ac:dyDescent="0.25">
      <c r="E160" s="48"/>
      <c r="F160" s="78"/>
      <c r="G160" s="46"/>
      <c r="H160" s="46"/>
      <c r="I160" s="46"/>
      <c r="J160" s="46"/>
      <c r="K160" s="46"/>
      <c r="L160" s="46"/>
      <c r="M160" s="46"/>
      <c r="N160" s="46"/>
      <c r="O160" s="46"/>
      <c r="P160" s="46"/>
      <c r="Q160" s="46"/>
      <c r="R160" s="46"/>
      <c r="S160" s="46"/>
      <c r="T160" s="79"/>
      <c r="U160" s="79"/>
      <c r="V160" s="46"/>
      <c r="W160" s="46"/>
      <c r="X160" s="46"/>
      <c r="Y160" s="79"/>
      <c r="Z160" s="79"/>
      <c r="AA160" s="80"/>
      <c r="AB160" s="78"/>
      <c r="AC160" s="46"/>
      <c r="AD160" s="46"/>
      <c r="AE160" s="46"/>
    </row>
    <row r="161" spans="5:31" x14ac:dyDescent="0.25">
      <c r="E161" s="48"/>
      <c r="F161" s="78"/>
      <c r="G161" s="46"/>
      <c r="H161" s="46"/>
      <c r="I161" s="46"/>
      <c r="J161" s="46"/>
      <c r="K161" s="46"/>
      <c r="L161" s="46"/>
      <c r="M161" s="46"/>
      <c r="N161" s="46"/>
      <c r="O161" s="46"/>
      <c r="P161" s="46"/>
      <c r="Q161" s="46"/>
      <c r="R161" s="46"/>
      <c r="S161" s="46"/>
      <c r="T161" s="79"/>
      <c r="U161" s="79"/>
      <c r="V161" s="46"/>
      <c r="W161" s="46"/>
      <c r="X161" s="46"/>
      <c r="Y161" s="79"/>
      <c r="Z161" s="79"/>
      <c r="AA161" s="80"/>
      <c r="AB161" s="78"/>
      <c r="AC161" s="46"/>
      <c r="AD161" s="46"/>
      <c r="AE161" s="46"/>
    </row>
    <row r="162" spans="5:31" x14ac:dyDescent="0.25">
      <c r="E162" s="48"/>
      <c r="F162" s="78"/>
      <c r="G162" s="46"/>
      <c r="H162" s="46"/>
      <c r="I162" s="46"/>
      <c r="J162" s="46"/>
      <c r="K162" s="46"/>
      <c r="L162" s="46"/>
      <c r="M162" s="46"/>
      <c r="N162" s="46"/>
      <c r="O162" s="46"/>
      <c r="P162" s="46"/>
      <c r="Q162" s="46"/>
      <c r="R162" s="46"/>
      <c r="S162" s="46"/>
      <c r="T162" s="79"/>
      <c r="U162" s="79"/>
      <c r="V162" s="46"/>
      <c r="W162" s="46"/>
      <c r="X162" s="46"/>
      <c r="Y162" s="79"/>
      <c r="Z162" s="79"/>
      <c r="AA162" s="80"/>
      <c r="AB162" s="78"/>
      <c r="AC162" s="46"/>
      <c r="AD162" s="46"/>
      <c r="AE162" s="46"/>
    </row>
    <row r="163" spans="5:31" x14ac:dyDescent="0.25">
      <c r="E163" s="48"/>
      <c r="F163" s="78"/>
      <c r="G163" s="46"/>
      <c r="H163" s="46"/>
      <c r="I163" s="46"/>
      <c r="J163" s="46"/>
      <c r="K163" s="46"/>
      <c r="L163" s="46"/>
      <c r="M163" s="46"/>
      <c r="N163" s="46"/>
      <c r="O163" s="46"/>
      <c r="P163" s="46"/>
      <c r="Q163" s="46"/>
      <c r="R163" s="46"/>
      <c r="S163" s="46"/>
      <c r="T163" s="79"/>
      <c r="U163" s="79"/>
      <c r="V163" s="46"/>
      <c r="W163" s="46"/>
      <c r="X163" s="46"/>
      <c r="Y163" s="79"/>
      <c r="Z163" s="79"/>
      <c r="AA163" s="80"/>
      <c r="AB163" s="78"/>
      <c r="AC163" s="46"/>
      <c r="AD163" s="46"/>
      <c r="AE163" s="46"/>
    </row>
    <row r="164" spans="5:31" x14ac:dyDescent="0.25">
      <c r="E164" s="48"/>
      <c r="F164" s="78"/>
      <c r="G164" s="46"/>
      <c r="H164" s="46"/>
      <c r="I164" s="46"/>
      <c r="J164" s="46"/>
      <c r="K164" s="46"/>
      <c r="L164" s="46"/>
      <c r="M164" s="46"/>
      <c r="N164" s="46"/>
      <c r="O164" s="46"/>
      <c r="P164" s="46"/>
      <c r="Q164" s="46"/>
      <c r="R164" s="46"/>
      <c r="S164" s="46"/>
      <c r="T164" s="79"/>
      <c r="U164" s="79"/>
      <c r="V164" s="46"/>
      <c r="W164" s="46"/>
      <c r="X164" s="46"/>
      <c r="Y164" s="79"/>
      <c r="Z164" s="79"/>
      <c r="AA164" s="80"/>
      <c r="AB164" s="78"/>
      <c r="AC164" s="46"/>
      <c r="AD164" s="46"/>
      <c r="AE164" s="46"/>
    </row>
    <row r="165" spans="5:31" x14ac:dyDescent="0.25">
      <c r="E165" s="48"/>
      <c r="F165" s="78"/>
      <c r="G165" s="46"/>
      <c r="H165" s="46"/>
      <c r="I165" s="46"/>
      <c r="J165" s="46"/>
      <c r="K165" s="46"/>
      <c r="L165" s="46"/>
      <c r="M165" s="46"/>
      <c r="N165" s="46"/>
      <c r="O165" s="46"/>
      <c r="P165" s="46"/>
      <c r="Q165" s="46"/>
      <c r="R165" s="46"/>
      <c r="S165" s="46"/>
      <c r="T165" s="79"/>
      <c r="U165" s="79"/>
      <c r="V165" s="46"/>
      <c r="W165" s="46"/>
      <c r="X165" s="46"/>
      <c r="Y165" s="79"/>
      <c r="Z165" s="79"/>
      <c r="AA165" s="80"/>
      <c r="AB165" s="78"/>
      <c r="AC165" s="46"/>
      <c r="AD165" s="46"/>
      <c r="AE165" s="46"/>
    </row>
    <row r="166" spans="5:31" x14ac:dyDescent="0.25">
      <c r="E166" s="48"/>
      <c r="F166" s="78"/>
      <c r="G166" s="46"/>
      <c r="H166" s="46"/>
      <c r="I166" s="46"/>
      <c r="J166" s="46"/>
      <c r="K166" s="46"/>
      <c r="L166" s="46"/>
      <c r="M166" s="46"/>
      <c r="N166" s="46"/>
      <c r="O166" s="46"/>
      <c r="P166" s="46"/>
      <c r="Q166" s="46"/>
      <c r="R166" s="46"/>
      <c r="S166" s="46"/>
      <c r="T166" s="79"/>
      <c r="U166" s="79"/>
      <c r="V166" s="46"/>
      <c r="W166" s="46"/>
      <c r="X166" s="46"/>
      <c r="Y166" s="79"/>
      <c r="Z166" s="79"/>
      <c r="AA166" s="80"/>
      <c r="AB166" s="78"/>
      <c r="AC166" s="46"/>
      <c r="AD166" s="46"/>
      <c r="AE166" s="46"/>
    </row>
    <row r="167" spans="5:31" x14ac:dyDescent="0.25">
      <c r="E167" s="48"/>
      <c r="F167" s="78"/>
      <c r="G167" s="46"/>
      <c r="H167" s="46"/>
      <c r="I167" s="46"/>
      <c r="J167" s="46"/>
      <c r="K167" s="46"/>
      <c r="L167" s="46"/>
      <c r="M167" s="46"/>
      <c r="N167" s="46"/>
      <c r="O167" s="46"/>
      <c r="P167" s="46"/>
      <c r="Q167" s="46"/>
      <c r="R167" s="46"/>
      <c r="S167" s="46"/>
      <c r="T167" s="79"/>
      <c r="U167" s="79"/>
      <c r="V167" s="46"/>
      <c r="W167" s="46"/>
      <c r="X167" s="46"/>
      <c r="Y167" s="79"/>
      <c r="Z167" s="79"/>
      <c r="AA167" s="80"/>
      <c r="AB167" s="78"/>
      <c r="AC167" s="46"/>
      <c r="AD167" s="46"/>
      <c r="AE167" s="46"/>
    </row>
    <row r="168" spans="5:31" x14ac:dyDescent="0.25">
      <c r="E168" s="48"/>
      <c r="F168" s="78"/>
      <c r="G168" s="46"/>
      <c r="H168" s="46"/>
      <c r="I168" s="46"/>
      <c r="J168" s="46"/>
      <c r="K168" s="46"/>
      <c r="L168" s="46"/>
      <c r="M168" s="46"/>
      <c r="N168" s="46"/>
      <c r="O168" s="46"/>
      <c r="P168" s="46"/>
      <c r="Q168" s="46"/>
      <c r="R168" s="46"/>
      <c r="S168" s="46"/>
      <c r="T168" s="79"/>
      <c r="U168" s="79"/>
      <c r="V168" s="46"/>
      <c r="W168" s="46"/>
      <c r="X168" s="46"/>
      <c r="Y168" s="79"/>
      <c r="Z168" s="79"/>
      <c r="AA168" s="80"/>
      <c r="AB168" s="78"/>
      <c r="AC168" s="46"/>
      <c r="AD168" s="46"/>
      <c r="AE168" s="46"/>
    </row>
    <row r="169" spans="5:31" x14ac:dyDescent="0.25">
      <c r="E169" s="48"/>
      <c r="F169" s="78"/>
      <c r="G169" s="46"/>
      <c r="H169" s="46"/>
      <c r="I169" s="46"/>
      <c r="J169" s="46"/>
      <c r="K169" s="46"/>
      <c r="L169" s="46"/>
      <c r="M169" s="46"/>
      <c r="N169" s="46"/>
      <c r="O169" s="46"/>
      <c r="P169" s="46"/>
      <c r="Q169" s="46"/>
      <c r="R169" s="46"/>
      <c r="S169" s="46"/>
      <c r="T169" s="79"/>
      <c r="U169" s="79"/>
      <c r="V169" s="46"/>
      <c r="W169" s="46"/>
      <c r="X169" s="46"/>
      <c r="Y169" s="79"/>
      <c r="Z169" s="79"/>
      <c r="AA169" s="80"/>
      <c r="AB169" s="78"/>
      <c r="AC169" s="46"/>
      <c r="AD169" s="46"/>
      <c r="AE169" s="46"/>
    </row>
    <row r="170" spans="5:31" x14ac:dyDescent="0.25">
      <c r="E170" s="48"/>
      <c r="F170" s="78"/>
      <c r="G170" s="46"/>
      <c r="H170" s="46"/>
      <c r="I170" s="46"/>
      <c r="J170" s="46"/>
      <c r="K170" s="46"/>
      <c r="L170" s="46"/>
      <c r="M170" s="46"/>
      <c r="N170" s="46"/>
      <c r="O170" s="46"/>
      <c r="P170" s="46"/>
      <c r="Q170" s="46"/>
      <c r="R170" s="46"/>
      <c r="S170" s="46"/>
      <c r="T170" s="79"/>
      <c r="U170" s="79"/>
      <c r="V170" s="46"/>
      <c r="W170" s="46"/>
      <c r="X170" s="46"/>
      <c r="Y170" s="79"/>
      <c r="Z170" s="79"/>
      <c r="AA170" s="80"/>
      <c r="AB170" s="78"/>
      <c r="AC170" s="46"/>
      <c r="AD170" s="46"/>
      <c r="AE170" s="46"/>
    </row>
    <row r="171" spans="5:31" x14ac:dyDescent="0.25">
      <c r="E171" s="48"/>
      <c r="F171" s="78"/>
      <c r="G171" s="46"/>
      <c r="H171" s="46"/>
      <c r="I171" s="46"/>
      <c r="J171" s="46"/>
      <c r="K171" s="46"/>
      <c r="L171" s="46"/>
      <c r="M171" s="46"/>
      <c r="N171" s="46"/>
      <c r="O171" s="46"/>
      <c r="P171" s="46"/>
      <c r="Q171" s="46"/>
      <c r="R171" s="46"/>
      <c r="S171" s="46"/>
      <c r="T171" s="79"/>
      <c r="U171" s="79"/>
      <c r="V171" s="46"/>
      <c r="W171" s="46"/>
      <c r="X171" s="46"/>
      <c r="Y171" s="79"/>
      <c r="Z171" s="79"/>
      <c r="AA171" s="80"/>
      <c r="AB171" s="78"/>
      <c r="AC171" s="46"/>
      <c r="AD171" s="46"/>
      <c r="AE171" s="46"/>
    </row>
    <row r="172" spans="5:31" x14ac:dyDescent="0.25">
      <c r="E172" s="48"/>
      <c r="F172" s="78"/>
      <c r="G172" s="46"/>
      <c r="H172" s="46"/>
      <c r="I172" s="46"/>
      <c r="J172" s="46"/>
      <c r="K172" s="46"/>
      <c r="L172" s="46"/>
      <c r="M172" s="46"/>
      <c r="N172" s="46"/>
      <c r="O172" s="46"/>
      <c r="P172" s="46"/>
      <c r="Q172" s="46"/>
      <c r="R172" s="46"/>
      <c r="S172" s="46"/>
      <c r="T172" s="79"/>
      <c r="U172" s="79"/>
      <c r="V172" s="46"/>
      <c r="W172" s="46"/>
      <c r="X172" s="46"/>
      <c r="Y172" s="79"/>
      <c r="Z172" s="79"/>
      <c r="AA172" s="80"/>
      <c r="AB172" s="78"/>
      <c r="AC172" s="46"/>
      <c r="AD172" s="46"/>
      <c r="AE172" s="46"/>
    </row>
    <row r="173" spans="5:31" x14ac:dyDescent="0.25">
      <c r="E173" s="48"/>
      <c r="F173" s="78"/>
      <c r="G173" s="46"/>
      <c r="H173" s="46"/>
      <c r="I173" s="46"/>
      <c r="J173" s="46"/>
      <c r="K173" s="46"/>
      <c r="L173" s="46"/>
      <c r="M173" s="46"/>
      <c r="N173" s="46"/>
      <c r="O173" s="46"/>
      <c r="P173" s="46"/>
      <c r="Q173" s="46"/>
      <c r="R173" s="46"/>
      <c r="S173" s="46"/>
      <c r="T173" s="79"/>
      <c r="U173" s="79"/>
      <c r="V173" s="46"/>
      <c r="W173" s="46"/>
      <c r="X173" s="46"/>
      <c r="Y173" s="79"/>
      <c r="Z173" s="79"/>
      <c r="AA173" s="80"/>
      <c r="AB173" s="78"/>
      <c r="AC173" s="46"/>
      <c r="AD173" s="46"/>
      <c r="AE173" s="46"/>
    </row>
    <row r="174" spans="5:31" x14ac:dyDescent="0.25">
      <c r="E174" s="48"/>
      <c r="F174" s="78"/>
      <c r="G174" s="46"/>
      <c r="H174" s="46"/>
      <c r="I174" s="46"/>
      <c r="J174" s="46"/>
      <c r="K174" s="46"/>
      <c r="L174" s="46"/>
      <c r="M174" s="46"/>
      <c r="N174" s="46"/>
      <c r="O174" s="46"/>
      <c r="P174" s="46"/>
      <c r="Q174" s="46"/>
      <c r="R174" s="46"/>
      <c r="S174" s="46"/>
      <c r="T174" s="79"/>
      <c r="U174" s="79"/>
      <c r="V174" s="46"/>
      <c r="W174" s="46"/>
      <c r="X174" s="46"/>
      <c r="Y174" s="79"/>
      <c r="Z174" s="79"/>
      <c r="AA174" s="80"/>
      <c r="AB174" s="78"/>
      <c r="AC174" s="46"/>
      <c r="AD174" s="46"/>
      <c r="AE174" s="46"/>
    </row>
    <row r="175" spans="5:31" x14ac:dyDescent="0.25">
      <c r="E175" s="48"/>
      <c r="F175" s="78"/>
      <c r="G175" s="46"/>
      <c r="H175" s="46"/>
      <c r="I175" s="46"/>
      <c r="J175" s="46"/>
      <c r="K175" s="46"/>
      <c r="L175" s="46"/>
      <c r="M175" s="46"/>
      <c r="N175" s="46"/>
      <c r="O175" s="46"/>
      <c r="P175" s="46"/>
      <c r="Q175" s="46"/>
      <c r="R175" s="46"/>
      <c r="S175" s="46"/>
      <c r="T175" s="79"/>
      <c r="U175" s="79"/>
      <c r="V175" s="46"/>
      <c r="W175" s="46"/>
      <c r="X175" s="46"/>
      <c r="Y175" s="79"/>
      <c r="Z175" s="79"/>
      <c r="AA175" s="80"/>
      <c r="AB175" s="78"/>
      <c r="AC175" s="46"/>
      <c r="AD175" s="46"/>
      <c r="AE175" s="46"/>
    </row>
    <row r="176" spans="5:31" x14ac:dyDescent="0.25">
      <c r="E176" s="48"/>
      <c r="F176" s="78"/>
      <c r="G176" s="46"/>
      <c r="H176" s="46"/>
      <c r="I176" s="46"/>
      <c r="J176" s="46"/>
      <c r="K176" s="46"/>
      <c r="L176" s="46"/>
      <c r="M176" s="46"/>
      <c r="N176" s="46"/>
      <c r="O176" s="46"/>
      <c r="P176" s="46"/>
      <c r="Q176" s="46"/>
      <c r="R176" s="46"/>
      <c r="S176" s="46"/>
      <c r="T176" s="79"/>
      <c r="U176" s="79"/>
      <c r="V176" s="46"/>
      <c r="W176" s="46"/>
      <c r="X176" s="46"/>
      <c r="Y176" s="79"/>
      <c r="Z176" s="79"/>
      <c r="AA176" s="80"/>
      <c r="AB176" s="78"/>
      <c r="AC176" s="46"/>
      <c r="AD176" s="46"/>
      <c r="AE176" s="46"/>
    </row>
    <row r="177" spans="5:31" x14ac:dyDescent="0.25">
      <c r="E177" s="48"/>
      <c r="F177" s="78"/>
      <c r="G177" s="46"/>
      <c r="H177" s="46"/>
      <c r="I177" s="46"/>
      <c r="J177" s="46"/>
      <c r="K177" s="46"/>
      <c r="L177" s="46"/>
      <c r="M177" s="46"/>
      <c r="N177" s="46"/>
      <c r="O177" s="46"/>
      <c r="P177" s="46"/>
      <c r="Q177" s="46"/>
      <c r="R177" s="46"/>
      <c r="S177" s="46"/>
      <c r="T177" s="79"/>
      <c r="U177" s="79"/>
      <c r="V177" s="46"/>
      <c r="W177" s="46"/>
      <c r="X177" s="46"/>
      <c r="Y177" s="79"/>
      <c r="Z177" s="79"/>
      <c r="AA177" s="80"/>
      <c r="AB177" s="78"/>
      <c r="AC177" s="46"/>
      <c r="AD177" s="46"/>
      <c r="AE177" s="46"/>
    </row>
    <row r="178" spans="5:31" x14ac:dyDescent="0.25">
      <c r="E178" s="48"/>
      <c r="F178" s="78"/>
      <c r="G178" s="46"/>
      <c r="H178" s="46"/>
      <c r="I178" s="46"/>
      <c r="J178" s="46"/>
      <c r="K178" s="46"/>
      <c r="L178" s="46"/>
      <c r="M178" s="46"/>
      <c r="N178" s="46"/>
      <c r="O178" s="46"/>
      <c r="P178" s="46"/>
      <c r="Q178" s="46"/>
      <c r="R178" s="46"/>
      <c r="S178" s="46"/>
      <c r="T178" s="79"/>
      <c r="U178" s="79"/>
      <c r="V178" s="46"/>
      <c r="W178" s="46"/>
      <c r="X178" s="46"/>
      <c r="Y178" s="79"/>
      <c r="Z178" s="79"/>
      <c r="AA178" s="80"/>
      <c r="AB178" s="78"/>
      <c r="AC178" s="46"/>
      <c r="AD178" s="46"/>
      <c r="AE178" s="46"/>
    </row>
    <row r="179" spans="5:31" x14ac:dyDescent="0.25">
      <c r="E179" s="48"/>
      <c r="F179" s="78"/>
      <c r="G179" s="46"/>
      <c r="H179" s="46"/>
      <c r="I179" s="46"/>
      <c r="J179" s="46"/>
      <c r="K179" s="46"/>
      <c r="L179" s="46"/>
      <c r="M179" s="46"/>
      <c r="N179" s="46"/>
      <c r="O179" s="46"/>
      <c r="P179" s="46"/>
      <c r="Q179" s="46"/>
      <c r="R179" s="46"/>
      <c r="S179" s="46"/>
      <c r="T179" s="79"/>
      <c r="U179" s="79"/>
      <c r="V179" s="46"/>
      <c r="W179" s="46"/>
      <c r="X179" s="46"/>
      <c r="Y179" s="79"/>
      <c r="Z179" s="79"/>
      <c r="AA179" s="80"/>
      <c r="AB179" s="78"/>
      <c r="AC179" s="46"/>
      <c r="AD179" s="46"/>
      <c r="AE179" s="46"/>
    </row>
    <row r="180" spans="5:31" x14ac:dyDescent="0.25">
      <c r="E180" s="48"/>
      <c r="F180" s="78"/>
      <c r="G180" s="46"/>
      <c r="H180" s="46"/>
      <c r="I180" s="46"/>
      <c r="J180" s="46"/>
      <c r="K180" s="46"/>
      <c r="L180" s="46"/>
      <c r="M180" s="46"/>
      <c r="N180" s="46"/>
      <c r="O180" s="46"/>
      <c r="P180" s="46"/>
      <c r="Q180" s="46"/>
      <c r="R180" s="46"/>
      <c r="S180" s="46"/>
      <c r="T180" s="79"/>
      <c r="U180" s="79"/>
      <c r="V180" s="46"/>
      <c r="W180" s="46"/>
      <c r="X180" s="46"/>
      <c r="Y180" s="79"/>
      <c r="Z180" s="79"/>
      <c r="AA180" s="80"/>
      <c r="AB180" s="78"/>
      <c r="AC180" s="46"/>
      <c r="AD180" s="46"/>
      <c r="AE180" s="46"/>
    </row>
    <row r="181" spans="5:31" x14ac:dyDescent="0.25">
      <c r="E181" s="48"/>
      <c r="F181" s="78"/>
      <c r="G181" s="46"/>
      <c r="H181" s="46"/>
      <c r="I181" s="46"/>
      <c r="J181" s="46"/>
      <c r="K181" s="46"/>
      <c r="L181" s="46"/>
      <c r="M181" s="46"/>
      <c r="N181" s="46"/>
      <c r="O181" s="46"/>
      <c r="P181" s="46"/>
      <c r="Q181" s="46"/>
      <c r="R181" s="46"/>
      <c r="S181" s="46"/>
      <c r="T181" s="79"/>
      <c r="U181" s="79"/>
      <c r="V181" s="46"/>
      <c r="W181" s="46"/>
      <c r="X181" s="46"/>
      <c r="Y181" s="79"/>
      <c r="Z181" s="79"/>
      <c r="AA181" s="80"/>
      <c r="AB181" s="78"/>
      <c r="AC181" s="46"/>
      <c r="AD181" s="46"/>
      <c r="AE181" s="46"/>
    </row>
    <row r="182" spans="5:31" x14ac:dyDescent="0.25">
      <c r="E182" s="48"/>
      <c r="F182" s="78"/>
      <c r="G182" s="46"/>
      <c r="H182" s="46"/>
      <c r="I182" s="46"/>
      <c r="J182" s="46"/>
      <c r="K182" s="46"/>
      <c r="L182" s="46"/>
      <c r="M182" s="46"/>
      <c r="N182" s="46"/>
      <c r="O182" s="46"/>
      <c r="P182" s="46"/>
      <c r="Q182" s="46"/>
      <c r="R182" s="46"/>
      <c r="S182" s="46"/>
      <c r="T182" s="79"/>
      <c r="U182" s="79"/>
      <c r="V182" s="46"/>
      <c r="W182" s="46"/>
      <c r="X182" s="46"/>
      <c r="Y182" s="79"/>
      <c r="Z182" s="79"/>
      <c r="AA182" s="80"/>
      <c r="AB182" s="78"/>
      <c r="AC182" s="46"/>
      <c r="AD182" s="46"/>
      <c r="AE182" s="46"/>
    </row>
    <row r="183" spans="5:31" x14ac:dyDescent="0.25">
      <c r="E183" s="48"/>
      <c r="F183" s="78"/>
      <c r="G183" s="46"/>
      <c r="H183" s="46"/>
      <c r="I183" s="46"/>
      <c r="J183" s="46"/>
      <c r="K183" s="46"/>
      <c r="L183" s="46"/>
      <c r="M183" s="46"/>
      <c r="N183" s="46"/>
      <c r="O183" s="46"/>
      <c r="P183" s="46"/>
      <c r="Q183" s="46"/>
      <c r="R183" s="46"/>
      <c r="S183" s="46"/>
      <c r="T183" s="79"/>
      <c r="U183" s="79"/>
      <c r="V183" s="46"/>
      <c r="W183" s="46"/>
      <c r="X183" s="46"/>
      <c r="Y183" s="79"/>
      <c r="Z183" s="79"/>
      <c r="AA183" s="80"/>
      <c r="AB183" s="78"/>
      <c r="AC183" s="46"/>
      <c r="AD183" s="46"/>
      <c r="AE183" s="46"/>
    </row>
    <row r="184" spans="5:31" x14ac:dyDescent="0.25">
      <c r="E184" s="48"/>
      <c r="F184" s="78"/>
      <c r="G184" s="46"/>
      <c r="H184" s="46"/>
      <c r="I184" s="46"/>
      <c r="J184" s="46"/>
      <c r="K184" s="46"/>
      <c r="L184" s="46"/>
      <c r="M184" s="46"/>
      <c r="N184" s="46"/>
      <c r="O184" s="46"/>
      <c r="P184" s="46"/>
      <c r="Q184" s="46"/>
      <c r="R184" s="46"/>
      <c r="S184" s="46"/>
      <c r="T184" s="79"/>
      <c r="U184" s="79"/>
      <c r="V184" s="46"/>
      <c r="W184" s="46"/>
      <c r="X184" s="46"/>
      <c r="Y184" s="79"/>
      <c r="Z184" s="79"/>
      <c r="AA184" s="80"/>
      <c r="AB184" s="78"/>
      <c r="AC184" s="46"/>
      <c r="AD184" s="46"/>
      <c r="AE184" s="46"/>
    </row>
    <row r="185" spans="5:31" x14ac:dyDescent="0.25">
      <c r="E185" s="48"/>
      <c r="F185" s="78"/>
      <c r="G185" s="46"/>
      <c r="H185" s="46"/>
      <c r="I185" s="46"/>
      <c r="J185" s="46"/>
      <c r="K185" s="46"/>
      <c r="L185" s="46"/>
      <c r="M185" s="46"/>
      <c r="N185" s="46"/>
      <c r="O185" s="46"/>
      <c r="P185" s="46"/>
      <c r="Q185" s="46"/>
      <c r="R185" s="46"/>
      <c r="S185" s="46"/>
      <c r="T185" s="79"/>
      <c r="U185" s="79"/>
      <c r="V185" s="46"/>
      <c r="W185" s="46"/>
      <c r="X185" s="46"/>
      <c r="Y185" s="79"/>
      <c r="Z185" s="79"/>
      <c r="AA185" s="80"/>
      <c r="AB185" s="78"/>
      <c r="AC185" s="46"/>
      <c r="AD185" s="46"/>
      <c r="AE185" s="46"/>
    </row>
    <row r="186" spans="5:31" x14ac:dyDescent="0.25">
      <c r="E186" s="48"/>
      <c r="F186" s="78"/>
      <c r="G186" s="46"/>
      <c r="H186" s="46"/>
      <c r="I186" s="46"/>
      <c r="J186" s="46"/>
      <c r="K186" s="46"/>
      <c r="L186" s="46"/>
      <c r="M186" s="46"/>
      <c r="N186" s="46"/>
      <c r="O186" s="46"/>
      <c r="P186" s="46"/>
      <c r="Q186" s="46"/>
      <c r="R186" s="46"/>
      <c r="S186" s="46"/>
      <c r="T186" s="79"/>
      <c r="U186" s="79"/>
      <c r="V186" s="46"/>
      <c r="W186" s="46"/>
      <c r="X186" s="46"/>
      <c r="Y186" s="79"/>
      <c r="Z186" s="79"/>
      <c r="AA186" s="80"/>
      <c r="AB186" s="78"/>
      <c r="AC186" s="46"/>
      <c r="AD186" s="46"/>
      <c r="AE186" s="46"/>
    </row>
    <row r="187" spans="5:31" x14ac:dyDescent="0.25">
      <c r="E187" s="48"/>
      <c r="F187" s="78"/>
      <c r="G187" s="46"/>
      <c r="H187" s="46"/>
      <c r="I187" s="46"/>
      <c r="J187" s="46"/>
      <c r="K187" s="46"/>
      <c r="L187" s="46"/>
      <c r="M187" s="46"/>
      <c r="N187" s="46"/>
      <c r="O187" s="46"/>
      <c r="P187" s="46"/>
      <c r="Q187" s="46"/>
      <c r="R187" s="46"/>
      <c r="S187" s="46"/>
      <c r="T187" s="79"/>
      <c r="U187" s="79"/>
      <c r="V187" s="46"/>
      <c r="W187" s="46"/>
      <c r="X187" s="46"/>
      <c r="Y187" s="79"/>
      <c r="Z187" s="79"/>
      <c r="AA187" s="80"/>
      <c r="AB187" s="78"/>
      <c r="AC187" s="46"/>
      <c r="AD187" s="46"/>
      <c r="AE187" s="46"/>
    </row>
    <row r="188" spans="5:31" x14ac:dyDescent="0.25">
      <c r="E188" s="48"/>
      <c r="F188" s="78"/>
      <c r="G188" s="46"/>
      <c r="H188" s="46"/>
      <c r="I188" s="46"/>
      <c r="J188" s="46"/>
      <c r="K188" s="46"/>
      <c r="L188" s="46"/>
      <c r="M188" s="46"/>
      <c r="N188" s="46"/>
      <c r="O188" s="46"/>
      <c r="P188" s="46"/>
      <c r="Q188" s="46"/>
      <c r="R188" s="46"/>
      <c r="S188" s="46"/>
      <c r="T188" s="79"/>
      <c r="U188" s="79"/>
      <c r="V188" s="46"/>
      <c r="W188" s="46"/>
      <c r="X188" s="46"/>
      <c r="Y188" s="79"/>
      <c r="Z188" s="79"/>
      <c r="AA188" s="80"/>
      <c r="AB188" s="78"/>
      <c r="AC188" s="46"/>
      <c r="AD188" s="46"/>
      <c r="AE188" s="46"/>
    </row>
    <row r="189" spans="5:31" x14ac:dyDescent="0.25">
      <c r="E189" s="48"/>
      <c r="F189" s="78"/>
      <c r="G189" s="46"/>
      <c r="H189" s="46"/>
      <c r="I189" s="46"/>
      <c r="J189" s="46"/>
      <c r="K189" s="46"/>
      <c r="L189" s="46"/>
      <c r="M189" s="46"/>
      <c r="N189" s="46"/>
      <c r="O189" s="46"/>
      <c r="P189" s="46"/>
      <c r="Q189" s="46"/>
      <c r="R189" s="46"/>
      <c r="S189" s="46"/>
      <c r="T189" s="79"/>
      <c r="U189" s="79"/>
      <c r="V189" s="46"/>
      <c r="W189" s="46"/>
      <c r="X189" s="46"/>
      <c r="Y189" s="79"/>
      <c r="Z189" s="79"/>
      <c r="AA189" s="80"/>
      <c r="AB189" s="78"/>
      <c r="AC189" s="46"/>
      <c r="AD189" s="46"/>
      <c r="AE189" s="46"/>
    </row>
    <row r="190" spans="5:31" x14ac:dyDescent="0.25">
      <c r="E190" s="48"/>
      <c r="F190" s="78"/>
      <c r="G190" s="46"/>
      <c r="H190" s="46"/>
      <c r="I190" s="46"/>
      <c r="J190" s="46"/>
      <c r="K190" s="46"/>
      <c r="L190" s="46"/>
      <c r="M190" s="46"/>
      <c r="N190" s="46"/>
      <c r="O190" s="46"/>
      <c r="P190" s="46"/>
      <c r="Q190" s="46"/>
      <c r="R190" s="46"/>
      <c r="S190" s="46"/>
      <c r="T190" s="79"/>
      <c r="U190" s="79"/>
      <c r="V190" s="46"/>
      <c r="W190" s="46"/>
      <c r="X190" s="46"/>
      <c r="Y190" s="79"/>
      <c r="Z190" s="79"/>
      <c r="AA190" s="80"/>
      <c r="AB190" s="78"/>
      <c r="AC190" s="46"/>
      <c r="AD190" s="46"/>
      <c r="AE190" s="46"/>
    </row>
    <row r="191" spans="5:31" x14ac:dyDescent="0.25">
      <c r="E191" s="48"/>
      <c r="F191" s="78"/>
      <c r="G191" s="46"/>
      <c r="H191" s="46"/>
      <c r="I191" s="46"/>
      <c r="J191" s="46"/>
      <c r="K191" s="46"/>
      <c r="L191" s="46"/>
      <c r="M191" s="46"/>
      <c r="N191" s="46"/>
      <c r="O191" s="46"/>
      <c r="P191" s="46"/>
      <c r="Q191" s="46"/>
      <c r="R191" s="46"/>
      <c r="S191" s="46"/>
      <c r="T191" s="79"/>
      <c r="U191" s="79"/>
      <c r="V191" s="46"/>
      <c r="W191" s="46"/>
      <c r="X191" s="46"/>
      <c r="Y191" s="79"/>
      <c r="Z191" s="79"/>
      <c r="AA191" s="80"/>
      <c r="AB191" s="78"/>
      <c r="AC191" s="46"/>
      <c r="AD191" s="46"/>
      <c r="AE191" s="46"/>
    </row>
    <row r="192" spans="5:31" x14ac:dyDescent="0.25">
      <c r="E192" s="48"/>
      <c r="F192" s="78"/>
      <c r="G192" s="46"/>
      <c r="H192" s="46"/>
      <c r="I192" s="46"/>
      <c r="J192" s="46"/>
      <c r="K192" s="46"/>
      <c r="L192" s="46"/>
      <c r="M192" s="46"/>
      <c r="N192" s="46"/>
      <c r="O192" s="46"/>
      <c r="P192" s="46"/>
      <c r="Q192" s="46"/>
      <c r="R192" s="46"/>
      <c r="S192" s="46"/>
      <c r="T192" s="79"/>
      <c r="U192" s="79"/>
      <c r="V192" s="46"/>
      <c r="W192" s="46"/>
      <c r="X192" s="46"/>
      <c r="Y192" s="79"/>
      <c r="Z192" s="79"/>
      <c r="AA192" s="80"/>
      <c r="AB192" s="78"/>
      <c r="AC192" s="46"/>
      <c r="AD192" s="46"/>
      <c r="AE192" s="46"/>
    </row>
    <row r="193" spans="5:31" x14ac:dyDescent="0.25">
      <c r="E193" s="48"/>
      <c r="F193" s="78"/>
      <c r="G193" s="46"/>
      <c r="H193" s="46"/>
      <c r="I193" s="46"/>
      <c r="J193" s="46"/>
      <c r="K193" s="46"/>
      <c r="L193" s="46"/>
      <c r="M193" s="46"/>
      <c r="N193" s="46"/>
      <c r="O193" s="46"/>
      <c r="P193" s="46"/>
      <c r="Q193" s="46"/>
      <c r="R193" s="46"/>
      <c r="S193" s="46"/>
      <c r="T193" s="79"/>
      <c r="U193" s="79"/>
      <c r="V193" s="46"/>
      <c r="W193" s="46"/>
      <c r="X193" s="46"/>
      <c r="Y193" s="79"/>
      <c r="Z193" s="79"/>
      <c r="AA193" s="80"/>
      <c r="AB193" s="78"/>
      <c r="AC193" s="46"/>
      <c r="AD193" s="46"/>
      <c r="AE193" s="46"/>
    </row>
    <row r="194" spans="5:31" x14ac:dyDescent="0.25">
      <c r="E194" s="48"/>
      <c r="F194" s="78"/>
      <c r="G194" s="46"/>
      <c r="H194" s="46"/>
      <c r="I194" s="46"/>
      <c r="J194" s="46"/>
      <c r="K194" s="46"/>
      <c r="L194" s="46"/>
      <c r="M194" s="46"/>
      <c r="N194" s="46"/>
      <c r="O194" s="46"/>
      <c r="P194" s="46"/>
      <c r="Q194" s="46"/>
      <c r="R194" s="46"/>
      <c r="S194" s="46"/>
      <c r="T194" s="79"/>
      <c r="U194" s="79"/>
      <c r="V194" s="46"/>
      <c r="W194" s="46"/>
      <c r="X194" s="46"/>
      <c r="Y194" s="79"/>
      <c r="Z194" s="79"/>
      <c r="AA194" s="80"/>
      <c r="AB194" s="78"/>
      <c r="AC194" s="46"/>
      <c r="AD194" s="46"/>
      <c r="AE194" s="46"/>
    </row>
    <row r="195" spans="5:31" x14ac:dyDescent="0.25">
      <c r="E195" s="48"/>
      <c r="F195" s="78"/>
      <c r="G195" s="46"/>
      <c r="H195" s="46"/>
      <c r="I195" s="46"/>
      <c r="J195" s="46"/>
      <c r="K195" s="46"/>
      <c r="L195" s="46"/>
      <c r="M195" s="46"/>
      <c r="N195" s="46"/>
      <c r="O195" s="46"/>
      <c r="P195" s="46"/>
      <c r="Q195" s="46"/>
      <c r="R195" s="46"/>
      <c r="S195" s="46"/>
      <c r="T195" s="79"/>
      <c r="U195" s="79"/>
      <c r="V195" s="46"/>
      <c r="W195" s="46"/>
      <c r="X195" s="46"/>
      <c r="Y195" s="79"/>
      <c r="Z195" s="79"/>
      <c r="AA195" s="80"/>
      <c r="AB195" s="78"/>
      <c r="AC195" s="46"/>
      <c r="AD195" s="46"/>
      <c r="AE195" s="46"/>
    </row>
    <row r="196" spans="5:31" x14ac:dyDescent="0.25">
      <c r="E196" s="48"/>
      <c r="F196" s="78"/>
      <c r="G196" s="46"/>
      <c r="H196" s="46"/>
      <c r="I196" s="46"/>
      <c r="J196" s="46"/>
      <c r="K196" s="46"/>
      <c r="L196" s="46"/>
      <c r="M196" s="46"/>
      <c r="N196" s="46"/>
      <c r="O196" s="46"/>
      <c r="P196" s="46"/>
      <c r="Q196" s="46"/>
      <c r="R196" s="46"/>
      <c r="S196" s="46"/>
      <c r="T196" s="79"/>
      <c r="U196" s="79"/>
      <c r="V196" s="46"/>
      <c r="W196" s="46"/>
      <c r="X196" s="46"/>
      <c r="Y196" s="79"/>
      <c r="Z196" s="79"/>
      <c r="AA196" s="80"/>
      <c r="AB196" s="78"/>
      <c r="AC196" s="46"/>
      <c r="AD196" s="46"/>
      <c r="AE196" s="46"/>
    </row>
    <row r="197" spans="5:31" x14ac:dyDescent="0.25">
      <c r="E197" s="48"/>
      <c r="F197" s="78"/>
      <c r="G197" s="46"/>
      <c r="H197" s="46"/>
      <c r="I197" s="46"/>
      <c r="J197" s="46"/>
      <c r="K197" s="46"/>
      <c r="L197" s="46"/>
      <c r="M197" s="46"/>
      <c r="N197" s="46"/>
      <c r="O197" s="46"/>
      <c r="P197" s="46"/>
      <c r="Q197" s="46"/>
      <c r="R197" s="46"/>
      <c r="S197" s="46"/>
      <c r="T197" s="79"/>
      <c r="U197" s="79"/>
      <c r="V197" s="46"/>
      <c r="W197" s="46"/>
      <c r="X197" s="46"/>
      <c r="Y197" s="79"/>
      <c r="Z197" s="79"/>
      <c r="AA197" s="80"/>
      <c r="AB197" s="78"/>
      <c r="AC197" s="46"/>
      <c r="AD197" s="46"/>
      <c r="AE197" s="46"/>
    </row>
    <row r="198" spans="5:31" x14ac:dyDescent="0.25">
      <c r="E198" s="48"/>
      <c r="F198" s="78"/>
      <c r="G198" s="46"/>
      <c r="H198" s="46"/>
      <c r="I198" s="46"/>
      <c r="J198" s="46"/>
      <c r="K198" s="46"/>
      <c r="L198" s="46"/>
      <c r="M198" s="46"/>
      <c r="N198" s="46"/>
      <c r="O198" s="46"/>
      <c r="P198" s="46"/>
      <c r="Q198" s="46"/>
      <c r="R198" s="46"/>
      <c r="S198" s="46"/>
      <c r="T198" s="79"/>
      <c r="U198" s="79"/>
      <c r="V198" s="46"/>
      <c r="W198" s="46"/>
      <c r="X198" s="46"/>
      <c r="Y198" s="79"/>
      <c r="Z198" s="79"/>
      <c r="AA198" s="80"/>
      <c r="AB198" s="78"/>
      <c r="AC198" s="46"/>
      <c r="AD198" s="46"/>
      <c r="AE198" s="46"/>
    </row>
    <row r="199" spans="5:31" x14ac:dyDescent="0.25">
      <c r="E199" s="48"/>
      <c r="F199" s="78"/>
      <c r="G199" s="46"/>
      <c r="H199" s="46"/>
      <c r="I199" s="46"/>
      <c r="J199" s="46"/>
      <c r="K199" s="46"/>
      <c r="L199" s="46"/>
      <c r="M199" s="46"/>
      <c r="N199" s="46"/>
      <c r="O199" s="46"/>
      <c r="P199" s="46"/>
      <c r="Q199" s="46"/>
      <c r="R199" s="46"/>
      <c r="S199" s="46"/>
      <c r="T199" s="79"/>
      <c r="U199" s="79"/>
      <c r="V199" s="46"/>
      <c r="W199" s="46"/>
      <c r="X199" s="46"/>
      <c r="Y199" s="79"/>
      <c r="Z199" s="79"/>
      <c r="AA199" s="80"/>
      <c r="AB199" s="78"/>
      <c r="AC199" s="46"/>
      <c r="AD199" s="46"/>
      <c r="AE199" s="46"/>
    </row>
    <row r="200" spans="5:31" x14ac:dyDescent="0.25">
      <c r="E200" s="48"/>
      <c r="F200" s="78"/>
      <c r="G200" s="46"/>
      <c r="H200" s="46"/>
      <c r="I200" s="46"/>
      <c r="J200" s="46"/>
      <c r="K200" s="46"/>
      <c r="L200" s="46"/>
      <c r="M200" s="46"/>
      <c r="N200" s="46"/>
      <c r="O200" s="46"/>
      <c r="P200" s="46"/>
      <c r="Q200" s="46"/>
      <c r="R200" s="46"/>
      <c r="S200" s="46"/>
      <c r="T200" s="79"/>
      <c r="U200" s="79"/>
      <c r="V200" s="46"/>
      <c r="W200" s="46"/>
      <c r="X200" s="46"/>
      <c r="Y200" s="79"/>
      <c r="Z200" s="79"/>
      <c r="AA200" s="80"/>
      <c r="AB200" s="78"/>
      <c r="AC200" s="46"/>
      <c r="AD200" s="46"/>
      <c r="AE200" s="46"/>
    </row>
    <row r="201" spans="5:31" x14ac:dyDescent="0.25">
      <c r="E201" s="48"/>
      <c r="F201" s="78"/>
      <c r="G201" s="46"/>
      <c r="H201" s="46"/>
      <c r="I201" s="46"/>
      <c r="J201" s="46"/>
      <c r="K201" s="46"/>
      <c r="L201" s="46"/>
      <c r="M201" s="46"/>
      <c r="N201" s="46"/>
      <c r="O201" s="46"/>
      <c r="P201" s="46"/>
      <c r="Q201" s="46"/>
      <c r="R201" s="46"/>
      <c r="S201" s="46"/>
      <c r="T201" s="79"/>
      <c r="U201" s="79"/>
      <c r="V201" s="46"/>
      <c r="W201" s="46"/>
      <c r="X201" s="46"/>
      <c r="Y201" s="79"/>
      <c r="Z201" s="79"/>
      <c r="AA201" s="80"/>
      <c r="AB201" s="78"/>
      <c r="AC201" s="46"/>
      <c r="AD201" s="46"/>
      <c r="AE201" s="46"/>
    </row>
    <row r="202" spans="5:31" x14ac:dyDescent="0.25">
      <c r="E202" s="48"/>
      <c r="F202" s="78"/>
      <c r="G202" s="46"/>
      <c r="H202" s="46"/>
      <c r="I202" s="46"/>
      <c r="J202" s="46"/>
      <c r="K202" s="46"/>
      <c r="L202" s="46"/>
      <c r="M202" s="46"/>
      <c r="N202" s="46"/>
      <c r="O202" s="46"/>
      <c r="P202" s="46"/>
      <c r="Q202" s="46"/>
      <c r="R202" s="46"/>
      <c r="S202" s="46"/>
      <c r="T202" s="79"/>
      <c r="U202" s="79"/>
      <c r="V202" s="46"/>
      <c r="W202" s="46"/>
      <c r="X202" s="46"/>
      <c r="Y202" s="79"/>
      <c r="Z202" s="79"/>
      <c r="AA202" s="80"/>
      <c r="AB202" s="78"/>
      <c r="AC202" s="46"/>
      <c r="AD202" s="46"/>
      <c r="AE202" s="46"/>
    </row>
    <row r="203" spans="5:31" x14ac:dyDescent="0.25">
      <c r="E203" s="48"/>
      <c r="F203" s="78"/>
      <c r="G203" s="46"/>
      <c r="H203" s="46"/>
      <c r="I203" s="46"/>
      <c r="J203" s="46"/>
      <c r="K203" s="46"/>
      <c r="L203" s="46"/>
      <c r="M203" s="46"/>
      <c r="N203" s="46"/>
      <c r="O203" s="46"/>
      <c r="P203" s="46"/>
      <c r="Q203" s="46"/>
      <c r="R203" s="46"/>
      <c r="S203" s="46"/>
      <c r="T203" s="79"/>
      <c r="U203" s="79"/>
      <c r="V203" s="46"/>
      <c r="W203" s="46"/>
      <c r="X203" s="46"/>
      <c r="Y203" s="79"/>
      <c r="Z203" s="79"/>
      <c r="AA203" s="80"/>
      <c r="AB203" s="78"/>
      <c r="AC203" s="46"/>
      <c r="AD203" s="46"/>
      <c r="AE203" s="46"/>
    </row>
    <row r="204" spans="5:31" x14ac:dyDescent="0.25">
      <c r="E204" s="48"/>
      <c r="F204" s="78"/>
      <c r="G204" s="46"/>
      <c r="H204" s="46"/>
      <c r="I204" s="46"/>
      <c r="J204" s="46"/>
      <c r="K204" s="46"/>
      <c r="L204" s="46"/>
      <c r="M204" s="46"/>
      <c r="N204" s="46"/>
      <c r="O204" s="46"/>
      <c r="P204" s="46"/>
      <c r="Q204" s="46"/>
      <c r="R204" s="46"/>
      <c r="S204" s="46"/>
      <c r="T204" s="79"/>
      <c r="U204" s="79"/>
      <c r="V204" s="46"/>
      <c r="W204" s="46"/>
      <c r="X204" s="46"/>
      <c r="Y204" s="79"/>
      <c r="Z204" s="79"/>
      <c r="AA204" s="80"/>
      <c r="AB204" s="78"/>
      <c r="AC204" s="46"/>
      <c r="AD204" s="46"/>
      <c r="AE204" s="46"/>
    </row>
    <row r="205" spans="5:31" x14ac:dyDescent="0.25">
      <c r="E205" s="48"/>
      <c r="F205" s="78"/>
      <c r="G205" s="46"/>
      <c r="H205" s="46"/>
      <c r="I205" s="46"/>
      <c r="J205" s="46"/>
      <c r="K205" s="46"/>
      <c r="L205" s="46"/>
      <c r="M205" s="46"/>
      <c r="N205" s="46"/>
      <c r="O205" s="46"/>
      <c r="P205" s="46"/>
      <c r="Q205" s="46"/>
      <c r="R205" s="46"/>
      <c r="S205" s="46"/>
      <c r="T205" s="79"/>
      <c r="U205" s="79"/>
      <c r="V205" s="46"/>
      <c r="W205" s="46"/>
      <c r="X205" s="46"/>
      <c r="Y205" s="79"/>
      <c r="Z205" s="79"/>
      <c r="AA205" s="80"/>
      <c r="AB205" s="78"/>
      <c r="AC205" s="46"/>
      <c r="AD205" s="46"/>
      <c r="AE205" s="46"/>
    </row>
    <row r="206" spans="5:31" x14ac:dyDescent="0.25">
      <c r="E206" s="48"/>
      <c r="F206" s="78"/>
      <c r="G206" s="46"/>
      <c r="H206" s="46"/>
      <c r="I206" s="46"/>
      <c r="J206" s="46"/>
      <c r="K206" s="46"/>
      <c r="L206" s="46"/>
      <c r="M206" s="46"/>
      <c r="N206" s="46"/>
      <c r="O206" s="46"/>
      <c r="P206" s="46"/>
      <c r="Q206" s="46"/>
      <c r="R206" s="46"/>
      <c r="S206" s="46"/>
      <c r="T206" s="79"/>
      <c r="U206" s="79"/>
      <c r="V206" s="46"/>
      <c r="W206" s="46"/>
      <c r="X206" s="46"/>
      <c r="Y206" s="79"/>
      <c r="Z206" s="79"/>
      <c r="AA206" s="80"/>
      <c r="AB206" s="78"/>
      <c r="AC206" s="46"/>
      <c r="AD206" s="46"/>
      <c r="AE206" s="46"/>
    </row>
    <row r="207" spans="5:31" x14ac:dyDescent="0.25">
      <c r="E207" s="48"/>
      <c r="F207" s="78"/>
      <c r="G207" s="46"/>
      <c r="H207" s="46"/>
      <c r="I207" s="46"/>
      <c r="J207" s="46"/>
      <c r="K207" s="46"/>
      <c r="L207" s="46"/>
      <c r="M207" s="46"/>
      <c r="N207" s="46"/>
      <c r="O207" s="46"/>
      <c r="P207" s="46"/>
      <c r="Q207" s="46"/>
      <c r="R207" s="46"/>
      <c r="S207" s="46"/>
      <c r="T207" s="79"/>
      <c r="U207" s="79"/>
      <c r="V207" s="46"/>
      <c r="W207" s="46"/>
      <c r="X207" s="46"/>
      <c r="Y207" s="79"/>
      <c r="Z207" s="79"/>
      <c r="AA207" s="80"/>
      <c r="AB207" s="78"/>
      <c r="AC207" s="46"/>
      <c r="AD207" s="46"/>
      <c r="AE207" s="46"/>
    </row>
    <row r="208" spans="5:31" x14ac:dyDescent="0.25">
      <c r="E208" s="48"/>
      <c r="F208" s="78"/>
      <c r="G208" s="46"/>
      <c r="H208" s="46"/>
      <c r="I208" s="46"/>
      <c r="J208" s="46"/>
      <c r="K208" s="46"/>
      <c r="L208" s="46"/>
      <c r="M208" s="46"/>
      <c r="N208" s="46"/>
      <c r="O208" s="46"/>
      <c r="P208" s="46"/>
      <c r="Q208" s="46"/>
      <c r="R208" s="46"/>
      <c r="S208" s="46"/>
      <c r="T208" s="79"/>
      <c r="U208" s="79"/>
      <c r="V208" s="46"/>
      <c r="W208" s="46"/>
      <c r="X208" s="46"/>
      <c r="Y208" s="79"/>
      <c r="Z208" s="79"/>
      <c r="AA208" s="80"/>
      <c r="AB208" s="78"/>
      <c r="AC208" s="46"/>
      <c r="AD208" s="46"/>
      <c r="AE208" s="46"/>
    </row>
    <row r="209" spans="5:31" x14ac:dyDescent="0.25">
      <c r="E209" s="48"/>
      <c r="F209" s="78"/>
      <c r="G209" s="46"/>
      <c r="H209" s="46"/>
      <c r="I209" s="46"/>
      <c r="J209" s="46"/>
      <c r="K209" s="46"/>
      <c r="L209" s="46"/>
      <c r="M209" s="46"/>
      <c r="N209" s="46"/>
      <c r="O209" s="46"/>
      <c r="P209" s="46"/>
      <c r="Q209" s="46"/>
      <c r="R209" s="46"/>
      <c r="S209" s="46"/>
      <c r="T209" s="79"/>
      <c r="U209" s="79"/>
      <c r="V209" s="46"/>
      <c r="W209" s="46"/>
      <c r="X209" s="46"/>
      <c r="Y209" s="79"/>
      <c r="Z209" s="79"/>
      <c r="AA209" s="80"/>
      <c r="AB209" s="78"/>
      <c r="AC209" s="46"/>
      <c r="AD209" s="46"/>
      <c r="AE209" s="46"/>
    </row>
    <row r="210" spans="5:31" x14ac:dyDescent="0.25">
      <c r="E210" s="48"/>
      <c r="F210" s="78"/>
      <c r="G210" s="46"/>
      <c r="H210" s="46"/>
      <c r="I210" s="46"/>
      <c r="J210" s="46"/>
      <c r="K210" s="46"/>
      <c r="L210" s="46"/>
      <c r="M210" s="46"/>
      <c r="N210" s="46"/>
      <c r="O210" s="46"/>
      <c r="P210" s="46"/>
      <c r="Q210" s="46"/>
      <c r="R210" s="46"/>
      <c r="S210" s="46"/>
      <c r="T210" s="79"/>
      <c r="U210" s="79"/>
      <c r="V210" s="46"/>
      <c r="W210" s="46"/>
      <c r="X210" s="46"/>
      <c r="Y210" s="79"/>
      <c r="Z210" s="79"/>
      <c r="AA210" s="80"/>
      <c r="AB210" s="78"/>
      <c r="AC210" s="46"/>
      <c r="AD210" s="46"/>
      <c r="AE210" s="46"/>
    </row>
    <row r="211" spans="5:31" x14ac:dyDescent="0.25">
      <c r="E211" s="48"/>
      <c r="F211" s="78"/>
      <c r="G211" s="46"/>
      <c r="H211" s="46"/>
      <c r="I211" s="46"/>
      <c r="J211" s="46"/>
      <c r="K211" s="46"/>
      <c r="L211" s="46"/>
      <c r="M211" s="46"/>
      <c r="N211" s="46"/>
      <c r="O211" s="46"/>
      <c r="P211" s="46"/>
      <c r="Q211" s="46"/>
      <c r="R211" s="46"/>
      <c r="S211" s="46"/>
      <c r="T211" s="79"/>
      <c r="U211" s="79"/>
      <c r="V211" s="46"/>
      <c r="W211" s="46"/>
      <c r="X211" s="46"/>
      <c r="Y211" s="79"/>
      <c r="Z211" s="79"/>
      <c r="AA211" s="80"/>
      <c r="AB211" s="78"/>
      <c r="AC211" s="46"/>
      <c r="AD211" s="46"/>
      <c r="AE211" s="46"/>
    </row>
    <row r="212" spans="5:31" x14ac:dyDescent="0.25">
      <c r="E212" s="48"/>
      <c r="F212" s="78"/>
      <c r="G212" s="46"/>
      <c r="H212" s="46"/>
      <c r="I212" s="46"/>
      <c r="J212" s="46"/>
      <c r="K212" s="46"/>
      <c r="L212" s="46"/>
      <c r="M212" s="46"/>
      <c r="N212" s="46"/>
      <c r="O212" s="46"/>
      <c r="P212" s="46"/>
      <c r="Q212" s="46"/>
      <c r="R212" s="46"/>
      <c r="S212" s="46"/>
      <c r="T212" s="79"/>
      <c r="U212" s="79"/>
      <c r="V212" s="46"/>
      <c r="W212" s="46"/>
      <c r="X212" s="46"/>
      <c r="Y212" s="79"/>
      <c r="Z212" s="79"/>
      <c r="AA212" s="80"/>
      <c r="AB212" s="78"/>
      <c r="AC212" s="46"/>
      <c r="AD212" s="46"/>
      <c r="AE212" s="46"/>
    </row>
    <row r="213" spans="5:31" x14ac:dyDescent="0.25">
      <c r="E213" s="48"/>
      <c r="F213" s="78"/>
      <c r="G213" s="46"/>
      <c r="H213" s="46"/>
      <c r="I213" s="46"/>
      <c r="J213" s="46"/>
      <c r="K213" s="46"/>
      <c r="L213" s="46"/>
      <c r="M213" s="46"/>
      <c r="N213" s="46"/>
      <c r="O213" s="46"/>
      <c r="P213" s="46"/>
      <c r="Q213" s="46"/>
      <c r="R213" s="46"/>
      <c r="S213" s="46"/>
      <c r="T213" s="79"/>
      <c r="U213" s="79"/>
      <c r="V213" s="46"/>
      <c r="W213" s="46"/>
      <c r="X213" s="46"/>
      <c r="Y213" s="79"/>
      <c r="Z213" s="79"/>
      <c r="AA213" s="80"/>
      <c r="AB213" s="78"/>
      <c r="AC213" s="46"/>
      <c r="AD213" s="46"/>
      <c r="AE213" s="46"/>
    </row>
    <row r="214" spans="5:31" x14ac:dyDescent="0.25">
      <c r="E214" s="48"/>
      <c r="F214" s="78"/>
      <c r="G214" s="46"/>
      <c r="H214" s="46"/>
      <c r="I214" s="46"/>
      <c r="J214" s="46"/>
      <c r="K214" s="46"/>
      <c r="L214" s="46"/>
      <c r="M214" s="46"/>
      <c r="N214" s="46"/>
      <c r="O214" s="46"/>
      <c r="P214" s="46"/>
      <c r="Q214" s="46"/>
      <c r="R214" s="46"/>
      <c r="S214" s="46"/>
      <c r="T214" s="79"/>
      <c r="U214" s="79"/>
      <c r="V214" s="46"/>
      <c r="W214" s="46"/>
      <c r="X214" s="46"/>
      <c r="Y214" s="79"/>
      <c r="Z214" s="79"/>
      <c r="AA214" s="80"/>
      <c r="AB214" s="78"/>
      <c r="AC214" s="46"/>
      <c r="AD214" s="46"/>
      <c r="AE214" s="46"/>
    </row>
    <row r="215" spans="5:31" x14ac:dyDescent="0.25">
      <c r="E215" s="48"/>
      <c r="F215" s="78"/>
      <c r="G215" s="46"/>
      <c r="H215" s="46"/>
      <c r="I215" s="46"/>
      <c r="J215" s="46"/>
      <c r="K215" s="46"/>
      <c r="L215" s="46"/>
      <c r="M215" s="46"/>
      <c r="N215" s="46"/>
      <c r="O215" s="46"/>
      <c r="P215" s="46"/>
      <c r="Q215" s="46"/>
      <c r="R215" s="46"/>
      <c r="S215" s="46"/>
      <c r="T215" s="79"/>
      <c r="U215" s="79"/>
      <c r="V215" s="46"/>
      <c r="W215" s="46"/>
      <c r="X215" s="46"/>
      <c r="Y215" s="79"/>
      <c r="Z215" s="79"/>
      <c r="AA215" s="80"/>
      <c r="AB215" s="78"/>
      <c r="AC215" s="46"/>
      <c r="AD215" s="46"/>
      <c r="AE215" s="46"/>
    </row>
    <row r="216" spans="5:31" x14ac:dyDescent="0.25">
      <c r="E216" s="48"/>
      <c r="F216" s="78"/>
      <c r="G216" s="46"/>
      <c r="H216" s="46"/>
      <c r="I216" s="46"/>
      <c r="J216" s="46"/>
      <c r="K216" s="46"/>
      <c r="L216" s="46"/>
      <c r="M216" s="46"/>
      <c r="N216" s="46"/>
      <c r="O216" s="46"/>
      <c r="P216" s="46"/>
      <c r="Q216" s="46"/>
      <c r="R216" s="46"/>
      <c r="S216" s="46"/>
      <c r="T216" s="79"/>
      <c r="U216" s="79"/>
      <c r="V216" s="46"/>
      <c r="W216" s="46"/>
      <c r="X216" s="46"/>
      <c r="Y216" s="79"/>
      <c r="Z216" s="79"/>
      <c r="AA216" s="80"/>
      <c r="AB216" s="78"/>
      <c r="AC216" s="46"/>
      <c r="AD216" s="46"/>
      <c r="AE216" s="46"/>
    </row>
    <row r="217" spans="5:31" x14ac:dyDescent="0.25">
      <c r="E217" s="48"/>
      <c r="F217" s="78"/>
      <c r="G217" s="46"/>
      <c r="H217" s="46"/>
      <c r="I217" s="46"/>
      <c r="J217" s="46"/>
      <c r="K217" s="46"/>
      <c r="L217" s="46"/>
      <c r="M217" s="46"/>
      <c r="N217" s="46"/>
      <c r="O217" s="46"/>
      <c r="P217" s="46"/>
      <c r="Q217" s="46"/>
      <c r="R217" s="46"/>
      <c r="S217" s="46"/>
      <c r="T217" s="79"/>
      <c r="U217" s="79"/>
      <c r="V217" s="46"/>
      <c r="W217" s="46"/>
      <c r="X217" s="46"/>
      <c r="Y217" s="79"/>
      <c r="Z217" s="79"/>
      <c r="AA217" s="80"/>
      <c r="AB217" s="78"/>
      <c r="AC217" s="46"/>
      <c r="AD217" s="46"/>
      <c r="AE217" s="46"/>
    </row>
    <row r="218" spans="5:31" x14ac:dyDescent="0.25">
      <c r="E218" s="48"/>
      <c r="F218" s="78"/>
      <c r="G218" s="46"/>
      <c r="H218" s="46"/>
      <c r="I218" s="46"/>
      <c r="J218" s="46"/>
      <c r="K218" s="46"/>
      <c r="L218" s="46"/>
      <c r="M218" s="46"/>
      <c r="N218" s="46"/>
      <c r="O218" s="46"/>
      <c r="P218" s="46"/>
      <c r="Q218" s="46"/>
      <c r="R218" s="46"/>
      <c r="S218" s="46"/>
      <c r="T218" s="79"/>
      <c r="U218" s="79"/>
      <c r="V218" s="46"/>
      <c r="W218" s="46"/>
      <c r="X218" s="46"/>
      <c r="Y218" s="79"/>
      <c r="Z218" s="79"/>
      <c r="AA218" s="80"/>
      <c r="AB218" s="78"/>
      <c r="AC218" s="46"/>
      <c r="AD218" s="46"/>
      <c r="AE218" s="46"/>
    </row>
    <row r="219" spans="5:31" x14ac:dyDescent="0.25">
      <c r="E219" s="48"/>
      <c r="F219" s="78"/>
      <c r="G219" s="46"/>
      <c r="H219" s="46"/>
      <c r="I219" s="46"/>
      <c r="J219" s="46"/>
      <c r="K219" s="46"/>
      <c r="L219" s="46"/>
      <c r="M219" s="46"/>
      <c r="N219" s="46"/>
      <c r="O219" s="46"/>
      <c r="P219" s="46"/>
      <c r="Q219" s="46"/>
      <c r="R219" s="46"/>
      <c r="S219" s="46"/>
      <c r="T219" s="79"/>
      <c r="U219" s="79"/>
      <c r="V219" s="46"/>
      <c r="W219" s="46"/>
      <c r="X219" s="46"/>
      <c r="Y219" s="79"/>
      <c r="Z219" s="79"/>
      <c r="AA219" s="80"/>
      <c r="AB219" s="78"/>
      <c r="AC219" s="46"/>
      <c r="AD219" s="46"/>
      <c r="AE219" s="46"/>
    </row>
    <row r="220" spans="5:31" x14ac:dyDescent="0.25">
      <c r="E220" s="48"/>
      <c r="F220" s="78"/>
      <c r="G220" s="46"/>
      <c r="H220" s="46"/>
      <c r="I220" s="46"/>
      <c r="J220" s="46"/>
      <c r="K220" s="46"/>
      <c r="L220" s="46"/>
      <c r="M220" s="46"/>
      <c r="N220" s="46"/>
      <c r="O220" s="46"/>
      <c r="P220" s="46"/>
      <c r="Q220" s="46"/>
      <c r="R220" s="46"/>
      <c r="S220" s="46"/>
      <c r="T220" s="79"/>
      <c r="U220" s="79"/>
      <c r="V220" s="46"/>
      <c r="W220" s="46"/>
      <c r="X220" s="46"/>
      <c r="Y220" s="79"/>
      <c r="Z220" s="79"/>
      <c r="AA220" s="80"/>
      <c r="AB220" s="78"/>
      <c r="AC220" s="46"/>
      <c r="AD220" s="46"/>
      <c r="AE220" s="46"/>
    </row>
    <row r="221" spans="5:31" x14ac:dyDescent="0.25">
      <c r="E221" s="48"/>
      <c r="F221" s="78"/>
      <c r="G221" s="46"/>
      <c r="H221" s="46"/>
      <c r="I221" s="46"/>
      <c r="J221" s="46"/>
      <c r="K221" s="46"/>
      <c r="L221" s="46"/>
      <c r="M221" s="46"/>
      <c r="N221" s="46"/>
      <c r="O221" s="46"/>
      <c r="P221" s="46"/>
      <c r="Q221" s="46"/>
      <c r="R221" s="46"/>
      <c r="S221" s="46"/>
      <c r="T221" s="79"/>
      <c r="U221" s="79"/>
      <c r="V221" s="46"/>
      <c r="W221" s="46"/>
      <c r="X221" s="46"/>
      <c r="Y221" s="79"/>
      <c r="Z221" s="79"/>
      <c r="AA221" s="80"/>
      <c r="AB221" s="78"/>
      <c r="AC221" s="46"/>
      <c r="AD221" s="46"/>
      <c r="AE221" s="46"/>
    </row>
    <row r="222" spans="5:31" x14ac:dyDescent="0.25">
      <c r="E222" s="48"/>
      <c r="F222" s="78"/>
      <c r="G222" s="46"/>
      <c r="H222" s="46"/>
      <c r="I222" s="46"/>
      <c r="J222" s="46"/>
      <c r="K222" s="46"/>
      <c r="L222" s="46"/>
      <c r="M222" s="46"/>
      <c r="N222" s="46"/>
      <c r="O222" s="46"/>
      <c r="P222" s="46"/>
      <c r="Q222" s="46"/>
      <c r="R222" s="46"/>
      <c r="S222" s="46"/>
      <c r="T222" s="79"/>
      <c r="U222" s="79"/>
      <c r="V222" s="46"/>
      <c r="W222" s="46"/>
      <c r="X222" s="46"/>
      <c r="Y222" s="79"/>
      <c r="Z222" s="79"/>
      <c r="AA222" s="80"/>
      <c r="AB222" s="78"/>
      <c r="AC222" s="46"/>
      <c r="AD222" s="46"/>
      <c r="AE222" s="46"/>
    </row>
    <row r="223" spans="5:31" x14ac:dyDescent="0.25">
      <c r="E223" s="48"/>
      <c r="F223" s="78"/>
      <c r="G223" s="46"/>
      <c r="H223" s="46"/>
      <c r="I223" s="46"/>
      <c r="J223" s="46"/>
      <c r="K223" s="46"/>
      <c r="L223" s="46"/>
      <c r="M223" s="46"/>
      <c r="N223" s="46"/>
      <c r="O223" s="46"/>
      <c r="P223" s="46"/>
      <c r="Q223" s="46"/>
      <c r="R223" s="46"/>
      <c r="S223" s="46"/>
      <c r="T223" s="79"/>
      <c r="U223" s="79"/>
      <c r="V223" s="46"/>
      <c r="W223" s="46"/>
      <c r="X223" s="46"/>
      <c r="Y223" s="79"/>
      <c r="Z223" s="79"/>
      <c r="AA223" s="80"/>
      <c r="AB223" s="78"/>
      <c r="AC223" s="46"/>
      <c r="AD223" s="46"/>
      <c r="AE223" s="46"/>
    </row>
    <row r="224" spans="5:31" x14ac:dyDescent="0.25">
      <c r="E224" s="48"/>
      <c r="F224" s="78"/>
      <c r="G224" s="46"/>
      <c r="H224" s="46"/>
      <c r="I224" s="46"/>
      <c r="J224" s="46"/>
      <c r="K224" s="46"/>
      <c r="L224" s="46"/>
      <c r="M224" s="46"/>
      <c r="N224" s="46"/>
      <c r="O224" s="46"/>
      <c r="P224" s="46"/>
      <c r="Q224" s="46"/>
      <c r="R224" s="46"/>
      <c r="S224" s="46"/>
      <c r="T224" s="79"/>
      <c r="U224" s="79"/>
      <c r="V224" s="46"/>
      <c r="W224" s="46"/>
      <c r="X224" s="46"/>
      <c r="Y224" s="79"/>
      <c r="Z224" s="79"/>
      <c r="AA224" s="80"/>
      <c r="AB224" s="78"/>
      <c r="AC224" s="46"/>
      <c r="AD224" s="46"/>
      <c r="AE224" s="46"/>
    </row>
    <row r="225" spans="5:31" x14ac:dyDescent="0.25">
      <c r="E225" s="48"/>
      <c r="F225" s="78"/>
      <c r="G225" s="46"/>
      <c r="H225" s="46"/>
      <c r="I225" s="46"/>
      <c r="J225" s="46"/>
      <c r="K225" s="46"/>
      <c r="L225" s="46"/>
      <c r="M225" s="46"/>
      <c r="N225" s="46"/>
      <c r="O225" s="46"/>
      <c r="P225" s="46"/>
      <c r="Q225" s="46"/>
      <c r="R225" s="46"/>
      <c r="S225" s="46"/>
      <c r="T225" s="79"/>
      <c r="U225" s="79"/>
      <c r="V225" s="46"/>
      <c r="W225" s="46"/>
      <c r="X225" s="46"/>
      <c r="Y225" s="79"/>
      <c r="Z225" s="79"/>
      <c r="AA225" s="80"/>
      <c r="AB225" s="78"/>
      <c r="AC225" s="46"/>
      <c r="AD225" s="46"/>
      <c r="AE225" s="46"/>
    </row>
    <row r="226" spans="5:31" x14ac:dyDescent="0.25">
      <c r="E226" s="48"/>
      <c r="F226" s="78"/>
      <c r="G226" s="46"/>
      <c r="H226" s="46"/>
      <c r="I226" s="46"/>
      <c r="J226" s="46"/>
      <c r="K226" s="46"/>
      <c r="L226" s="46"/>
      <c r="M226" s="46"/>
      <c r="N226" s="46"/>
      <c r="O226" s="46"/>
      <c r="P226" s="46"/>
      <c r="Q226" s="46"/>
      <c r="R226" s="46"/>
      <c r="S226" s="46"/>
      <c r="T226" s="79"/>
      <c r="U226" s="79"/>
      <c r="V226" s="46"/>
      <c r="W226" s="46"/>
      <c r="X226" s="46"/>
      <c r="Y226" s="79"/>
      <c r="Z226" s="79"/>
      <c r="AA226" s="80"/>
      <c r="AB226" s="78"/>
      <c r="AC226" s="46"/>
      <c r="AD226" s="46"/>
      <c r="AE226" s="46"/>
    </row>
    <row r="227" spans="5:31" x14ac:dyDescent="0.25">
      <c r="E227" s="48"/>
      <c r="F227" s="78"/>
      <c r="G227" s="46"/>
      <c r="H227" s="46"/>
      <c r="I227" s="46"/>
      <c r="J227" s="46"/>
      <c r="K227" s="46"/>
      <c r="L227" s="46"/>
      <c r="M227" s="46"/>
      <c r="N227" s="46"/>
      <c r="O227" s="46"/>
      <c r="P227" s="46"/>
      <c r="Q227" s="46"/>
      <c r="R227" s="46"/>
      <c r="S227" s="46"/>
      <c r="T227" s="79"/>
      <c r="U227" s="79"/>
      <c r="V227" s="46"/>
      <c r="W227" s="46"/>
      <c r="X227" s="46"/>
      <c r="Y227" s="79"/>
      <c r="Z227" s="79"/>
      <c r="AA227" s="80"/>
      <c r="AB227" s="78"/>
      <c r="AC227" s="46"/>
      <c r="AD227" s="46"/>
      <c r="AE227" s="46"/>
    </row>
    <row r="228" spans="5:31" x14ac:dyDescent="0.25">
      <c r="E228" s="48"/>
      <c r="F228" s="78"/>
      <c r="G228" s="46"/>
      <c r="H228" s="46"/>
      <c r="I228" s="46"/>
      <c r="J228" s="46"/>
      <c r="K228" s="46"/>
      <c r="L228" s="46"/>
      <c r="M228" s="46"/>
      <c r="N228" s="46"/>
      <c r="O228" s="46"/>
      <c r="P228" s="46"/>
      <c r="Q228" s="46"/>
      <c r="R228" s="46"/>
      <c r="S228" s="46"/>
      <c r="T228" s="79"/>
      <c r="U228" s="79"/>
      <c r="V228" s="46"/>
      <c r="W228" s="46"/>
      <c r="X228" s="46"/>
      <c r="Y228" s="79"/>
      <c r="Z228" s="79"/>
      <c r="AA228" s="80"/>
      <c r="AB228" s="78"/>
      <c r="AC228" s="46"/>
      <c r="AD228" s="46"/>
      <c r="AE228" s="46"/>
    </row>
    <row r="229" spans="5:31" x14ac:dyDescent="0.25">
      <c r="E229" s="48"/>
      <c r="F229" s="78"/>
      <c r="G229" s="46"/>
      <c r="H229" s="46"/>
      <c r="I229" s="46"/>
      <c r="J229" s="46"/>
      <c r="K229" s="46"/>
      <c r="L229" s="46"/>
      <c r="M229" s="46"/>
      <c r="N229" s="46"/>
      <c r="O229" s="46"/>
      <c r="P229" s="46"/>
      <c r="Q229" s="46"/>
      <c r="R229" s="46"/>
      <c r="S229" s="46"/>
      <c r="T229" s="79"/>
      <c r="U229" s="79"/>
      <c r="V229" s="46"/>
      <c r="W229" s="46"/>
      <c r="X229" s="46"/>
      <c r="Y229" s="79"/>
      <c r="Z229" s="79"/>
      <c r="AA229" s="80"/>
      <c r="AB229" s="78"/>
      <c r="AC229" s="46"/>
      <c r="AD229" s="46"/>
      <c r="AE229" s="46"/>
    </row>
    <row r="230" spans="5:31" x14ac:dyDescent="0.25">
      <c r="E230" s="48"/>
      <c r="F230" s="78"/>
      <c r="G230" s="46"/>
      <c r="H230" s="46"/>
      <c r="I230" s="46"/>
      <c r="J230" s="46"/>
      <c r="K230" s="46"/>
      <c r="L230" s="46"/>
      <c r="M230" s="46"/>
      <c r="N230" s="46"/>
      <c r="O230" s="46"/>
      <c r="P230" s="46"/>
      <c r="Q230" s="46"/>
      <c r="R230" s="46"/>
      <c r="S230" s="46"/>
      <c r="T230" s="79"/>
      <c r="U230" s="79"/>
      <c r="V230" s="46"/>
      <c r="W230" s="46"/>
      <c r="X230" s="46"/>
      <c r="Y230" s="79"/>
      <c r="Z230" s="79"/>
      <c r="AA230" s="80"/>
      <c r="AB230" s="78"/>
      <c r="AC230" s="46"/>
      <c r="AD230" s="46"/>
      <c r="AE230" s="46"/>
    </row>
    <row r="231" spans="5:31" x14ac:dyDescent="0.25">
      <c r="E231" s="48"/>
      <c r="F231" s="78"/>
      <c r="G231" s="46"/>
      <c r="H231" s="46"/>
      <c r="I231" s="46"/>
      <c r="J231" s="46"/>
      <c r="K231" s="46"/>
      <c r="L231" s="46"/>
      <c r="M231" s="46"/>
      <c r="N231" s="46"/>
      <c r="O231" s="46"/>
      <c r="P231" s="46"/>
      <c r="Q231" s="46"/>
      <c r="R231" s="46"/>
      <c r="S231" s="46"/>
      <c r="T231" s="79"/>
      <c r="U231" s="79"/>
      <c r="V231" s="46"/>
      <c r="W231" s="46"/>
      <c r="X231" s="46"/>
      <c r="Y231" s="79"/>
      <c r="Z231" s="79"/>
      <c r="AA231" s="80"/>
      <c r="AB231" s="78"/>
      <c r="AC231" s="46"/>
      <c r="AD231" s="46"/>
      <c r="AE231" s="46"/>
    </row>
    <row r="232" spans="5:31" x14ac:dyDescent="0.25">
      <c r="E232" s="48"/>
      <c r="F232" s="78"/>
      <c r="G232" s="46"/>
      <c r="H232" s="46"/>
      <c r="I232" s="46"/>
      <c r="J232" s="46"/>
      <c r="K232" s="46"/>
      <c r="L232" s="46"/>
      <c r="M232" s="46"/>
      <c r="N232" s="46"/>
      <c r="O232" s="46"/>
      <c r="P232" s="46"/>
      <c r="Q232" s="46"/>
      <c r="R232" s="46"/>
      <c r="S232" s="46"/>
      <c r="T232" s="79"/>
      <c r="U232" s="79"/>
      <c r="V232" s="46"/>
      <c r="W232" s="46"/>
      <c r="X232" s="46"/>
      <c r="Y232" s="79"/>
      <c r="Z232" s="79"/>
      <c r="AA232" s="80"/>
      <c r="AB232" s="78"/>
      <c r="AC232" s="46"/>
      <c r="AD232" s="46"/>
      <c r="AE232" s="46"/>
    </row>
    <row r="233" spans="5:31" x14ac:dyDescent="0.25">
      <c r="E233" s="48"/>
      <c r="F233" s="78"/>
      <c r="G233" s="46"/>
      <c r="H233" s="46"/>
      <c r="I233" s="46"/>
      <c r="J233" s="46"/>
      <c r="K233" s="46"/>
      <c r="L233" s="46"/>
      <c r="M233" s="46"/>
      <c r="N233" s="46"/>
      <c r="O233" s="46"/>
      <c r="P233" s="46"/>
      <c r="Q233" s="46"/>
      <c r="R233" s="46"/>
      <c r="S233" s="46"/>
      <c r="T233" s="79"/>
      <c r="U233" s="79"/>
      <c r="V233" s="46"/>
      <c r="W233" s="46"/>
      <c r="X233" s="46"/>
      <c r="Y233" s="79"/>
      <c r="Z233" s="79"/>
      <c r="AA233" s="80"/>
      <c r="AB233" s="78"/>
      <c r="AC233" s="46"/>
      <c r="AD233" s="46"/>
      <c r="AE233" s="46"/>
    </row>
    <row r="234" spans="5:31" x14ac:dyDescent="0.25">
      <c r="E234" s="48"/>
      <c r="F234" s="78"/>
      <c r="G234" s="46"/>
      <c r="H234" s="46"/>
      <c r="I234" s="46"/>
      <c r="J234" s="46"/>
      <c r="K234" s="46"/>
      <c r="L234" s="46"/>
      <c r="M234" s="46"/>
      <c r="N234" s="46"/>
      <c r="O234" s="46"/>
      <c r="P234" s="46"/>
      <c r="Q234" s="46"/>
      <c r="R234" s="46"/>
      <c r="S234" s="46"/>
      <c r="T234" s="79"/>
      <c r="U234" s="79"/>
      <c r="V234" s="46"/>
      <c r="W234" s="46"/>
      <c r="X234" s="46"/>
      <c r="Y234" s="79"/>
      <c r="Z234" s="79"/>
      <c r="AA234" s="80"/>
      <c r="AB234" s="78"/>
      <c r="AC234" s="46"/>
      <c r="AD234" s="46"/>
      <c r="AE234" s="46"/>
    </row>
    <row r="235" spans="5:31" x14ac:dyDescent="0.25">
      <c r="E235" s="48"/>
      <c r="F235" s="78"/>
      <c r="G235" s="46"/>
      <c r="H235" s="46"/>
      <c r="I235" s="46"/>
      <c r="J235" s="46"/>
      <c r="K235" s="46"/>
      <c r="L235" s="46"/>
      <c r="M235" s="46"/>
      <c r="N235" s="46"/>
      <c r="O235" s="46"/>
      <c r="P235" s="46"/>
      <c r="Q235" s="46"/>
      <c r="R235" s="46"/>
      <c r="S235" s="46"/>
      <c r="T235" s="79"/>
      <c r="U235" s="79"/>
      <c r="V235" s="46"/>
      <c r="W235" s="46"/>
      <c r="X235" s="46"/>
      <c r="Y235" s="79"/>
      <c r="Z235" s="79"/>
      <c r="AA235" s="80"/>
      <c r="AB235" s="78"/>
      <c r="AC235" s="46"/>
      <c r="AD235" s="46"/>
      <c r="AE235" s="46"/>
    </row>
    <row r="236" spans="5:31" x14ac:dyDescent="0.25">
      <c r="E236" s="48"/>
      <c r="F236" s="78"/>
      <c r="G236" s="46"/>
      <c r="H236" s="46"/>
      <c r="I236" s="46"/>
      <c r="J236" s="46"/>
      <c r="K236" s="46"/>
      <c r="L236" s="46"/>
      <c r="M236" s="46"/>
      <c r="N236" s="46"/>
      <c r="O236" s="46"/>
      <c r="P236" s="46"/>
      <c r="Q236" s="46"/>
      <c r="R236" s="46"/>
      <c r="S236" s="46"/>
      <c r="T236" s="79"/>
      <c r="U236" s="79"/>
      <c r="V236" s="46"/>
      <c r="W236" s="46"/>
      <c r="X236" s="46"/>
      <c r="Y236" s="79"/>
      <c r="Z236" s="79"/>
      <c r="AA236" s="80"/>
      <c r="AB236" s="78"/>
      <c r="AC236" s="46"/>
      <c r="AD236" s="46"/>
      <c r="AE236" s="46"/>
    </row>
    <row r="237" spans="5:31" x14ac:dyDescent="0.25">
      <c r="E237" s="48"/>
      <c r="F237" s="78"/>
      <c r="G237" s="46"/>
      <c r="H237" s="46"/>
      <c r="I237" s="46"/>
      <c r="J237" s="46"/>
      <c r="K237" s="46"/>
      <c r="L237" s="46"/>
      <c r="M237" s="46"/>
      <c r="N237" s="46"/>
      <c r="O237" s="46"/>
      <c r="P237" s="46"/>
      <c r="Q237" s="46"/>
      <c r="R237" s="46"/>
      <c r="S237" s="46"/>
      <c r="T237" s="79"/>
      <c r="U237" s="79"/>
      <c r="V237" s="46"/>
      <c r="W237" s="46"/>
      <c r="X237" s="46"/>
      <c r="Y237" s="79"/>
      <c r="Z237" s="79"/>
      <c r="AA237" s="80"/>
      <c r="AB237" s="78"/>
      <c r="AC237" s="46"/>
      <c r="AD237" s="46"/>
      <c r="AE237" s="46"/>
    </row>
    <row r="238" spans="5:31" x14ac:dyDescent="0.25">
      <c r="E238" s="48"/>
      <c r="F238" s="78"/>
      <c r="G238" s="46"/>
      <c r="H238" s="46"/>
      <c r="I238" s="46"/>
      <c r="J238" s="46"/>
      <c r="K238" s="46"/>
      <c r="L238" s="46"/>
      <c r="M238" s="46"/>
      <c r="N238" s="46"/>
      <c r="O238" s="46"/>
      <c r="P238" s="46"/>
      <c r="Q238" s="46"/>
      <c r="R238" s="46"/>
      <c r="S238" s="46"/>
      <c r="T238" s="79"/>
      <c r="U238" s="79"/>
      <c r="V238" s="46"/>
      <c r="W238" s="46"/>
      <c r="X238" s="46"/>
      <c r="Y238" s="79"/>
      <c r="Z238" s="79"/>
      <c r="AA238" s="80"/>
      <c r="AB238" s="78"/>
      <c r="AC238" s="46"/>
      <c r="AD238" s="46"/>
      <c r="AE238" s="46"/>
    </row>
    <row r="239" spans="5:31" x14ac:dyDescent="0.25">
      <c r="E239" s="48"/>
      <c r="F239" s="78"/>
      <c r="G239" s="46"/>
      <c r="H239" s="46"/>
      <c r="I239" s="46"/>
      <c r="J239" s="46"/>
      <c r="K239" s="46"/>
      <c r="L239" s="46"/>
      <c r="M239" s="46"/>
      <c r="N239" s="46"/>
      <c r="O239" s="46"/>
      <c r="P239" s="46"/>
      <c r="Q239" s="46"/>
      <c r="R239" s="46"/>
      <c r="S239" s="46"/>
      <c r="T239" s="79"/>
      <c r="U239" s="79"/>
      <c r="V239" s="46"/>
      <c r="W239" s="46"/>
      <c r="X239" s="46"/>
      <c r="Y239" s="79"/>
      <c r="Z239" s="79"/>
      <c r="AA239" s="80"/>
      <c r="AB239" s="78"/>
      <c r="AC239" s="46"/>
      <c r="AD239" s="46"/>
      <c r="AE239" s="46"/>
    </row>
    <row r="240" spans="5:31" x14ac:dyDescent="0.25">
      <c r="E240" s="48"/>
      <c r="F240" s="78"/>
      <c r="G240" s="46"/>
      <c r="H240" s="46"/>
      <c r="I240" s="46"/>
      <c r="J240" s="46"/>
      <c r="K240" s="46"/>
      <c r="L240" s="46"/>
      <c r="M240" s="46"/>
      <c r="N240" s="46"/>
      <c r="O240" s="46"/>
      <c r="P240" s="46"/>
      <c r="Q240" s="46"/>
      <c r="R240" s="46"/>
      <c r="S240" s="46"/>
      <c r="T240" s="79"/>
      <c r="U240" s="79"/>
      <c r="V240" s="46"/>
      <c r="W240" s="46"/>
      <c r="X240" s="46"/>
      <c r="Y240" s="79"/>
      <c r="Z240" s="79"/>
      <c r="AA240" s="80"/>
      <c r="AB240" s="78"/>
      <c r="AC240" s="46"/>
      <c r="AD240" s="46"/>
      <c r="AE240" s="46"/>
    </row>
    <row r="241" spans="5:31" x14ac:dyDescent="0.25">
      <c r="E241" s="48"/>
      <c r="F241" s="78"/>
      <c r="G241" s="46"/>
      <c r="H241" s="46"/>
      <c r="I241" s="46"/>
      <c r="J241" s="46"/>
      <c r="K241" s="46"/>
      <c r="L241" s="46"/>
      <c r="M241" s="46"/>
      <c r="N241" s="46"/>
      <c r="O241" s="46"/>
      <c r="P241" s="46"/>
      <c r="Q241" s="46"/>
      <c r="R241" s="46"/>
      <c r="S241" s="46"/>
      <c r="T241" s="79"/>
      <c r="U241" s="79"/>
      <c r="V241" s="46"/>
      <c r="W241" s="46"/>
      <c r="X241" s="46"/>
      <c r="Y241" s="79"/>
      <c r="Z241" s="79"/>
      <c r="AA241" s="80"/>
      <c r="AB241" s="78"/>
      <c r="AC241" s="46"/>
      <c r="AD241" s="46"/>
      <c r="AE241" s="46"/>
    </row>
    <row r="242" spans="5:31" x14ac:dyDescent="0.25">
      <c r="E242" s="48"/>
      <c r="F242" s="78"/>
      <c r="G242" s="46"/>
      <c r="H242" s="46"/>
      <c r="I242" s="46"/>
      <c r="J242" s="46"/>
      <c r="K242" s="46"/>
      <c r="L242" s="46"/>
      <c r="M242" s="46"/>
      <c r="N242" s="46"/>
      <c r="O242" s="46"/>
      <c r="P242" s="46"/>
      <c r="Q242" s="46"/>
      <c r="R242" s="46"/>
      <c r="S242" s="46"/>
      <c r="T242" s="79"/>
      <c r="U242" s="79"/>
      <c r="V242" s="46"/>
      <c r="W242" s="46"/>
      <c r="X242" s="46"/>
      <c r="Y242" s="79"/>
      <c r="Z242" s="79"/>
      <c r="AA242" s="80"/>
      <c r="AB242" s="78"/>
      <c r="AC242" s="46"/>
      <c r="AD242" s="46"/>
      <c r="AE242" s="46"/>
    </row>
    <row r="243" spans="5:31" x14ac:dyDescent="0.25">
      <c r="E243" s="48"/>
      <c r="F243" s="78"/>
      <c r="G243" s="46"/>
      <c r="H243" s="46"/>
      <c r="I243" s="46"/>
      <c r="J243" s="46"/>
      <c r="K243" s="46"/>
      <c r="L243" s="46"/>
      <c r="M243" s="46"/>
      <c r="N243" s="46"/>
      <c r="O243" s="46"/>
      <c r="P243" s="46"/>
      <c r="Q243" s="46"/>
      <c r="R243" s="46"/>
      <c r="S243" s="46"/>
      <c r="T243" s="79"/>
      <c r="U243" s="79"/>
      <c r="V243" s="46"/>
      <c r="W243" s="46"/>
      <c r="X243" s="46"/>
      <c r="Y243" s="79"/>
      <c r="Z243" s="79"/>
      <c r="AA243" s="80"/>
      <c r="AB243" s="78"/>
      <c r="AC243" s="46"/>
      <c r="AD243" s="46"/>
      <c r="AE243" s="46"/>
    </row>
    <row r="244" spans="5:31" x14ac:dyDescent="0.25">
      <c r="E244" s="48"/>
      <c r="F244" s="78"/>
      <c r="G244" s="46"/>
      <c r="H244" s="46"/>
      <c r="I244" s="46"/>
      <c r="J244" s="46"/>
      <c r="K244" s="46"/>
      <c r="L244" s="46"/>
      <c r="M244" s="46"/>
      <c r="N244" s="46"/>
      <c r="O244" s="46"/>
      <c r="P244" s="46"/>
      <c r="Q244" s="46"/>
      <c r="R244" s="46"/>
      <c r="S244" s="46"/>
      <c r="T244" s="79"/>
      <c r="U244" s="79"/>
      <c r="V244" s="46"/>
      <c r="W244" s="46"/>
      <c r="X244" s="46"/>
      <c r="Y244" s="79"/>
      <c r="Z244" s="79"/>
      <c r="AA244" s="80"/>
      <c r="AB244" s="78"/>
      <c r="AC244" s="46"/>
      <c r="AD244" s="46"/>
      <c r="AE244" s="46"/>
    </row>
    <row r="245" spans="5:31" x14ac:dyDescent="0.25">
      <c r="E245" s="48"/>
      <c r="F245" s="78"/>
      <c r="G245" s="46"/>
      <c r="H245" s="46"/>
      <c r="I245" s="46"/>
      <c r="J245" s="46"/>
      <c r="K245" s="46"/>
      <c r="L245" s="46"/>
      <c r="M245" s="46"/>
      <c r="N245" s="46"/>
      <c r="O245" s="46"/>
      <c r="P245" s="46"/>
      <c r="Q245" s="46"/>
      <c r="R245" s="46"/>
      <c r="S245" s="46"/>
      <c r="T245" s="79"/>
      <c r="U245" s="79"/>
      <c r="V245" s="46"/>
      <c r="W245" s="46"/>
      <c r="X245" s="46"/>
      <c r="Y245" s="79"/>
      <c r="Z245" s="79"/>
      <c r="AA245" s="80"/>
      <c r="AB245" s="78"/>
      <c r="AC245" s="46"/>
      <c r="AD245" s="46"/>
      <c r="AE245" s="46"/>
    </row>
    <row r="246" spans="5:31" x14ac:dyDescent="0.25">
      <c r="E246" s="48"/>
      <c r="F246" s="78"/>
      <c r="G246" s="46"/>
      <c r="H246" s="46"/>
      <c r="I246" s="46"/>
      <c r="J246" s="46"/>
      <c r="K246" s="46"/>
      <c r="L246" s="46"/>
      <c r="M246" s="46"/>
      <c r="N246" s="46"/>
      <c r="O246" s="46"/>
      <c r="P246" s="46"/>
      <c r="Q246" s="46"/>
      <c r="R246" s="46"/>
      <c r="S246" s="46"/>
      <c r="T246" s="79"/>
      <c r="U246" s="79"/>
      <c r="V246" s="46"/>
      <c r="W246" s="46"/>
      <c r="X246" s="46"/>
      <c r="Y246" s="79"/>
      <c r="Z246" s="79"/>
      <c r="AA246" s="80"/>
      <c r="AB246" s="78"/>
      <c r="AC246" s="46"/>
      <c r="AD246" s="46"/>
      <c r="AE246" s="46"/>
    </row>
    <row r="247" spans="5:31" x14ac:dyDescent="0.25">
      <c r="E247" s="48"/>
      <c r="F247" s="78"/>
      <c r="G247" s="46"/>
      <c r="H247" s="46"/>
      <c r="I247" s="46"/>
      <c r="J247" s="46"/>
      <c r="K247" s="46"/>
      <c r="L247" s="46"/>
      <c r="M247" s="46"/>
      <c r="N247" s="46"/>
      <c r="O247" s="46"/>
      <c r="P247" s="46"/>
      <c r="Q247" s="46"/>
      <c r="R247" s="46"/>
      <c r="S247" s="46"/>
      <c r="T247" s="79"/>
      <c r="U247" s="79"/>
      <c r="V247" s="46"/>
      <c r="W247" s="46"/>
      <c r="X247" s="46"/>
      <c r="Y247" s="79"/>
      <c r="Z247" s="79"/>
      <c r="AA247" s="80"/>
      <c r="AB247" s="78"/>
      <c r="AC247" s="46"/>
      <c r="AD247" s="46"/>
      <c r="AE247" s="46"/>
    </row>
    <row r="248" spans="5:31" x14ac:dyDescent="0.25">
      <c r="E248" s="48"/>
      <c r="F248" s="78"/>
      <c r="G248" s="46"/>
      <c r="H248" s="46"/>
      <c r="I248" s="46"/>
      <c r="J248" s="46"/>
      <c r="K248" s="46"/>
      <c r="L248" s="46"/>
      <c r="M248" s="46"/>
      <c r="N248" s="46"/>
      <c r="O248" s="46"/>
      <c r="P248" s="46"/>
      <c r="Q248" s="46"/>
      <c r="R248" s="46"/>
      <c r="S248" s="46"/>
      <c r="T248" s="79"/>
      <c r="U248" s="79"/>
      <c r="V248" s="46"/>
      <c r="W248" s="46"/>
      <c r="X248" s="46"/>
      <c r="Y248" s="79"/>
      <c r="Z248" s="79"/>
      <c r="AA248" s="80"/>
      <c r="AB248" s="78"/>
      <c r="AC248" s="46"/>
      <c r="AD248" s="46"/>
      <c r="AE248" s="46"/>
    </row>
    <row r="249" spans="5:31" x14ac:dyDescent="0.25">
      <c r="E249" s="48"/>
      <c r="F249" s="78"/>
      <c r="G249" s="46"/>
      <c r="H249" s="46"/>
      <c r="I249" s="46"/>
      <c r="J249" s="46"/>
      <c r="K249" s="46"/>
      <c r="L249" s="46"/>
      <c r="M249" s="46"/>
      <c r="N249" s="46"/>
      <c r="O249" s="46"/>
      <c r="P249" s="46"/>
      <c r="Q249" s="46"/>
      <c r="R249" s="46"/>
      <c r="S249" s="46"/>
      <c r="T249" s="79"/>
      <c r="U249" s="79"/>
      <c r="V249" s="46"/>
      <c r="W249" s="46"/>
      <c r="X249" s="46"/>
      <c r="Y249" s="79"/>
      <c r="Z249" s="79"/>
      <c r="AA249" s="80"/>
      <c r="AB249" s="78"/>
      <c r="AC249" s="46"/>
      <c r="AD249" s="46"/>
      <c r="AE249" s="46"/>
    </row>
    <row r="250" spans="5:31" x14ac:dyDescent="0.25">
      <c r="E250" s="48"/>
      <c r="F250" s="78"/>
      <c r="G250" s="46"/>
      <c r="H250" s="46"/>
      <c r="I250" s="46"/>
      <c r="J250" s="46"/>
      <c r="K250" s="46"/>
      <c r="L250" s="46"/>
      <c r="M250" s="46"/>
      <c r="N250" s="46"/>
      <c r="O250" s="46"/>
      <c r="P250" s="46"/>
      <c r="Q250" s="46"/>
      <c r="R250" s="46"/>
      <c r="S250" s="46"/>
      <c r="T250" s="79"/>
      <c r="U250" s="79"/>
      <c r="V250" s="46"/>
      <c r="W250" s="46"/>
      <c r="X250" s="46"/>
      <c r="Y250" s="79"/>
      <c r="Z250" s="79"/>
      <c r="AA250" s="80"/>
      <c r="AB250" s="78"/>
      <c r="AC250" s="46"/>
      <c r="AD250" s="46"/>
      <c r="AE250" s="46"/>
    </row>
    <row r="251" spans="5:31" x14ac:dyDescent="0.25">
      <c r="E251" s="48"/>
      <c r="F251" s="78"/>
      <c r="G251" s="46"/>
      <c r="H251" s="46"/>
      <c r="I251" s="46"/>
      <c r="J251" s="46"/>
      <c r="K251" s="46"/>
      <c r="L251" s="46"/>
      <c r="M251" s="46"/>
      <c r="N251" s="46"/>
      <c r="O251" s="46"/>
      <c r="P251" s="46"/>
      <c r="Q251" s="46"/>
      <c r="R251" s="46"/>
      <c r="S251" s="46"/>
      <c r="T251" s="79"/>
      <c r="U251" s="79"/>
      <c r="V251" s="46"/>
      <c r="W251" s="46"/>
      <c r="X251" s="46"/>
      <c r="Y251" s="79"/>
      <c r="Z251" s="79"/>
      <c r="AA251" s="80"/>
      <c r="AB251" s="78"/>
      <c r="AC251" s="46"/>
      <c r="AD251" s="46"/>
      <c r="AE251" s="46"/>
    </row>
    <row r="252" spans="5:31" x14ac:dyDescent="0.25">
      <c r="E252" s="48"/>
      <c r="F252" s="78"/>
      <c r="G252" s="46"/>
      <c r="H252" s="46"/>
      <c r="I252" s="46"/>
      <c r="J252" s="46"/>
      <c r="K252" s="46"/>
      <c r="L252" s="46"/>
      <c r="M252" s="46"/>
      <c r="N252" s="46"/>
      <c r="O252" s="46"/>
      <c r="P252" s="46"/>
      <c r="Q252" s="46"/>
      <c r="R252" s="46"/>
      <c r="S252" s="46"/>
      <c r="T252" s="79"/>
      <c r="U252" s="79"/>
      <c r="V252" s="46"/>
      <c r="W252" s="46"/>
      <c r="X252" s="46"/>
      <c r="Y252" s="79"/>
      <c r="Z252" s="79"/>
      <c r="AA252" s="80"/>
      <c r="AB252" s="78"/>
      <c r="AC252" s="46"/>
      <c r="AD252" s="46"/>
      <c r="AE252" s="46"/>
    </row>
    <row r="253" spans="5:31" x14ac:dyDescent="0.25">
      <c r="E253" s="48"/>
      <c r="F253" s="78"/>
      <c r="G253" s="46"/>
      <c r="H253" s="46"/>
      <c r="I253" s="46"/>
      <c r="J253" s="46"/>
      <c r="K253" s="46"/>
      <c r="L253" s="46"/>
      <c r="M253" s="46"/>
      <c r="N253" s="46"/>
      <c r="O253" s="46"/>
      <c r="P253" s="46"/>
      <c r="Q253" s="46"/>
      <c r="R253" s="46"/>
      <c r="S253" s="46"/>
      <c r="T253" s="79"/>
      <c r="U253" s="79"/>
      <c r="V253" s="46"/>
      <c r="W253" s="46"/>
      <c r="X253" s="46"/>
      <c r="Y253" s="79"/>
      <c r="Z253" s="79"/>
      <c r="AA253" s="80"/>
      <c r="AB253" s="78"/>
      <c r="AC253" s="46"/>
      <c r="AD253" s="46"/>
      <c r="AE253" s="46"/>
    </row>
    <row r="254" spans="5:31" x14ac:dyDescent="0.25">
      <c r="E254" s="48"/>
      <c r="F254" s="78"/>
      <c r="G254" s="46"/>
      <c r="H254" s="46"/>
      <c r="I254" s="46"/>
      <c r="J254" s="46"/>
      <c r="K254" s="46"/>
      <c r="L254" s="46"/>
      <c r="M254" s="46"/>
      <c r="N254" s="46"/>
      <c r="O254" s="46"/>
      <c r="P254" s="46"/>
      <c r="Q254" s="46"/>
      <c r="R254" s="46"/>
      <c r="S254" s="46"/>
      <c r="T254" s="79"/>
      <c r="U254" s="79"/>
      <c r="V254" s="46"/>
      <c r="W254" s="46"/>
      <c r="X254" s="46"/>
      <c r="Y254" s="79"/>
      <c r="Z254" s="79"/>
      <c r="AA254" s="80"/>
      <c r="AB254" s="78"/>
      <c r="AC254" s="46"/>
      <c r="AD254" s="46"/>
      <c r="AE254" s="46"/>
    </row>
    <row r="255" spans="5:31" x14ac:dyDescent="0.25">
      <c r="E255" s="48"/>
      <c r="F255" s="78"/>
      <c r="G255" s="46"/>
      <c r="H255" s="46"/>
      <c r="I255" s="46"/>
      <c r="J255" s="46"/>
      <c r="K255" s="46"/>
      <c r="L255" s="46"/>
      <c r="M255" s="46"/>
      <c r="N255" s="46"/>
      <c r="O255" s="46"/>
      <c r="P255" s="46"/>
      <c r="Q255" s="46"/>
      <c r="R255" s="46"/>
      <c r="S255" s="46"/>
      <c r="T255" s="79"/>
      <c r="U255" s="79"/>
      <c r="V255" s="46"/>
      <c r="W255" s="46"/>
      <c r="X255" s="46"/>
      <c r="Y255" s="79"/>
      <c r="Z255" s="79"/>
      <c r="AA255" s="80"/>
      <c r="AB255" s="78"/>
      <c r="AC255" s="46"/>
      <c r="AD255" s="46"/>
      <c r="AE255" s="46"/>
    </row>
    <row r="256" spans="5:31" x14ac:dyDescent="0.25">
      <c r="E256" s="48"/>
      <c r="F256" s="78"/>
      <c r="G256" s="46"/>
      <c r="H256" s="46"/>
      <c r="I256" s="46"/>
      <c r="J256" s="46"/>
      <c r="K256" s="46"/>
      <c r="L256" s="46"/>
      <c r="M256" s="46"/>
      <c r="N256" s="46"/>
      <c r="O256" s="46"/>
      <c r="P256" s="46"/>
      <c r="Q256" s="46"/>
      <c r="R256" s="46"/>
      <c r="S256" s="46"/>
      <c r="T256" s="79"/>
      <c r="U256" s="79"/>
      <c r="V256" s="46"/>
      <c r="W256" s="46"/>
      <c r="X256" s="46"/>
      <c r="Y256" s="79"/>
      <c r="Z256" s="79"/>
      <c r="AA256" s="80"/>
      <c r="AB256" s="78"/>
      <c r="AC256" s="46"/>
      <c r="AD256" s="46"/>
      <c r="AE256" s="46"/>
    </row>
    <row r="257" spans="5:31" x14ac:dyDescent="0.25">
      <c r="E257" s="48"/>
      <c r="F257" s="78"/>
      <c r="G257" s="46"/>
      <c r="H257" s="46"/>
      <c r="I257" s="46"/>
      <c r="J257" s="46"/>
      <c r="K257" s="46"/>
      <c r="L257" s="46"/>
      <c r="M257" s="46"/>
      <c r="N257" s="46"/>
      <c r="O257" s="46"/>
      <c r="P257" s="46"/>
      <c r="Q257" s="46"/>
      <c r="R257" s="46"/>
      <c r="S257" s="46"/>
      <c r="T257" s="79"/>
      <c r="U257" s="79"/>
      <c r="V257" s="46"/>
      <c r="W257" s="46"/>
      <c r="X257" s="46"/>
      <c r="Y257" s="79"/>
      <c r="Z257" s="79"/>
      <c r="AA257" s="80"/>
      <c r="AB257" s="78"/>
      <c r="AC257" s="46"/>
      <c r="AD257" s="46"/>
      <c r="AE257" s="46"/>
    </row>
    <row r="258" spans="5:31" x14ac:dyDescent="0.25">
      <c r="E258" s="48"/>
      <c r="F258" s="78"/>
      <c r="G258" s="46"/>
      <c r="H258" s="46"/>
      <c r="I258" s="46"/>
      <c r="J258" s="46"/>
      <c r="K258" s="46"/>
      <c r="L258" s="46"/>
      <c r="M258" s="46"/>
      <c r="N258" s="46"/>
      <c r="O258" s="46"/>
      <c r="P258" s="46"/>
      <c r="Q258" s="46"/>
      <c r="R258" s="46"/>
      <c r="S258" s="46"/>
      <c r="T258" s="79"/>
      <c r="U258" s="79"/>
      <c r="V258" s="46"/>
      <c r="W258" s="46"/>
      <c r="X258" s="46"/>
      <c r="Y258" s="79"/>
      <c r="Z258" s="79"/>
      <c r="AA258" s="80"/>
      <c r="AB258" s="78"/>
      <c r="AC258" s="46"/>
      <c r="AD258" s="46"/>
      <c r="AE258" s="46"/>
    </row>
    <row r="259" spans="5:31" x14ac:dyDescent="0.25">
      <c r="E259" s="48"/>
      <c r="F259" s="78"/>
      <c r="G259" s="46"/>
      <c r="H259" s="46"/>
      <c r="I259" s="46"/>
      <c r="J259" s="46"/>
      <c r="K259" s="46"/>
      <c r="L259" s="46"/>
      <c r="M259" s="46"/>
      <c r="N259" s="46"/>
      <c r="O259" s="46"/>
      <c r="P259" s="46"/>
      <c r="Q259" s="46"/>
      <c r="R259" s="46"/>
      <c r="S259" s="46"/>
      <c r="T259" s="79"/>
      <c r="U259" s="79"/>
      <c r="V259" s="46"/>
      <c r="W259" s="46"/>
      <c r="X259" s="46"/>
      <c r="Y259" s="79"/>
      <c r="Z259" s="79"/>
      <c r="AA259" s="80"/>
      <c r="AB259" s="78"/>
      <c r="AC259" s="46"/>
      <c r="AD259" s="46"/>
      <c r="AE259" s="46"/>
    </row>
    <row r="260" spans="5:31" x14ac:dyDescent="0.25">
      <c r="E260" s="48"/>
      <c r="F260" s="78"/>
      <c r="G260" s="46"/>
      <c r="H260" s="46"/>
      <c r="I260" s="46"/>
      <c r="J260" s="46"/>
      <c r="K260" s="46"/>
      <c r="L260" s="46"/>
      <c r="M260" s="46"/>
      <c r="N260" s="46"/>
      <c r="O260" s="46"/>
      <c r="P260" s="46"/>
      <c r="Q260" s="46"/>
      <c r="R260" s="46"/>
      <c r="S260" s="46"/>
      <c r="T260" s="79"/>
      <c r="U260" s="79"/>
      <c r="V260" s="46"/>
      <c r="W260" s="46"/>
      <c r="X260" s="46"/>
      <c r="Y260" s="79"/>
      <c r="Z260" s="79"/>
      <c r="AA260" s="80"/>
      <c r="AB260" s="78"/>
      <c r="AC260" s="46"/>
      <c r="AD260" s="46"/>
      <c r="AE260" s="46"/>
    </row>
    <row r="261" spans="5:31" x14ac:dyDescent="0.25">
      <c r="E261" s="48"/>
      <c r="F261" s="78"/>
      <c r="G261" s="46"/>
      <c r="H261" s="46"/>
      <c r="I261" s="46"/>
      <c r="J261" s="46"/>
      <c r="K261" s="46"/>
      <c r="L261" s="46"/>
      <c r="M261" s="46"/>
      <c r="N261" s="46"/>
      <c r="O261" s="46"/>
      <c r="P261" s="46"/>
      <c r="Q261" s="46"/>
      <c r="R261" s="46"/>
      <c r="S261" s="46"/>
      <c r="T261" s="79"/>
      <c r="U261" s="79"/>
      <c r="V261" s="46"/>
      <c r="W261" s="46"/>
      <c r="X261" s="46"/>
      <c r="Y261" s="79"/>
      <c r="Z261" s="79"/>
      <c r="AA261" s="80"/>
      <c r="AB261" s="78"/>
      <c r="AC261" s="46"/>
      <c r="AD261" s="46"/>
      <c r="AE261" s="46"/>
    </row>
    <row r="262" spans="5:31" x14ac:dyDescent="0.25">
      <c r="E262" s="48"/>
      <c r="F262" s="78"/>
      <c r="G262" s="46"/>
      <c r="H262" s="46"/>
      <c r="I262" s="46"/>
      <c r="J262" s="46"/>
      <c r="K262" s="46"/>
      <c r="L262" s="46"/>
      <c r="M262" s="46"/>
      <c r="N262" s="46"/>
      <c r="O262" s="46"/>
      <c r="P262" s="46"/>
      <c r="Q262" s="46"/>
      <c r="R262" s="46"/>
      <c r="S262" s="46"/>
      <c r="T262" s="79"/>
      <c r="U262" s="79"/>
      <c r="V262" s="46"/>
      <c r="W262" s="46"/>
      <c r="X262" s="46"/>
      <c r="Y262" s="79"/>
      <c r="Z262" s="79"/>
      <c r="AA262" s="80"/>
      <c r="AB262" s="78"/>
      <c r="AC262" s="46"/>
      <c r="AD262" s="46"/>
      <c r="AE262" s="46"/>
    </row>
    <row r="263" spans="5:31" x14ac:dyDescent="0.25">
      <c r="E263" s="48"/>
      <c r="F263" s="78"/>
      <c r="G263" s="46"/>
      <c r="H263" s="46"/>
      <c r="I263" s="46"/>
      <c r="J263" s="46"/>
      <c r="K263" s="46"/>
      <c r="L263" s="46"/>
      <c r="M263" s="46"/>
      <c r="N263" s="46"/>
      <c r="O263" s="46"/>
      <c r="P263" s="46"/>
      <c r="Q263" s="46"/>
      <c r="R263" s="46"/>
      <c r="S263" s="46"/>
      <c r="T263" s="79"/>
      <c r="U263" s="79"/>
      <c r="V263" s="46"/>
      <c r="W263" s="46"/>
      <c r="X263" s="46"/>
      <c r="Y263" s="79"/>
      <c r="Z263" s="79"/>
      <c r="AA263" s="80"/>
      <c r="AB263" s="78"/>
      <c r="AC263" s="46"/>
      <c r="AD263" s="46"/>
      <c r="AE263" s="46"/>
    </row>
    <row r="264" spans="5:31" x14ac:dyDescent="0.25">
      <c r="E264" s="48"/>
      <c r="F264" s="78"/>
      <c r="G264" s="46"/>
      <c r="H264" s="46"/>
      <c r="I264" s="46"/>
      <c r="J264" s="46"/>
      <c r="K264" s="46"/>
      <c r="L264" s="46"/>
      <c r="M264" s="46"/>
      <c r="N264" s="46"/>
      <c r="O264" s="46"/>
      <c r="P264" s="46"/>
      <c r="Q264" s="46"/>
      <c r="R264" s="46"/>
      <c r="S264" s="46"/>
      <c r="T264" s="79"/>
      <c r="U264" s="79"/>
      <c r="V264" s="46"/>
      <c r="W264" s="46"/>
      <c r="X264" s="46"/>
      <c r="Y264" s="79"/>
      <c r="Z264" s="79"/>
      <c r="AA264" s="80"/>
      <c r="AB264" s="78"/>
      <c r="AC264" s="46"/>
      <c r="AD264" s="46"/>
      <c r="AE264" s="46"/>
    </row>
    <row r="265" spans="5:31" x14ac:dyDescent="0.25">
      <c r="E265" s="48"/>
      <c r="F265" s="78"/>
      <c r="G265" s="46"/>
      <c r="H265" s="46"/>
      <c r="I265" s="46"/>
      <c r="J265" s="46"/>
      <c r="K265" s="46"/>
      <c r="L265" s="46"/>
      <c r="M265" s="46"/>
      <c r="N265" s="46"/>
      <c r="O265" s="46"/>
      <c r="P265" s="46"/>
      <c r="Q265" s="46"/>
      <c r="R265" s="46"/>
      <c r="S265" s="46"/>
      <c r="T265" s="79"/>
      <c r="U265" s="79"/>
      <c r="V265" s="46"/>
      <c r="W265" s="46"/>
      <c r="X265" s="46"/>
      <c r="Y265" s="79"/>
      <c r="Z265" s="79"/>
      <c r="AA265" s="80"/>
      <c r="AB265" s="78"/>
      <c r="AC265" s="46"/>
      <c r="AD265" s="46"/>
      <c r="AE265" s="46"/>
    </row>
    <row r="266" spans="5:31" x14ac:dyDescent="0.25">
      <c r="E266" s="48"/>
      <c r="F266" s="78"/>
      <c r="G266" s="46"/>
      <c r="H266" s="46"/>
      <c r="I266" s="46"/>
      <c r="J266" s="46"/>
      <c r="K266" s="46"/>
      <c r="L266" s="46"/>
      <c r="M266" s="46"/>
      <c r="N266" s="46"/>
      <c r="O266" s="46"/>
      <c r="P266" s="46"/>
      <c r="Q266" s="46"/>
      <c r="R266" s="46"/>
      <c r="S266" s="46"/>
      <c r="T266" s="79"/>
      <c r="U266" s="79"/>
      <c r="V266" s="46"/>
      <c r="W266" s="46"/>
      <c r="X266" s="46"/>
      <c r="Y266" s="79"/>
      <c r="Z266" s="79"/>
      <c r="AA266" s="80"/>
      <c r="AB266" s="78"/>
      <c r="AC266" s="46"/>
      <c r="AD266" s="46"/>
      <c r="AE266" s="46"/>
    </row>
    <row r="267" spans="5:31" x14ac:dyDescent="0.25">
      <c r="E267" s="48"/>
      <c r="F267" s="78"/>
      <c r="G267" s="46"/>
      <c r="H267" s="46"/>
      <c r="I267" s="46"/>
      <c r="J267" s="46"/>
      <c r="K267" s="46"/>
      <c r="L267" s="46"/>
      <c r="M267" s="46"/>
      <c r="N267" s="46"/>
      <c r="O267" s="46"/>
      <c r="P267" s="46"/>
      <c r="Q267" s="46"/>
      <c r="R267" s="46"/>
      <c r="S267" s="46"/>
      <c r="T267" s="79"/>
      <c r="U267" s="79"/>
      <c r="V267" s="46"/>
      <c r="W267" s="46"/>
      <c r="X267" s="46"/>
      <c r="Y267" s="79"/>
      <c r="Z267" s="79"/>
      <c r="AA267" s="80"/>
      <c r="AB267" s="78"/>
      <c r="AC267" s="46"/>
      <c r="AD267" s="46"/>
      <c r="AE267" s="46"/>
    </row>
    <row r="268" spans="5:31" x14ac:dyDescent="0.25">
      <c r="E268" s="48"/>
      <c r="F268" s="78"/>
      <c r="G268" s="46"/>
      <c r="H268" s="46"/>
      <c r="I268" s="46"/>
      <c r="J268" s="46"/>
      <c r="K268" s="46"/>
      <c r="L268" s="46"/>
      <c r="M268" s="46"/>
      <c r="N268" s="46"/>
      <c r="O268" s="46"/>
      <c r="P268" s="46"/>
      <c r="Q268" s="46"/>
      <c r="R268" s="46"/>
      <c r="S268" s="46"/>
      <c r="T268" s="79"/>
      <c r="U268" s="79"/>
      <c r="V268" s="46"/>
      <c r="W268" s="46"/>
      <c r="X268" s="46"/>
      <c r="Y268" s="79"/>
      <c r="Z268" s="79"/>
      <c r="AA268" s="80"/>
      <c r="AB268" s="78"/>
      <c r="AC268" s="46"/>
      <c r="AD268" s="46"/>
      <c r="AE268" s="46"/>
    </row>
    <row r="269" spans="5:31" x14ac:dyDescent="0.25">
      <c r="E269" s="48"/>
      <c r="F269" s="78"/>
      <c r="G269" s="46"/>
      <c r="H269" s="46"/>
      <c r="I269" s="46"/>
      <c r="J269" s="46"/>
      <c r="K269" s="46"/>
      <c r="L269" s="46"/>
      <c r="M269" s="46"/>
      <c r="N269" s="46"/>
      <c r="O269" s="46"/>
      <c r="P269" s="46"/>
      <c r="Q269" s="46"/>
      <c r="R269" s="46"/>
      <c r="S269" s="46"/>
      <c r="T269" s="79"/>
      <c r="U269" s="79"/>
      <c r="V269" s="46"/>
      <c r="W269" s="46"/>
      <c r="X269" s="46"/>
      <c r="Y269" s="79"/>
      <c r="Z269" s="79"/>
      <c r="AA269" s="80"/>
      <c r="AB269" s="78"/>
      <c r="AC269" s="46"/>
      <c r="AD269" s="46"/>
      <c r="AE269" s="46"/>
    </row>
    <row r="270" spans="5:31" x14ac:dyDescent="0.25">
      <c r="E270" s="48"/>
      <c r="F270" s="78"/>
      <c r="G270" s="46"/>
      <c r="H270" s="46"/>
      <c r="I270" s="46"/>
      <c r="J270" s="46"/>
      <c r="K270" s="46"/>
      <c r="L270" s="46"/>
      <c r="M270" s="46"/>
      <c r="N270" s="46"/>
      <c r="O270" s="46"/>
      <c r="P270" s="46"/>
      <c r="Q270" s="46"/>
      <c r="R270" s="46"/>
      <c r="S270" s="46"/>
      <c r="T270" s="79"/>
      <c r="U270" s="79"/>
      <c r="V270" s="46"/>
      <c r="W270" s="46"/>
      <c r="X270" s="46"/>
      <c r="Y270" s="79"/>
      <c r="Z270" s="79"/>
      <c r="AA270" s="80"/>
      <c r="AB270" s="78"/>
      <c r="AC270" s="46"/>
      <c r="AD270" s="46"/>
      <c r="AE270" s="46"/>
    </row>
    <row r="271" spans="5:31" x14ac:dyDescent="0.25">
      <c r="E271" s="48"/>
      <c r="F271" s="78"/>
      <c r="G271" s="46"/>
      <c r="H271" s="46"/>
      <c r="I271" s="46"/>
      <c r="J271" s="46"/>
      <c r="K271" s="46"/>
      <c r="L271" s="46"/>
      <c r="M271" s="46"/>
      <c r="N271" s="46"/>
      <c r="O271" s="46"/>
      <c r="P271" s="46"/>
      <c r="Q271" s="46"/>
      <c r="R271" s="46"/>
      <c r="S271" s="46"/>
      <c r="T271" s="79"/>
      <c r="U271" s="79"/>
      <c r="V271" s="46"/>
      <c r="W271" s="46"/>
      <c r="X271" s="46"/>
      <c r="Y271" s="79"/>
      <c r="Z271" s="79"/>
      <c r="AA271" s="80"/>
      <c r="AB271" s="78"/>
      <c r="AC271" s="46"/>
      <c r="AD271" s="46"/>
      <c r="AE271" s="46"/>
    </row>
    <row r="272" spans="5:31" x14ac:dyDescent="0.25">
      <c r="E272" s="48"/>
      <c r="F272" s="78"/>
      <c r="G272" s="46"/>
      <c r="H272" s="46"/>
      <c r="I272" s="46"/>
      <c r="J272" s="46"/>
      <c r="K272" s="46"/>
      <c r="L272" s="46"/>
      <c r="M272" s="46"/>
      <c r="N272" s="46"/>
      <c r="O272" s="46"/>
      <c r="P272" s="46"/>
      <c r="Q272" s="46"/>
      <c r="R272" s="46"/>
      <c r="S272" s="46"/>
      <c r="T272" s="79"/>
      <c r="U272" s="79"/>
      <c r="V272" s="46"/>
      <c r="W272" s="46"/>
      <c r="X272" s="46"/>
      <c r="Y272" s="79"/>
      <c r="Z272" s="79"/>
      <c r="AA272" s="80"/>
      <c r="AB272" s="78"/>
      <c r="AC272" s="46"/>
      <c r="AD272" s="46"/>
      <c r="AE272" s="46"/>
    </row>
    <row r="273" spans="5:31" x14ac:dyDescent="0.25">
      <c r="E273" s="48"/>
      <c r="F273" s="78"/>
      <c r="G273" s="46"/>
      <c r="H273" s="46"/>
      <c r="I273" s="46"/>
      <c r="J273" s="46"/>
      <c r="K273" s="46"/>
      <c r="L273" s="46"/>
      <c r="M273" s="46"/>
      <c r="N273" s="46"/>
      <c r="O273" s="46"/>
      <c r="P273" s="46"/>
      <c r="Q273" s="46"/>
      <c r="R273" s="46"/>
      <c r="S273" s="46"/>
      <c r="T273" s="79"/>
      <c r="U273" s="79"/>
      <c r="V273" s="46"/>
      <c r="W273" s="46"/>
      <c r="X273" s="46"/>
      <c r="Y273" s="79"/>
      <c r="Z273" s="79"/>
      <c r="AA273" s="80"/>
      <c r="AB273" s="78"/>
      <c r="AC273" s="46"/>
      <c r="AD273" s="46"/>
      <c r="AE273" s="46"/>
    </row>
    <row r="274" spans="5:31" x14ac:dyDescent="0.25">
      <c r="E274" s="48"/>
      <c r="F274" s="78"/>
      <c r="G274" s="46"/>
      <c r="H274" s="46"/>
      <c r="I274" s="46"/>
      <c r="J274" s="46"/>
      <c r="K274" s="46"/>
      <c r="L274" s="46"/>
      <c r="M274" s="46"/>
      <c r="N274" s="46"/>
      <c r="O274" s="46"/>
      <c r="P274" s="46"/>
      <c r="Q274" s="46"/>
      <c r="R274" s="46"/>
      <c r="S274" s="46"/>
      <c r="T274" s="79"/>
      <c r="U274" s="79"/>
      <c r="V274" s="46"/>
      <c r="W274" s="46"/>
      <c r="X274" s="46"/>
      <c r="Y274" s="79"/>
      <c r="Z274" s="79"/>
      <c r="AA274" s="80"/>
      <c r="AB274" s="78"/>
      <c r="AC274" s="46"/>
      <c r="AD274" s="46"/>
      <c r="AE274" s="46"/>
    </row>
    <row r="275" spans="5:31" x14ac:dyDescent="0.25">
      <c r="E275" s="48"/>
      <c r="F275" s="78"/>
      <c r="G275" s="46"/>
      <c r="H275" s="46"/>
      <c r="I275" s="46"/>
      <c r="J275" s="46"/>
      <c r="K275" s="46"/>
      <c r="L275" s="46"/>
      <c r="M275" s="46"/>
      <c r="N275" s="46"/>
      <c r="O275" s="46"/>
      <c r="P275" s="46"/>
      <c r="Q275" s="46"/>
      <c r="R275" s="46"/>
      <c r="S275" s="46"/>
      <c r="T275" s="79"/>
      <c r="U275" s="79"/>
      <c r="V275" s="46"/>
      <c r="W275" s="46"/>
      <c r="X275" s="46"/>
      <c r="Y275" s="79"/>
      <c r="Z275" s="79"/>
      <c r="AA275" s="80"/>
      <c r="AB275" s="78"/>
      <c r="AC275" s="46"/>
      <c r="AD275" s="46"/>
      <c r="AE275" s="46"/>
    </row>
    <row r="276" spans="5:31" x14ac:dyDescent="0.25">
      <c r="E276" s="48"/>
      <c r="F276" s="78"/>
      <c r="G276" s="46"/>
      <c r="H276" s="46"/>
      <c r="I276" s="46"/>
      <c r="J276" s="46"/>
      <c r="K276" s="46"/>
      <c r="L276" s="46"/>
      <c r="M276" s="46"/>
      <c r="N276" s="46"/>
      <c r="O276" s="46"/>
      <c r="P276" s="46"/>
      <c r="Q276" s="46"/>
      <c r="R276" s="46"/>
      <c r="S276" s="46"/>
      <c r="T276" s="79"/>
      <c r="U276" s="79"/>
      <c r="V276" s="46"/>
      <c r="W276" s="46"/>
      <c r="X276" s="46"/>
      <c r="Y276" s="79"/>
      <c r="Z276" s="79"/>
      <c r="AA276" s="80"/>
      <c r="AB276" s="78"/>
      <c r="AC276" s="46"/>
      <c r="AD276" s="46"/>
      <c r="AE276" s="46"/>
    </row>
    <row r="277" spans="5:31" x14ac:dyDescent="0.25">
      <c r="E277" s="48"/>
      <c r="F277" s="78"/>
      <c r="G277" s="46"/>
      <c r="H277" s="46"/>
      <c r="I277" s="46"/>
      <c r="J277" s="46"/>
      <c r="K277" s="46"/>
      <c r="L277" s="46"/>
      <c r="M277" s="46"/>
      <c r="N277" s="46"/>
      <c r="O277" s="46"/>
      <c r="P277" s="46"/>
      <c r="Q277" s="46"/>
      <c r="R277" s="46"/>
      <c r="S277" s="46"/>
      <c r="T277" s="79"/>
      <c r="U277" s="79"/>
      <c r="V277" s="46"/>
      <c r="W277" s="46"/>
      <c r="X277" s="46"/>
      <c r="Y277" s="79"/>
      <c r="Z277" s="79"/>
      <c r="AA277" s="80"/>
      <c r="AB277" s="78"/>
      <c r="AC277" s="46"/>
      <c r="AD277" s="46"/>
      <c r="AE277" s="46"/>
    </row>
    <row r="278" spans="5:31" x14ac:dyDescent="0.25">
      <c r="E278" s="48"/>
      <c r="F278" s="78"/>
      <c r="G278" s="46"/>
      <c r="H278" s="46"/>
      <c r="I278" s="46"/>
      <c r="J278" s="46"/>
      <c r="K278" s="46"/>
      <c r="L278" s="46"/>
      <c r="M278" s="46"/>
      <c r="N278" s="46"/>
      <c r="O278" s="46"/>
      <c r="P278" s="46"/>
      <c r="Q278" s="46"/>
      <c r="R278" s="46"/>
      <c r="S278" s="46"/>
      <c r="T278" s="79"/>
      <c r="U278" s="79"/>
      <c r="V278" s="46"/>
      <c r="W278" s="46"/>
      <c r="X278" s="46"/>
      <c r="Y278" s="79"/>
      <c r="Z278" s="79"/>
      <c r="AA278" s="80"/>
      <c r="AB278" s="78"/>
      <c r="AC278" s="46"/>
      <c r="AD278" s="46"/>
      <c r="AE278" s="46"/>
    </row>
    <row r="279" spans="5:31" x14ac:dyDescent="0.25">
      <c r="E279" s="48"/>
      <c r="F279" s="78"/>
      <c r="G279" s="46"/>
      <c r="H279" s="46"/>
      <c r="I279" s="46"/>
      <c r="J279" s="46"/>
      <c r="K279" s="46"/>
      <c r="L279" s="46"/>
      <c r="M279" s="46"/>
      <c r="N279" s="46"/>
      <c r="O279" s="46"/>
      <c r="P279" s="46"/>
      <c r="Q279" s="46"/>
      <c r="R279" s="46"/>
      <c r="S279" s="46"/>
      <c r="T279" s="79"/>
      <c r="U279" s="79"/>
      <c r="V279" s="46"/>
      <c r="W279" s="46"/>
      <c r="X279" s="46"/>
      <c r="Y279" s="79"/>
      <c r="Z279" s="79"/>
      <c r="AA279" s="80"/>
      <c r="AB279" s="78"/>
      <c r="AC279" s="46"/>
      <c r="AD279" s="46"/>
      <c r="AE279" s="46"/>
    </row>
    <row r="280" spans="5:31" x14ac:dyDescent="0.25">
      <c r="E280" s="48"/>
      <c r="F280" s="78"/>
      <c r="G280" s="46"/>
      <c r="H280" s="46"/>
      <c r="I280" s="46"/>
      <c r="J280" s="46"/>
      <c r="K280" s="46"/>
      <c r="L280" s="46"/>
      <c r="M280" s="46"/>
      <c r="N280" s="46"/>
      <c r="O280" s="46"/>
      <c r="P280" s="46"/>
      <c r="Q280" s="46"/>
      <c r="R280" s="46"/>
      <c r="S280" s="46"/>
      <c r="T280" s="79"/>
      <c r="U280" s="79"/>
      <c r="V280" s="46"/>
      <c r="W280" s="46"/>
      <c r="X280" s="46"/>
      <c r="Y280" s="79"/>
      <c r="Z280" s="79"/>
      <c r="AA280" s="80"/>
      <c r="AB280" s="78"/>
      <c r="AC280" s="46"/>
      <c r="AD280" s="46"/>
      <c r="AE280" s="46"/>
    </row>
    <row r="281" spans="5:31" x14ac:dyDescent="0.25">
      <c r="E281" s="48"/>
      <c r="F281" s="78"/>
      <c r="G281" s="46"/>
      <c r="H281" s="46"/>
      <c r="I281" s="46"/>
      <c r="J281" s="46"/>
      <c r="K281" s="46"/>
      <c r="L281" s="46"/>
      <c r="M281" s="46"/>
      <c r="N281" s="46"/>
      <c r="O281" s="46"/>
      <c r="P281" s="46"/>
      <c r="Q281" s="46"/>
      <c r="R281" s="46"/>
      <c r="S281" s="46"/>
      <c r="T281" s="79"/>
      <c r="U281" s="79"/>
      <c r="V281" s="46"/>
      <c r="W281" s="46"/>
      <c r="X281" s="46"/>
      <c r="Y281" s="79"/>
      <c r="Z281" s="79"/>
      <c r="AA281" s="80"/>
      <c r="AB281" s="78"/>
      <c r="AC281" s="46"/>
      <c r="AD281" s="46"/>
      <c r="AE281" s="46"/>
    </row>
    <row r="282" spans="5:31" x14ac:dyDescent="0.25">
      <c r="E282" s="48"/>
      <c r="F282" s="78"/>
      <c r="G282" s="46"/>
      <c r="H282" s="46"/>
      <c r="I282" s="46"/>
      <c r="J282" s="46"/>
      <c r="K282" s="46"/>
      <c r="L282" s="46"/>
      <c r="M282" s="46"/>
      <c r="N282" s="46"/>
      <c r="O282" s="46"/>
      <c r="P282" s="46"/>
      <c r="Q282" s="46"/>
      <c r="R282" s="46"/>
      <c r="S282" s="46"/>
      <c r="T282" s="79"/>
      <c r="U282" s="79"/>
      <c r="V282" s="46"/>
      <c r="W282" s="46"/>
      <c r="X282" s="46"/>
      <c r="Y282" s="79"/>
      <c r="Z282" s="79"/>
      <c r="AA282" s="80"/>
      <c r="AB282" s="78"/>
      <c r="AC282" s="46"/>
      <c r="AD282" s="46"/>
      <c r="AE282" s="46"/>
    </row>
    <row r="283" spans="5:31" x14ac:dyDescent="0.25">
      <c r="E283" s="48"/>
      <c r="F283" s="78"/>
      <c r="G283" s="46"/>
      <c r="H283" s="46"/>
      <c r="I283" s="46"/>
      <c r="J283" s="46"/>
      <c r="K283" s="46"/>
      <c r="L283" s="46"/>
      <c r="M283" s="46"/>
      <c r="N283" s="46"/>
      <c r="O283" s="46"/>
      <c r="P283" s="46"/>
      <c r="Q283" s="46"/>
      <c r="R283" s="46"/>
      <c r="S283" s="46"/>
      <c r="T283" s="79"/>
      <c r="U283" s="79"/>
      <c r="V283" s="46"/>
      <c r="W283" s="46"/>
      <c r="X283" s="46"/>
      <c r="Y283" s="79"/>
      <c r="Z283" s="79"/>
      <c r="AA283" s="80"/>
      <c r="AB283" s="78"/>
      <c r="AC283" s="46"/>
      <c r="AD283" s="46"/>
      <c r="AE283" s="46"/>
    </row>
    <row r="284" spans="5:31" x14ac:dyDescent="0.25">
      <c r="E284" s="48"/>
      <c r="F284" s="78"/>
      <c r="G284" s="46"/>
      <c r="H284" s="46"/>
      <c r="I284" s="46"/>
      <c r="J284" s="46"/>
      <c r="K284" s="46"/>
      <c r="L284" s="46"/>
      <c r="M284" s="46"/>
      <c r="N284" s="46"/>
      <c r="O284" s="46"/>
      <c r="P284" s="46"/>
      <c r="Q284" s="46"/>
      <c r="R284" s="46"/>
      <c r="S284" s="46"/>
      <c r="T284" s="79"/>
      <c r="U284" s="79"/>
      <c r="V284" s="46"/>
      <c r="W284" s="46"/>
      <c r="X284" s="46"/>
      <c r="Y284" s="79"/>
      <c r="Z284" s="79"/>
      <c r="AA284" s="80"/>
      <c r="AB284" s="78"/>
      <c r="AC284" s="46"/>
      <c r="AD284" s="46"/>
      <c r="AE284" s="46"/>
    </row>
    <row r="285" spans="5:31" x14ac:dyDescent="0.25">
      <c r="E285" s="48"/>
      <c r="F285" s="78"/>
      <c r="G285" s="46"/>
      <c r="H285" s="46"/>
      <c r="I285" s="46"/>
      <c r="J285" s="46"/>
      <c r="K285" s="46"/>
      <c r="L285" s="46"/>
      <c r="M285" s="46"/>
      <c r="N285" s="46"/>
      <c r="O285" s="46"/>
      <c r="P285" s="46"/>
      <c r="Q285" s="46"/>
      <c r="R285" s="46"/>
      <c r="S285" s="46"/>
      <c r="T285" s="79"/>
      <c r="U285" s="79"/>
      <c r="V285" s="46"/>
      <c r="W285" s="46"/>
      <c r="X285" s="46"/>
      <c r="Y285" s="79"/>
      <c r="Z285" s="79"/>
      <c r="AA285" s="80"/>
      <c r="AB285" s="78"/>
      <c r="AC285" s="46"/>
      <c r="AD285" s="46"/>
      <c r="AE285" s="46"/>
    </row>
    <row r="286" spans="5:31" x14ac:dyDescent="0.25">
      <c r="E286" s="48"/>
      <c r="F286" s="78"/>
      <c r="G286" s="46"/>
      <c r="H286" s="46"/>
      <c r="I286" s="46"/>
      <c r="J286" s="46"/>
      <c r="K286" s="46"/>
      <c r="L286" s="46"/>
      <c r="M286" s="46"/>
      <c r="N286" s="46"/>
      <c r="O286" s="46"/>
      <c r="P286" s="46"/>
      <c r="Q286" s="46"/>
      <c r="R286" s="46"/>
      <c r="S286" s="46"/>
      <c r="T286" s="79"/>
      <c r="U286" s="79"/>
      <c r="V286" s="46"/>
      <c r="W286" s="46"/>
      <c r="X286" s="46"/>
      <c r="Y286" s="79"/>
      <c r="Z286" s="79"/>
      <c r="AA286" s="80"/>
      <c r="AB286" s="78"/>
      <c r="AC286" s="46"/>
      <c r="AD286" s="46"/>
      <c r="AE286" s="46"/>
    </row>
    <row r="287" spans="5:31" x14ac:dyDescent="0.25">
      <c r="E287" s="48"/>
      <c r="F287" s="78"/>
      <c r="G287" s="46"/>
      <c r="H287" s="46"/>
      <c r="I287" s="46"/>
      <c r="J287" s="46"/>
      <c r="K287" s="46"/>
      <c r="L287" s="46"/>
      <c r="M287" s="46"/>
      <c r="N287" s="46"/>
      <c r="O287" s="46"/>
      <c r="P287" s="46"/>
      <c r="Q287" s="46"/>
      <c r="R287" s="46"/>
      <c r="S287" s="46"/>
      <c r="T287" s="79"/>
      <c r="U287" s="79"/>
      <c r="V287" s="46"/>
      <c r="W287" s="46"/>
      <c r="X287" s="46"/>
      <c r="Y287" s="79"/>
      <c r="Z287" s="79"/>
      <c r="AA287" s="80"/>
      <c r="AB287" s="78"/>
      <c r="AC287" s="46"/>
      <c r="AD287" s="46"/>
      <c r="AE287" s="46"/>
    </row>
    <row r="288" spans="5:31" x14ac:dyDescent="0.25">
      <c r="E288" s="48"/>
      <c r="F288" s="78"/>
      <c r="G288" s="46"/>
      <c r="H288" s="46"/>
      <c r="I288" s="46"/>
      <c r="J288" s="46"/>
      <c r="K288" s="46"/>
      <c r="L288" s="46"/>
      <c r="M288" s="46"/>
      <c r="N288" s="46"/>
      <c r="O288" s="46"/>
      <c r="P288" s="46"/>
      <c r="Q288" s="46"/>
      <c r="R288" s="46"/>
      <c r="S288" s="46"/>
      <c r="T288" s="79"/>
      <c r="U288" s="79"/>
      <c r="V288" s="46"/>
      <c r="W288" s="46"/>
      <c r="X288" s="46"/>
      <c r="Y288" s="79"/>
      <c r="Z288" s="79"/>
      <c r="AA288" s="80"/>
      <c r="AB288" s="78"/>
      <c r="AC288" s="46"/>
      <c r="AD288" s="46"/>
      <c r="AE288" s="46"/>
    </row>
    <row r="289" spans="5:31" x14ac:dyDescent="0.25">
      <c r="E289" s="48"/>
      <c r="F289" s="78"/>
      <c r="G289" s="46"/>
      <c r="H289" s="46"/>
      <c r="I289" s="46"/>
      <c r="J289" s="46"/>
      <c r="K289" s="46"/>
      <c r="L289" s="46"/>
      <c r="M289" s="46"/>
      <c r="N289" s="46"/>
      <c r="O289" s="46"/>
      <c r="P289" s="46"/>
      <c r="Q289" s="46"/>
      <c r="R289" s="46"/>
      <c r="S289" s="46"/>
      <c r="T289" s="79"/>
      <c r="U289" s="79"/>
      <c r="V289" s="46"/>
      <c r="W289" s="46"/>
      <c r="X289" s="46"/>
      <c r="Y289" s="79"/>
      <c r="Z289" s="79"/>
      <c r="AA289" s="80"/>
      <c r="AB289" s="78"/>
      <c r="AC289" s="46"/>
      <c r="AD289" s="46"/>
      <c r="AE289" s="46"/>
    </row>
    <row r="290" spans="5:31" x14ac:dyDescent="0.25">
      <c r="E290" s="48"/>
      <c r="F290" s="78"/>
      <c r="G290" s="46"/>
      <c r="H290" s="46"/>
      <c r="I290" s="46"/>
      <c r="J290" s="46"/>
      <c r="K290" s="46"/>
      <c r="L290" s="46"/>
      <c r="M290" s="46"/>
      <c r="N290" s="46"/>
      <c r="O290" s="46"/>
      <c r="P290" s="46"/>
      <c r="Q290" s="46"/>
      <c r="R290" s="46"/>
      <c r="S290" s="46"/>
      <c r="T290" s="79"/>
      <c r="U290" s="79"/>
      <c r="V290" s="46"/>
      <c r="W290" s="46"/>
      <c r="X290" s="46"/>
      <c r="Y290" s="79"/>
      <c r="Z290" s="79"/>
      <c r="AA290" s="80"/>
      <c r="AB290" s="78"/>
      <c r="AC290" s="46"/>
      <c r="AD290" s="46"/>
      <c r="AE290" s="46"/>
    </row>
    <row r="291" spans="5:31" x14ac:dyDescent="0.25">
      <c r="E291" s="48"/>
      <c r="F291" s="78"/>
      <c r="G291" s="46"/>
      <c r="H291" s="46"/>
      <c r="I291" s="46"/>
      <c r="J291" s="46"/>
      <c r="K291" s="46"/>
      <c r="L291" s="46"/>
      <c r="M291" s="46"/>
      <c r="N291" s="46"/>
      <c r="O291" s="46"/>
      <c r="P291" s="46"/>
      <c r="Q291" s="46"/>
      <c r="R291" s="46"/>
      <c r="S291" s="46"/>
      <c r="T291" s="79"/>
      <c r="U291" s="79"/>
      <c r="V291" s="46"/>
      <c r="W291" s="46"/>
      <c r="X291" s="46"/>
      <c r="Y291" s="79"/>
      <c r="Z291" s="79"/>
      <c r="AA291" s="80"/>
      <c r="AB291" s="78"/>
      <c r="AC291" s="46"/>
      <c r="AD291" s="46"/>
      <c r="AE291" s="46"/>
    </row>
    <row r="292" spans="5:31" x14ac:dyDescent="0.25">
      <c r="E292" s="48"/>
      <c r="F292" s="78"/>
      <c r="G292" s="46"/>
      <c r="H292" s="46"/>
      <c r="I292" s="46"/>
      <c r="J292" s="46"/>
      <c r="K292" s="46"/>
      <c r="L292" s="46"/>
      <c r="M292" s="46"/>
      <c r="N292" s="46"/>
      <c r="O292" s="46"/>
      <c r="P292" s="46"/>
      <c r="Q292" s="46"/>
      <c r="R292" s="46"/>
      <c r="S292" s="46"/>
      <c r="T292" s="79"/>
      <c r="U292" s="79"/>
      <c r="V292" s="46"/>
      <c r="W292" s="46"/>
      <c r="X292" s="46"/>
      <c r="Y292" s="79"/>
      <c r="Z292" s="79"/>
      <c r="AA292" s="80"/>
      <c r="AB292" s="78"/>
      <c r="AC292" s="46"/>
      <c r="AD292" s="46"/>
      <c r="AE292" s="46"/>
    </row>
    <row r="293" spans="5:31" x14ac:dyDescent="0.25">
      <c r="E293" s="48"/>
      <c r="F293" s="78"/>
      <c r="G293" s="46"/>
      <c r="H293" s="46"/>
      <c r="I293" s="46"/>
      <c r="J293" s="46"/>
      <c r="K293" s="46"/>
      <c r="L293" s="46"/>
      <c r="M293" s="46"/>
      <c r="N293" s="46"/>
      <c r="O293" s="46"/>
      <c r="P293" s="46"/>
      <c r="Q293" s="46"/>
      <c r="R293" s="46"/>
      <c r="S293" s="46"/>
      <c r="T293" s="79"/>
      <c r="U293" s="79"/>
      <c r="V293" s="46"/>
      <c r="W293" s="46"/>
      <c r="X293" s="46"/>
      <c r="Y293" s="79"/>
      <c r="Z293" s="79"/>
      <c r="AA293" s="80"/>
      <c r="AB293" s="78"/>
      <c r="AC293" s="46"/>
      <c r="AD293" s="46"/>
      <c r="AE293" s="46"/>
    </row>
    <row r="294" spans="5:31" x14ac:dyDescent="0.25">
      <c r="E294" s="48"/>
      <c r="F294" s="78"/>
      <c r="G294" s="46"/>
      <c r="H294" s="46"/>
      <c r="I294" s="46"/>
      <c r="J294" s="46"/>
      <c r="K294" s="46"/>
      <c r="L294" s="46"/>
      <c r="M294" s="46"/>
      <c r="N294" s="46"/>
      <c r="O294" s="46"/>
      <c r="P294" s="46"/>
      <c r="Q294" s="46"/>
      <c r="R294" s="46"/>
      <c r="S294" s="46"/>
      <c r="T294" s="79"/>
      <c r="U294" s="79"/>
      <c r="V294" s="46"/>
      <c r="W294" s="46"/>
      <c r="X294" s="46"/>
      <c r="Y294" s="79"/>
      <c r="Z294" s="79"/>
      <c r="AA294" s="80"/>
      <c r="AB294" s="78"/>
      <c r="AC294" s="46"/>
      <c r="AD294" s="46"/>
      <c r="AE294" s="46"/>
    </row>
    <row r="295" spans="5:31" x14ac:dyDescent="0.25">
      <c r="E295" s="48"/>
      <c r="F295" s="78"/>
      <c r="G295" s="46"/>
      <c r="H295" s="46"/>
      <c r="I295" s="46"/>
      <c r="J295" s="46"/>
      <c r="K295" s="46"/>
      <c r="L295" s="46"/>
      <c r="M295" s="46"/>
      <c r="N295" s="46"/>
      <c r="O295" s="46"/>
      <c r="P295" s="46"/>
      <c r="Q295" s="46"/>
      <c r="R295" s="46"/>
      <c r="S295" s="46"/>
      <c r="T295" s="79"/>
      <c r="U295" s="79"/>
      <c r="V295" s="46"/>
      <c r="W295" s="46"/>
      <c r="X295" s="46"/>
      <c r="Y295" s="79"/>
      <c r="Z295" s="79"/>
      <c r="AA295" s="80"/>
      <c r="AB295" s="78"/>
      <c r="AC295" s="46"/>
      <c r="AD295" s="46"/>
      <c r="AE295" s="46"/>
    </row>
    <row r="296" spans="5:31" x14ac:dyDescent="0.25">
      <c r="E296" s="48"/>
      <c r="F296" s="78"/>
      <c r="G296" s="46"/>
      <c r="H296" s="46"/>
      <c r="I296" s="46"/>
      <c r="J296" s="46"/>
      <c r="K296" s="46"/>
      <c r="L296" s="46"/>
      <c r="M296" s="46"/>
      <c r="N296" s="46"/>
      <c r="O296" s="46"/>
      <c r="P296" s="46"/>
      <c r="Q296" s="46"/>
      <c r="R296" s="46"/>
      <c r="S296" s="46"/>
      <c r="T296" s="79"/>
      <c r="U296" s="79"/>
      <c r="V296" s="46"/>
      <c r="W296" s="46"/>
      <c r="X296" s="46"/>
      <c r="Y296" s="79"/>
      <c r="Z296" s="79"/>
      <c r="AA296" s="80"/>
      <c r="AB296" s="78"/>
      <c r="AC296" s="46"/>
      <c r="AD296" s="46"/>
      <c r="AE296" s="46"/>
    </row>
    <row r="297" spans="5:31" x14ac:dyDescent="0.25">
      <c r="E297" s="48"/>
      <c r="F297" s="78"/>
      <c r="G297" s="46"/>
      <c r="H297" s="46"/>
      <c r="I297" s="46"/>
      <c r="J297" s="46"/>
      <c r="K297" s="46"/>
      <c r="L297" s="46"/>
      <c r="M297" s="46"/>
      <c r="N297" s="46"/>
      <c r="O297" s="46"/>
      <c r="P297" s="46"/>
      <c r="Q297" s="46"/>
      <c r="R297" s="46"/>
      <c r="S297" s="46"/>
      <c r="T297" s="79"/>
      <c r="U297" s="79"/>
      <c r="V297" s="46"/>
      <c r="W297" s="46"/>
      <c r="X297" s="46"/>
      <c r="Y297" s="79"/>
      <c r="Z297" s="79"/>
      <c r="AA297" s="80"/>
      <c r="AB297" s="78"/>
      <c r="AC297" s="46"/>
      <c r="AD297" s="46"/>
      <c r="AE297" s="46"/>
    </row>
    <row r="298" spans="5:31" x14ac:dyDescent="0.25">
      <c r="E298" s="48"/>
      <c r="F298" s="78"/>
      <c r="G298" s="46"/>
      <c r="H298" s="46"/>
      <c r="I298" s="46"/>
      <c r="J298" s="46"/>
      <c r="K298" s="46"/>
      <c r="L298" s="46"/>
      <c r="M298" s="46"/>
      <c r="N298" s="46"/>
      <c r="O298" s="46"/>
      <c r="P298" s="46"/>
      <c r="Q298" s="46"/>
      <c r="R298" s="46"/>
      <c r="S298" s="46"/>
      <c r="T298" s="79"/>
      <c r="U298" s="79"/>
      <c r="V298" s="46"/>
      <c r="W298" s="46"/>
      <c r="X298" s="46"/>
      <c r="Y298" s="79"/>
      <c r="Z298" s="79"/>
      <c r="AA298" s="80"/>
      <c r="AB298" s="78"/>
      <c r="AC298" s="46"/>
      <c r="AD298" s="46"/>
      <c r="AE298" s="46"/>
    </row>
    <row r="299" spans="5:31" x14ac:dyDescent="0.25">
      <c r="E299" s="48"/>
      <c r="F299" s="78"/>
      <c r="G299" s="46"/>
      <c r="H299" s="46"/>
      <c r="I299" s="46"/>
      <c r="J299" s="46"/>
      <c r="K299" s="46"/>
      <c r="L299" s="46"/>
      <c r="M299" s="46"/>
      <c r="N299" s="46"/>
      <c r="O299" s="46"/>
      <c r="P299" s="46"/>
      <c r="Q299" s="46"/>
      <c r="R299" s="46"/>
      <c r="S299" s="46"/>
      <c r="T299" s="79"/>
      <c r="U299" s="79"/>
      <c r="V299" s="46"/>
      <c r="W299" s="46"/>
      <c r="X299" s="46"/>
      <c r="Y299" s="79"/>
      <c r="Z299" s="79"/>
      <c r="AA299" s="80"/>
      <c r="AB299" s="78"/>
      <c r="AC299" s="46"/>
      <c r="AD299" s="46"/>
      <c r="AE299" s="46"/>
    </row>
    <row r="300" spans="5:31" x14ac:dyDescent="0.25">
      <c r="E300" s="48"/>
      <c r="F300" s="78"/>
      <c r="G300" s="46"/>
      <c r="H300" s="46"/>
      <c r="I300" s="46"/>
      <c r="J300" s="46"/>
      <c r="K300" s="46"/>
      <c r="L300" s="46"/>
      <c r="M300" s="46"/>
      <c r="N300" s="46"/>
      <c r="O300" s="46"/>
      <c r="P300" s="46"/>
      <c r="Q300" s="46"/>
      <c r="R300" s="46"/>
      <c r="S300" s="46"/>
      <c r="T300" s="79"/>
      <c r="U300" s="79"/>
      <c r="V300" s="46"/>
      <c r="W300" s="46"/>
      <c r="X300" s="46"/>
      <c r="Y300" s="79"/>
      <c r="Z300" s="79"/>
      <c r="AA300" s="80"/>
      <c r="AB300" s="78"/>
      <c r="AC300" s="46"/>
      <c r="AD300" s="46"/>
      <c r="AE300" s="46"/>
    </row>
    <row r="301" spans="5:31" x14ac:dyDescent="0.25">
      <c r="E301" s="48"/>
      <c r="F301" s="78"/>
      <c r="G301" s="46"/>
      <c r="H301" s="46"/>
      <c r="I301" s="46"/>
      <c r="J301" s="46"/>
      <c r="K301" s="46"/>
      <c r="L301" s="46"/>
      <c r="M301" s="46"/>
      <c r="N301" s="46"/>
      <c r="O301" s="46"/>
      <c r="P301" s="46"/>
      <c r="Q301" s="46"/>
      <c r="R301" s="46"/>
      <c r="S301" s="46"/>
      <c r="T301" s="79"/>
      <c r="U301" s="79"/>
      <c r="V301" s="46"/>
      <c r="W301" s="46"/>
      <c r="X301" s="46"/>
      <c r="Y301" s="79"/>
      <c r="Z301" s="79"/>
      <c r="AA301" s="80"/>
      <c r="AB301" s="78"/>
      <c r="AC301" s="46"/>
      <c r="AD301" s="46"/>
      <c r="AE301" s="46"/>
    </row>
    <row r="302" spans="5:31" x14ac:dyDescent="0.25">
      <c r="E302" s="48"/>
      <c r="F302" s="78"/>
      <c r="G302" s="46"/>
      <c r="H302" s="46"/>
      <c r="I302" s="46"/>
      <c r="J302" s="46"/>
      <c r="K302" s="46"/>
      <c r="L302" s="46"/>
      <c r="M302" s="46"/>
      <c r="N302" s="46"/>
      <c r="O302" s="46"/>
      <c r="P302" s="46"/>
      <c r="Q302" s="46"/>
      <c r="R302" s="46"/>
      <c r="S302" s="46"/>
      <c r="T302" s="79"/>
      <c r="U302" s="79"/>
      <c r="V302" s="46"/>
      <c r="W302" s="46"/>
      <c r="X302" s="46"/>
      <c r="Y302" s="79"/>
      <c r="Z302" s="79"/>
      <c r="AA302" s="80"/>
      <c r="AB302" s="78"/>
      <c r="AC302" s="46"/>
      <c r="AD302" s="46"/>
      <c r="AE302" s="46"/>
    </row>
    <row r="303" spans="5:31" x14ac:dyDescent="0.25">
      <c r="E303" s="48"/>
      <c r="F303" s="78"/>
      <c r="G303" s="46"/>
      <c r="H303" s="46"/>
      <c r="I303" s="46"/>
      <c r="J303" s="46"/>
      <c r="K303" s="46"/>
      <c r="L303" s="46"/>
      <c r="M303" s="46"/>
      <c r="N303" s="46"/>
      <c r="O303" s="46"/>
      <c r="P303" s="46"/>
      <c r="Q303" s="46"/>
      <c r="R303" s="46"/>
      <c r="S303" s="46"/>
      <c r="T303" s="79"/>
      <c r="U303" s="79"/>
      <c r="V303" s="46"/>
      <c r="W303" s="46"/>
      <c r="X303" s="46"/>
      <c r="Y303" s="79"/>
      <c r="Z303" s="79"/>
      <c r="AA303" s="80"/>
      <c r="AB303" s="78"/>
      <c r="AC303" s="46"/>
      <c r="AD303" s="46"/>
      <c r="AE303" s="46"/>
    </row>
    <row r="304" spans="5:31" x14ac:dyDescent="0.25">
      <c r="E304" s="48"/>
      <c r="F304" s="78"/>
      <c r="G304" s="46"/>
      <c r="H304" s="46"/>
      <c r="I304" s="46"/>
      <c r="J304" s="46"/>
      <c r="K304" s="46"/>
      <c r="L304" s="46"/>
      <c r="M304" s="46"/>
      <c r="N304" s="46"/>
      <c r="O304" s="46"/>
      <c r="P304" s="46"/>
      <c r="Q304" s="46"/>
      <c r="R304" s="46"/>
      <c r="S304" s="46"/>
      <c r="T304" s="79"/>
      <c r="U304" s="79"/>
      <c r="V304" s="46"/>
      <c r="W304" s="46"/>
      <c r="X304" s="46"/>
      <c r="Y304" s="79"/>
      <c r="Z304" s="79"/>
      <c r="AA304" s="80"/>
      <c r="AB304" s="78"/>
      <c r="AC304" s="46"/>
      <c r="AD304" s="46"/>
      <c r="AE304" s="46"/>
    </row>
    <row r="305" spans="5:31" x14ac:dyDescent="0.25">
      <c r="E305" s="48"/>
      <c r="F305" s="78"/>
      <c r="G305" s="46"/>
      <c r="H305" s="46"/>
      <c r="I305" s="46"/>
      <c r="J305" s="46"/>
      <c r="K305" s="46"/>
      <c r="L305" s="46"/>
      <c r="M305" s="46"/>
      <c r="N305" s="46"/>
      <c r="O305" s="46"/>
      <c r="P305" s="46"/>
      <c r="Q305" s="46"/>
      <c r="R305" s="46"/>
      <c r="S305" s="46"/>
      <c r="T305" s="79"/>
      <c r="U305" s="79"/>
      <c r="V305" s="46"/>
      <c r="W305" s="46"/>
      <c r="X305" s="46"/>
      <c r="Y305" s="79"/>
      <c r="Z305" s="79"/>
      <c r="AA305" s="80"/>
      <c r="AB305" s="78"/>
      <c r="AC305" s="46"/>
      <c r="AD305" s="46"/>
      <c r="AE305" s="46"/>
    </row>
    <row r="306" spans="5:31" x14ac:dyDescent="0.25">
      <c r="E306" s="48"/>
      <c r="F306" s="78"/>
      <c r="G306" s="46"/>
      <c r="H306" s="46"/>
      <c r="I306" s="46"/>
      <c r="J306" s="46"/>
      <c r="K306" s="46"/>
      <c r="L306" s="46"/>
      <c r="M306" s="46"/>
      <c r="N306" s="46"/>
      <c r="O306" s="46"/>
      <c r="P306" s="46"/>
      <c r="Q306" s="46"/>
      <c r="R306" s="46"/>
      <c r="S306" s="46"/>
      <c r="T306" s="79"/>
      <c r="U306" s="79"/>
      <c r="V306" s="46"/>
      <c r="W306" s="46"/>
      <c r="X306" s="46"/>
      <c r="Y306" s="79"/>
      <c r="Z306" s="79"/>
      <c r="AA306" s="80"/>
      <c r="AB306" s="78"/>
      <c r="AC306" s="46"/>
      <c r="AD306" s="46"/>
      <c r="AE306" s="46"/>
    </row>
    <row r="307" spans="5:31" x14ac:dyDescent="0.25">
      <c r="E307" s="48"/>
      <c r="F307" s="78"/>
      <c r="G307" s="46"/>
      <c r="H307" s="46"/>
      <c r="I307" s="46"/>
      <c r="J307" s="46"/>
      <c r="K307" s="46"/>
      <c r="L307" s="46"/>
      <c r="M307" s="46"/>
      <c r="N307" s="46"/>
      <c r="O307" s="46"/>
      <c r="P307" s="46"/>
      <c r="Q307" s="46"/>
      <c r="R307" s="46"/>
      <c r="S307" s="46"/>
      <c r="T307" s="79"/>
      <c r="U307" s="79"/>
      <c r="V307" s="46"/>
      <c r="W307" s="46"/>
      <c r="X307" s="46"/>
      <c r="Y307" s="79"/>
      <c r="Z307" s="79"/>
      <c r="AA307" s="80"/>
      <c r="AB307" s="78"/>
      <c r="AC307" s="46"/>
      <c r="AD307" s="46"/>
      <c r="AE307" s="46"/>
    </row>
    <row r="308" spans="5:31" x14ac:dyDescent="0.25">
      <c r="E308" s="48"/>
      <c r="F308" s="78"/>
      <c r="G308" s="46"/>
      <c r="H308" s="46"/>
      <c r="I308" s="46"/>
      <c r="J308" s="46"/>
      <c r="K308" s="46"/>
      <c r="L308" s="46"/>
      <c r="M308" s="46"/>
      <c r="N308" s="46"/>
      <c r="O308" s="46"/>
      <c r="P308" s="46"/>
      <c r="Q308" s="46"/>
      <c r="R308" s="46"/>
      <c r="S308" s="46"/>
      <c r="T308" s="79"/>
      <c r="U308" s="79"/>
      <c r="V308" s="46"/>
      <c r="W308" s="46"/>
      <c r="X308" s="46"/>
      <c r="Y308" s="79"/>
      <c r="Z308" s="79"/>
      <c r="AA308" s="80"/>
      <c r="AB308" s="78"/>
      <c r="AC308" s="46"/>
      <c r="AD308" s="46"/>
      <c r="AE308" s="46"/>
    </row>
    <row r="309" spans="5:31" x14ac:dyDescent="0.25">
      <c r="E309" s="48"/>
      <c r="F309" s="78"/>
      <c r="G309" s="46"/>
      <c r="H309" s="46"/>
      <c r="I309" s="46"/>
      <c r="J309" s="46"/>
      <c r="K309" s="46"/>
      <c r="L309" s="46"/>
      <c r="M309" s="46"/>
      <c r="N309" s="46"/>
      <c r="O309" s="46"/>
      <c r="P309" s="46"/>
      <c r="Q309" s="46"/>
      <c r="R309" s="46"/>
      <c r="S309" s="46"/>
      <c r="T309" s="79"/>
      <c r="U309" s="79"/>
      <c r="V309" s="46"/>
      <c r="W309" s="46"/>
      <c r="X309" s="46"/>
      <c r="Y309" s="79"/>
      <c r="Z309" s="79"/>
      <c r="AA309" s="80"/>
      <c r="AB309" s="78"/>
      <c r="AC309" s="46"/>
      <c r="AD309" s="46"/>
      <c r="AE309" s="46"/>
    </row>
    <row r="310" spans="5:31" x14ac:dyDescent="0.25">
      <c r="E310" s="48"/>
      <c r="F310" s="78"/>
      <c r="G310" s="46"/>
      <c r="H310" s="46"/>
      <c r="I310" s="46"/>
      <c r="J310" s="46"/>
      <c r="K310" s="46"/>
      <c r="L310" s="46"/>
      <c r="M310" s="46"/>
      <c r="N310" s="46"/>
      <c r="O310" s="46"/>
      <c r="P310" s="46"/>
      <c r="Q310" s="46"/>
      <c r="R310" s="46"/>
      <c r="S310" s="46"/>
      <c r="T310" s="79"/>
      <c r="U310" s="79"/>
      <c r="V310" s="46"/>
      <c r="W310" s="46"/>
      <c r="X310" s="46"/>
      <c r="Y310" s="79"/>
      <c r="Z310" s="79"/>
      <c r="AA310" s="80"/>
      <c r="AB310" s="78"/>
      <c r="AC310" s="46"/>
      <c r="AD310" s="46"/>
      <c r="AE310" s="46"/>
    </row>
    <row r="311" spans="5:31" x14ac:dyDescent="0.25">
      <c r="E311" s="48"/>
      <c r="F311" s="78"/>
      <c r="G311" s="46"/>
      <c r="H311" s="46"/>
      <c r="I311" s="46"/>
      <c r="J311" s="46"/>
      <c r="K311" s="46"/>
      <c r="L311" s="46"/>
      <c r="M311" s="46"/>
      <c r="N311" s="46"/>
      <c r="O311" s="46"/>
      <c r="P311" s="46"/>
      <c r="Q311" s="46"/>
      <c r="R311" s="46"/>
      <c r="S311" s="46"/>
      <c r="T311" s="79"/>
      <c r="U311" s="79"/>
      <c r="V311" s="46"/>
      <c r="W311" s="46"/>
      <c r="X311" s="46"/>
      <c r="Y311" s="79"/>
      <c r="Z311" s="79"/>
      <c r="AA311" s="80"/>
      <c r="AB311" s="78"/>
      <c r="AC311" s="46"/>
      <c r="AD311" s="46"/>
      <c r="AE311" s="46"/>
    </row>
    <row r="312" spans="5:31" x14ac:dyDescent="0.25">
      <c r="E312" s="48"/>
      <c r="F312" s="78"/>
      <c r="G312" s="46"/>
      <c r="H312" s="46"/>
      <c r="I312" s="46"/>
      <c r="J312" s="46"/>
      <c r="K312" s="46"/>
      <c r="L312" s="46"/>
      <c r="M312" s="46"/>
      <c r="N312" s="46"/>
      <c r="O312" s="46"/>
      <c r="P312" s="46"/>
      <c r="Q312" s="46"/>
      <c r="R312" s="46"/>
      <c r="S312" s="46"/>
      <c r="T312" s="79"/>
      <c r="U312" s="79"/>
      <c r="V312" s="46"/>
      <c r="W312" s="46"/>
      <c r="X312" s="46"/>
      <c r="Y312" s="79"/>
      <c r="Z312" s="79"/>
      <c r="AA312" s="80"/>
      <c r="AB312" s="78"/>
      <c r="AC312" s="46"/>
      <c r="AD312" s="46"/>
      <c r="AE312" s="46"/>
    </row>
    <row r="313" spans="5:31" x14ac:dyDescent="0.25">
      <c r="E313" s="48"/>
      <c r="F313" s="78"/>
      <c r="G313" s="46"/>
      <c r="H313" s="46"/>
      <c r="I313" s="46"/>
      <c r="J313" s="46"/>
      <c r="K313" s="46"/>
      <c r="L313" s="46"/>
      <c r="M313" s="46"/>
      <c r="N313" s="46"/>
      <c r="O313" s="46"/>
      <c r="P313" s="46"/>
      <c r="Q313" s="46"/>
      <c r="R313" s="46"/>
      <c r="S313" s="46"/>
      <c r="T313" s="79"/>
      <c r="U313" s="79"/>
      <c r="V313" s="46"/>
      <c r="W313" s="46"/>
      <c r="X313" s="46"/>
      <c r="Y313" s="79"/>
      <c r="Z313" s="79"/>
      <c r="AA313" s="80"/>
      <c r="AB313" s="78"/>
      <c r="AC313" s="46"/>
      <c r="AD313" s="46"/>
      <c r="AE313" s="46"/>
    </row>
    <row r="314" spans="5:31" x14ac:dyDescent="0.25">
      <c r="E314" s="48"/>
      <c r="F314" s="78"/>
      <c r="G314" s="46"/>
      <c r="H314" s="46"/>
      <c r="I314" s="46"/>
      <c r="J314" s="46"/>
      <c r="K314" s="46"/>
      <c r="L314" s="46"/>
      <c r="M314" s="46"/>
      <c r="N314" s="46"/>
      <c r="O314" s="46"/>
      <c r="P314" s="46"/>
      <c r="Q314" s="46"/>
      <c r="R314" s="46"/>
      <c r="S314" s="46"/>
      <c r="T314" s="79"/>
      <c r="U314" s="79"/>
      <c r="V314" s="46"/>
      <c r="W314" s="46"/>
      <c r="X314" s="46"/>
      <c r="Y314" s="79"/>
      <c r="Z314" s="79"/>
      <c r="AA314" s="80"/>
      <c r="AB314" s="78"/>
      <c r="AC314" s="46"/>
      <c r="AD314" s="46"/>
      <c r="AE314" s="46"/>
    </row>
    <row r="315" spans="5:31" x14ac:dyDescent="0.25">
      <c r="E315" s="48"/>
      <c r="F315" s="78"/>
      <c r="G315" s="46"/>
      <c r="H315" s="46"/>
      <c r="I315" s="46"/>
      <c r="J315" s="46"/>
      <c r="K315" s="46"/>
      <c r="L315" s="46"/>
      <c r="M315" s="46"/>
      <c r="N315" s="46"/>
      <c r="O315" s="46"/>
      <c r="P315" s="46"/>
      <c r="Q315" s="46"/>
      <c r="R315" s="46"/>
      <c r="S315" s="46"/>
      <c r="T315" s="79"/>
      <c r="U315" s="79"/>
      <c r="V315" s="46"/>
      <c r="W315" s="46"/>
      <c r="X315" s="46"/>
      <c r="Y315" s="79"/>
      <c r="Z315" s="79"/>
      <c r="AA315" s="80"/>
      <c r="AB315" s="78"/>
      <c r="AC315" s="46"/>
      <c r="AD315" s="46"/>
      <c r="AE315" s="46"/>
    </row>
    <row r="316" spans="5:31" x14ac:dyDescent="0.25">
      <c r="E316" s="48"/>
      <c r="F316" s="78"/>
      <c r="G316" s="46"/>
      <c r="H316" s="46"/>
      <c r="I316" s="46"/>
      <c r="J316" s="46"/>
      <c r="K316" s="46"/>
      <c r="L316" s="46"/>
      <c r="M316" s="46"/>
      <c r="N316" s="46"/>
      <c r="O316" s="46"/>
      <c r="P316" s="46"/>
      <c r="Q316" s="46"/>
      <c r="R316" s="46"/>
      <c r="S316" s="46"/>
      <c r="T316" s="79"/>
      <c r="U316" s="79"/>
      <c r="V316" s="46"/>
      <c r="W316" s="46"/>
      <c r="X316" s="46"/>
      <c r="Y316" s="79"/>
      <c r="Z316" s="79"/>
      <c r="AA316" s="80"/>
      <c r="AB316" s="78"/>
      <c r="AC316" s="46"/>
      <c r="AD316" s="46"/>
      <c r="AE316" s="46"/>
    </row>
    <row r="317" spans="5:31" x14ac:dyDescent="0.25">
      <c r="E317" s="48"/>
      <c r="F317" s="78"/>
      <c r="G317" s="46"/>
      <c r="H317" s="46"/>
      <c r="I317" s="46"/>
      <c r="J317" s="46"/>
      <c r="K317" s="46"/>
      <c r="L317" s="46"/>
      <c r="M317" s="46"/>
      <c r="N317" s="46"/>
      <c r="O317" s="46"/>
      <c r="P317" s="46"/>
      <c r="Q317" s="46"/>
      <c r="R317" s="46"/>
      <c r="S317" s="46"/>
      <c r="T317" s="79"/>
      <c r="U317" s="79"/>
      <c r="V317" s="46"/>
      <c r="W317" s="46"/>
      <c r="X317" s="46"/>
      <c r="Y317" s="79"/>
      <c r="Z317" s="79"/>
      <c r="AA317" s="80"/>
      <c r="AB317" s="78"/>
      <c r="AC317" s="46"/>
      <c r="AD317" s="46"/>
      <c r="AE317" s="46"/>
    </row>
    <row r="318" spans="5:31" x14ac:dyDescent="0.25">
      <c r="E318" s="48"/>
      <c r="F318" s="78"/>
      <c r="G318" s="46"/>
      <c r="H318" s="46"/>
      <c r="I318" s="46"/>
      <c r="J318" s="46"/>
      <c r="K318" s="46"/>
      <c r="L318" s="46"/>
      <c r="M318" s="46"/>
      <c r="N318" s="46"/>
      <c r="O318" s="46"/>
      <c r="P318" s="46"/>
      <c r="Q318" s="46"/>
      <c r="R318" s="46"/>
      <c r="S318" s="46"/>
      <c r="T318" s="79"/>
      <c r="U318" s="79"/>
      <c r="V318" s="46"/>
      <c r="W318" s="46"/>
      <c r="X318" s="46"/>
      <c r="Y318" s="79"/>
      <c r="Z318" s="79"/>
      <c r="AA318" s="80"/>
      <c r="AB318" s="78"/>
      <c r="AC318" s="46"/>
      <c r="AD318" s="46"/>
      <c r="AE318" s="46"/>
    </row>
    <row r="319" spans="5:31" x14ac:dyDescent="0.25">
      <c r="E319" s="48"/>
      <c r="F319" s="78"/>
      <c r="G319" s="46"/>
      <c r="H319" s="46"/>
      <c r="I319" s="46"/>
      <c r="J319" s="46"/>
      <c r="K319" s="46"/>
      <c r="L319" s="46"/>
      <c r="M319" s="46"/>
      <c r="N319" s="46"/>
      <c r="O319" s="46"/>
      <c r="P319" s="46"/>
      <c r="Q319" s="46"/>
      <c r="R319" s="46"/>
      <c r="S319" s="46"/>
      <c r="T319" s="79"/>
      <c r="U319" s="79"/>
      <c r="V319" s="46"/>
      <c r="W319" s="46"/>
      <c r="X319" s="46"/>
      <c r="Y319" s="79"/>
      <c r="Z319" s="79"/>
      <c r="AA319" s="80"/>
      <c r="AB319" s="78"/>
      <c r="AC319" s="46"/>
      <c r="AD319" s="46"/>
      <c r="AE319" s="46"/>
    </row>
    <row r="320" spans="5:31" x14ac:dyDescent="0.25">
      <c r="E320" s="48"/>
      <c r="F320" s="78"/>
      <c r="G320" s="46"/>
      <c r="H320" s="46"/>
      <c r="I320" s="46"/>
      <c r="J320" s="46"/>
      <c r="K320" s="46"/>
      <c r="L320" s="46"/>
      <c r="M320" s="46"/>
      <c r="N320" s="46"/>
      <c r="O320" s="46"/>
      <c r="P320" s="46"/>
      <c r="Q320" s="46"/>
      <c r="R320" s="46"/>
      <c r="S320" s="46"/>
      <c r="T320" s="79"/>
      <c r="U320" s="79"/>
      <c r="V320" s="46"/>
      <c r="W320" s="46"/>
      <c r="X320" s="46"/>
      <c r="Y320" s="79"/>
      <c r="Z320" s="79"/>
      <c r="AA320" s="80"/>
      <c r="AB320" s="78"/>
      <c r="AC320" s="46"/>
      <c r="AD320" s="46"/>
      <c r="AE320" s="46"/>
    </row>
    <row r="321" spans="5:31" x14ac:dyDescent="0.25">
      <c r="E321" s="48"/>
      <c r="F321" s="78"/>
      <c r="G321" s="46"/>
      <c r="H321" s="46"/>
      <c r="I321" s="46"/>
      <c r="J321" s="46"/>
      <c r="K321" s="46"/>
      <c r="L321" s="46"/>
      <c r="M321" s="46"/>
      <c r="N321" s="46"/>
      <c r="O321" s="46"/>
      <c r="P321" s="46"/>
      <c r="Q321" s="46"/>
      <c r="R321" s="46"/>
      <c r="S321" s="46"/>
      <c r="T321" s="79"/>
      <c r="U321" s="79"/>
      <c r="V321" s="46"/>
      <c r="W321" s="46"/>
      <c r="X321" s="46"/>
      <c r="Y321" s="79"/>
      <c r="Z321" s="79"/>
      <c r="AA321" s="80"/>
      <c r="AB321" s="78"/>
      <c r="AC321" s="46"/>
      <c r="AD321" s="46"/>
      <c r="AE321" s="46"/>
    </row>
    <row r="322" spans="5:31" x14ac:dyDescent="0.25">
      <c r="E322" s="48"/>
      <c r="F322" s="78"/>
      <c r="G322" s="46"/>
      <c r="H322" s="46"/>
      <c r="I322" s="46"/>
      <c r="J322" s="46"/>
      <c r="K322" s="46"/>
      <c r="L322" s="46"/>
      <c r="M322" s="46"/>
      <c r="N322" s="46"/>
      <c r="O322" s="46"/>
      <c r="P322" s="46"/>
      <c r="Q322" s="46"/>
      <c r="R322" s="46"/>
      <c r="S322" s="46"/>
      <c r="T322" s="79"/>
      <c r="U322" s="79"/>
      <c r="V322" s="46"/>
      <c r="W322" s="46"/>
      <c r="X322" s="46"/>
      <c r="Y322" s="79"/>
      <c r="Z322" s="79"/>
      <c r="AA322" s="80"/>
      <c r="AB322" s="78"/>
      <c r="AC322" s="46"/>
      <c r="AD322" s="46"/>
      <c r="AE322" s="46"/>
    </row>
    <row r="323" spans="5:31" x14ac:dyDescent="0.25">
      <c r="E323" s="48"/>
      <c r="F323" s="78"/>
      <c r="G323" s="46"/>
      <c r="H323" s="46"/>
      <c r="I323" s="46"/>
      <c r="J323" s="46"/>
      <c r="K323" s="46"/>
      <c r="L323" s="46"/>
      <c r="M323" s="46"/>
      <c r="N323" s="46"/>
      <c r="O323" s="46"/>
      <c r="P323" s="46"/>
      <c r="Q323" s="46"/>
      <c r="R323" s="46"/>
      <c r="S323" s="46"/>
      <c r="T323" s="79"/>
      <c r="U323" s="79"/>
      <c r="V323" s="46"/>
      <c r="W323" s="46"/>
      <c r="X323" s="46"/>
      <c r="Y323" s="79"/>
      <c r="Z323" s="79"/>
      <c r="AA323" s="80"/>
      <c r="AB323" s="78"/>
      <c r="AC323" s="46"/>
      <c r="AD323" s="46"/>
      <c r="AE323" s="46"/>
    </row>
    <row r="324" spans="5:31" x14ac:dyDescent="0.25">
      <c r="E324" s="48"/>
      <c r="F324" s="78"/>
      <c r="G324" s="46"/>
      <c r="H324" s="46"/>
      <c r="I324" s="46"/>
      <c r="J324" s="46"/>
      <c r="K324" s="46"/>
      <c r="L324" s="46"/>
      <c r="M324" s="46"/>
      <c r="N324" s="46"/>
      <c r="O324" s="46"/>
      <c r="P324" s="46"/>
      <c r="Q324" s="46"/>
      <c r="R324" s="46"/>
      <c r="S324" s="46"/>
      <c r="T324" s="79"/>
      <c r="U324" s="79"/>
      <c r="V324" s="46"/>
      <c r="W324" s="46"/>
      <c r="X324" s="46"/>
      <c r="Y324" s="79"/>
      <c r="Z324" s="79"/>
      <c r="AA324" s="80"/>
      <c r="AB324" s="78"/>
      <c r="AC324" s="46"/>
      <c r="AD324" s="46"/>
      <c r="AE324" s="46"/>
    </row>
    <row r="325" spans="5:31" x14ac:dyDescent="0.25">
      <c r="E325" s="48"/>
      <c r="F325" s="78"/>
      <c r="G325" s="46"/>
      <c r="H325" s="46"/>
      <c r="I325" s="46"/>
      <c r="J325" s="46"/>
      <c r="K325" s="46"/>
      <c r="L325" s="46"/>
      <c r="M325" s="46"/>
      <c r="N325" s="46"/>
      <c r="O325" s="46"/>
      <c r="P325" s="46"/>
      <c r="Q325" s="46"/>
      <c r="R325" s="46"/>
      <c r="S325" s="46"/>
      <c r="T325" s="79"/>
      <c r="U325" s="79"/>
      <c r="V325" s="46"/>
      <c r="W325" s="46"/>
      <c r="X325" s="46"/>
      <c r="Y325" s="79"/>
      <c r="Z325" s="79"/>
      <c r="AA325" s="80"/>
      <c r="AB325" s="78"/>
      <c r="AC325" s="46"/>
      <c r="AD325" s="46"/>
      <c r="AE325" s="46"/>
    </row>
    <row r="326" spans="5:31" x14ac:dyDescent="0.25">
      <c r="E326" s="48"/>
      <c r="F326" s="78"/>
      <c r="G326" s="46"/>
      <c r="H326" s="46"/>
      <c r="I326" s="46"/>
      <c r="J326" s="46"/>
      <c r="K326" s="46"/>
      <c r="L326" s="46"/>
      <c r="M326" s="46"/>
      <c r="N326" s="46"/>
      <c r="O326" s="46"/>
      <c r="P326" s="46"/>
      <c r="Q326" s="46"/>
      <c r="R326" s="46"/>
      <c r="S326" s="46"/>
      <c r="T326" s="79"/>
      <c r="U326" s="79"/>
      <c r="V326" s="46"/>
      <c r="W326" s="46"/>
      <c r="X326" s="46"/>
      <c r="Y326" s="79"/>
      <c r="Z326" s="79"/>
      <c r="AA326" s="80"/>
      <c r="AB326" s="78"/>
      <c r="AC326" s="46"/>
      <c r="AD326" s="46"/>
      <c r="AE326" s="46"/>
    </row>
    <row r="327" spans="5:31" x14ac:dyDescent="0.25">
      <c r="E327" s="48"/>
      <c r="F327" s="78"/>
      <c r="G327" s="46"/>
      <c r="H327" s="46"/>
      <c r="I327" s="46"/>
      <c r="J327" s="46"/>
      <c r="K327" s="46"/>
      <c r="L327" s="46"/>
      <c r="M327" s="46"/>
      <c r="N327" s="46"/>
      <c r="O327" s="46"/>
      <c r="P327" s="46"/>
      <c r="Q327" s="46"/>
      <c r="R327" s="46"/>
      <c r="S327" s="46"/>
      <c r="T327" s="79"/>
      <c r="U327" s="79"/>
      <c r="V327" s="46"/>
      <c r="W327" s="46"/>
      <c r="X327" s="46"/>
      <c r="Y327" s="79"/>
      <c r="Z327" s="79"/>
      <c r="AA327" s="80"/>
      <c r="AB327" s="78"/>
      <c r="AC327" s="46"/>
      <c r="AD327" s="46"/>
      <c r="AE327" s="46"/>
    </row>
    <row r="328" spans="5:31" x14ac:dyDescent="0.25">
      <c r="E328" s="48"/>
      <c r="F328" s="78"/>
      <c r="G328" s="46"/>
      <c r="H328" s="46"/>
      <c r="I328" s="46"/>
      <c r="J328" s="46"/>
      <c r="K328" s="46"/>
      <c r="L328" s="46"/>
      <c r="M328" s="46"/>
      <c r="N328" s="46"/>
      <c r="O328" s="46"/>
      <c r="P328" s="46"/>
      <c r="Q328" s="46"/>
      <c r="R328" s="46"/>
      <c r="S328" s="46"/>
      <c r="T328" s="79"/>
      <c r="U328" s="79"/>
      <c r="V328" s="46"/>
      <c r="W328" s="46"/>
      <c r="X328" s="46"/>
      <c r="Y328" s="79"/>
      <c r="Z328" s="79"/>
      <c r="AA328" s="80"/>
      <c r="AB328" s="78"/>
      <c r="AC328" s="46"/>
      <c r="AD328" s="46"/>
      <c r="AE328" s="46"/>
    </row>
    <row r="329" spans="5:31" x14ac:dyDescent="0.25">
      <c r="E329" s="48"/>
      <c r="F329" s="78"/>
      <c r="G329" s="46"/>
      <c r="H329" s="46"/>
      <c r="I329" s="46"/>
      <c r="J329" s="46"/>
      <c r="K329" s="46"/>
      <c r="L329" s="46"/>
      <c r="M329" s="46"/>
      <c r="N329" s="46"/>
      <c r="O329" s="46"/>
      <c r="P329" s="46"/>
      <c r="Q329" s="46"/>
      <c r="R329" s="46"/>
      <c r="S329" s="46"/>
      <c r="T329" s="79"/>
      <c r="U329" s="79"/>
      <c r="V329" s="46"/>
      <c r="W329" s="46"/>
      <c r="X329" s="46"/>
      <c r="Y329" s="79"/>
      <c r="Z329" s="79"/>
      <c r="AA329" s="80"/>
      <c r="AB329" s="78"/>
      <c r="AC329" s="46"/>
      <c r="AD329" s="46"/>
      <c r="AE329" s="46"/>
    </row>
    <row r="330" spans="5:31" x14ac:dyDescent="0.25">
      <c r="E330" s="48"/>
      <c r="F330" s="78"/>
      <c r="G330" s="46"/>
      <c r="H330" s="46"/>
      <c r="I330" s="46"/>
      <c r="J330" s="46"/>
      <c r="K330" s="46"/>
      <c r="L330" s="46"/>
      <c r="M330" s="46"/>
      <c r="N330" s="46"/>
      <c r="O330" s="46"/>
      <c r="P330" s="46"/>
      <c r="Q330" s="46"/>
      <c r="R330" s="46"/>
      <c r="S330" s="46"/>
      <c r="T330" s="79"/>
      <c r="U330" s="79"/>
      <c r="V330" s="46"/>
      <c r="W330" s="46"/>
      <c r="X330" s="46"/>
      <c r="Y330" s="79"/>
      <c r="Z330" s="79"/>
      <c r="AA330" s="80"/>
      <c r="AB330" s="78"/>
      <c r="AC330" s="46"/>
      <c r="AD330" s="46"/>
      <c r="AE330" s="46"/>
    </row>
    <row r="331" spans="5:31" x14ac:dyDescent="0.25">
      <c r="E331" s="48"/>
      <c r="F331" s="78"/>
      <c r="G331" s="46"/>
      <c r="H331" s="46"/>
      <c r="I331" s="46"/>
      <c r="J331" s="46"/>
      <c r="K331" s="46"/>
      <c r="L331" s="46"/>
      <c r="M331" s="46"/>
      <c r="N331" s="46"/>
      <c r="O331" s="46"/>
      <c r="P331" s="46"/>
      <c r="Q331" s="46"/>
      <c r="R331" s="46"/>
      <c r="S331" s="46"/>
      <c r="T331" s="79"/>
      <c r="U331" s="79"/>
      <c r="V331" s="46"/>
      <c r="W331" s="46"/>
      <c r="X331" s="46"/>
      <c r="Y331" s="79"/>
      <c r="Z331" s="79"/>
      <c r="AA331" s="80"/>
      <c r="AB331" s="78"/>
      <c r="AC331" s="46"/>
      <c r="AD331" s="46"/>
      <c r="AE331" s="46"/>
    </row>
    <row r="332" spans="5:31" x14ac:dyDescent="0.25">
      <c r="E332" s="48"/>
      <c r="F332" s="78"/>
      <c r="G332" s="46"/>
      <c r="H332" s="46"/>
      <c r="I332" s="46"/>
      <c r="J332" s="46"/>
      <c r="K332" s="46"/>
      <c r="L332" s="46"/>
      <c r="M332" s="46"/>
      <c r="N332" s="46"/>
      <c r="O332" s="46"/>
      <c r="P332" s="46"/>
      <c r="Q332" s="46"/>
      <c r="R332" s="46"/>
      <c r="S332" s="46"/>
      <c r="T332" s="79"/>
      <c r="U332" s="79"/>
      <c r="V332" s="46"/>
      <c r="W332" s="46"/>
      <c r="X332" s="46"/>
      <c r="Y332" s="79"/>
      <c r="Z332" s="79"/>
      <c r="AA332" s="80"/>
      <c r="AB332" s="78"/>
      <c r="AC332" s="46"/>
      <c r="AD332" s="46"/>
      <c r="AE332" s="46"/>
    </row>
    <row r="333" spans="5:31" x14ac:dyDescent="0.25">
      <c r="E333" s="48"/>
      <c r="F333" s="78"/>
      <c r="G333" s="46"/>
      <c r="H333" s="46"/>
      <c r="I333" s="46"/>
      <c r="J333" s="46"/>
      <c r="K333" s="46"/>
      <c r="L333" s="46"/>
      <c r="M333" s="46"/>
      <c r="N333" s="46"/>
      <c r="O333" s="46"/>
      <c r="P333" s="46"/>
      <c r="Q333" s="46"/>
      <c r="R333" s="46"/>
      <c r="S333" s="46"/>
      <c r="T333" s="79"/>
      <c r="U333" s="79"/>
      <c r="V333" s="46"/>
      <c r="W333" s="46"/>
      <c r="X333" s="46"/>
      <c r="Y333" s="79"/>
      <c r="Z333" s="79"/>
      <c r="AA333" s="80"/>
      <c r="AB333" s="78"/>
      <c r="AC333" s="46"/>
      <c r="AD333" s="46"/>
      <c r="AE333" s="46"/>
    </row>
    <row r="334" spans="5:31" x14ac:dyDescent="0.25">
      <c r="E334" s="48"/>
      <c r="F334" s="78"/>
      <c r="G334" s="46"/>
      <c r="H334" s="46"/>
      <c r="I334" s="46"/>
      <c r="J334" s="46"/>
      <c r="K334" s="46"/>
      <c r="L334" s="46"/>
      <c r="M334" s="46"/>
      <c r="N334" s="46"/>
      <c r="O334" s="46"/>
      <c r="P334" s="46"/>
      <c r="Q334" s="46"/>
      <c r="R334" s="46"/>
      <c r="S334" s="46"/>
      <c r="T334" s="79"/>
      <c r="U334" s="79"/>
      <c r="V334" s="46"/>
      <c r="W334" s="46"/>
      <c r="X334" s="46"/>
      <c r="Y334" s="79"/>
      <c r="Z334" s="79"/>
      <c r="AA334" s="80"/>
      <c r="AB334" s="78"/>
      <c r="AC334" s="46"/>
      <c r="AD334" s="46"/>
      <c r="AE334" s="46"/>
    </row>
    <row r="335" spans="5:31" x14ac:dyDescent="0.25">
      <c r="E335" s="48"/>
      <c r="F335" s="78"/>
      <c r="G335" s="46"/>
      <c r="H335" s="46"/>
      <c r="I335" s="46"/>
      <c r="J335" s="46"/>
      <c r="K335" s="46"/>
      <c r="L335" s="46"/>
      <c r="M335" s="46"/>
      <c r="N335" s="46"/>
      <c r="O335" s="46"/>
      <c r="P335" s="46"/>
      <c r="Q335" s="46"/>
      <c r="R335" s="46"/>
      <c r="S335" s="46"/>
      <c r="T335" s="79"/>
      <c r="U335" s="79"/>
      <c r="V335" s="46"/>
      <c r="W335" s="46"/>
      <c r="X335" s="46"/>
      <c r="Y335" s="79"/>
      <c r="Z335" s="79"/>
      <c r="AA335" s="80"/>
      <c r="AB335" s="78"/>
      <c r="AC335" s="46"/>
      <c r="AD335" s="46"/>
      <c r="AE335" s="46"/>
    </row>
    <row r="336" spans="5:31" x14ac:dyDescent="0.25">
      <c r="E336" s="48"/>
      <c r="F336" s="78"/>
      <c r="G336" s="46"/>
      <c r="H336" s="46"/>
      <c r="I336" s="46"/>
      <c r="J336" s="46"/>
      <c r="K336" s="46"/>
      <c r="L336" s="46"/>
      <c r="M336" s="46"/>
      <c r="N336" s="46"/>
      <c r="O336" s="46"/>
      <c r="P336" s="46"/>
      <c r="Q336" s="46"/>
      <c r="R336" s="46"/>
      <c r="S336" s="46"/>
      <c r="T336" s="79"/>
      <c r="U336" s="79"/>
      <c r="V336" s="46"/>
      <c r="W336" s="46"/>
      <c r="X336" s="46"/>
      <c r="Y336" s="79"/>
      <c r="Z336" s="79"/>
      <c r="AA336" s="80"/>
      <c r="AB336" s="78"/>
      <c r="AC336" s="46"/>
      <c r="AD336" s="46"/>
      <c r="AE336" s="46"/>
    </row>
    <row r="337" spans="5:31" x14ac:dyDescent="0.25">
      <c r="E337" s="48"/>
      <c r="F337" s="78"/>
      <c r="G337" s="46"/>
      <c r="H337" s="46"/>
      <c r="I337" s="46"/>
      <c r="J337" s="46"/>
      <c r="K337" s="46"/>
      <c r="L337" s="46"/>
      <c r="M337" s="46"/>
      <c r="N337" s="46"/>
      <c r="O337" s="46"/>
      <c r="P337" s="46"/>
      <c r="Q337" s="46"/>
      <c r="R337" s="46"/>
      <c r="S337" s="46"/>
      <c r="T337" s="79"/>
      <c r="U337" s="79"/>
      <c r="V337" s="46"/>
      <c r="W337" s="46"/>
      <c r="X337" s="46"/>
      <c r="Y337" s="79"/>
      <c r="Z337" s="79"/>
      <c r="AA337" s="80"/>
      <c r="AB337" s="78"/>
      <c r="AC337" s="46"/>
      <c r="AD337" s="46"/>
      <c r="AE337" s="46"/>
    </row>
    <row r="338" spans="5:31" x14ac:dyDescent="0.25">
      <c r="E338" s="48"/>
      <c r="F338" s="78"/>
      <c r="G338" s="46"/>
      <c r="H338" s="46"/>
      <c r="I338" s="46"/>
      <c r="J338" s="46"/>
      <c r="K338" s="46"/>
      <c r="L338" s="46"/>
      <c r="M338" s="46"/>
      <c r="N338" s="46"/>
      <c r="O338" s="46"/>
      <c r="P338" s="46"/>
      <c r="Q338" s="46"/>
      <c r="R338" s="46"/>
      <c r="S338" s="46"/>
      <c r="T338" s="79"/>
      <c r="U338" s="79"/>
      <c r="V338" s="46"/>
      <c r="W338" s="46"/>
      <c r="X338" s="46"/>
      <c r="Y338" s="79"/>
      <c r="Z338" s="79"/>
      <c r="AA338" s="80"/>
      <c r="AB338" s="78"/>
      <c r="AC338" s="46"/>
      <c r="AD338" s="46"/>
      <c r="AE338" s="46"/>
    </row>
    <row r="339" spans="5:31" x14ac:dyDescent="0.25">
      <c r="E339" s="48"/>
      <c r="F339" s="78"/>
      <c r="G339" s="46"/>
      <c r="H339" s="46"/>
      <c r="I339" s="46"/>
      <c r="J339" s="46"/>
      <c r="K339" s="46"/>
      <c r="L339" s="46"/>
      <c r="M339" s="46"/>
      <c r="N339" s="46"/>
      <c r="O339" s="46"/>
      <c r="P339" s="46"/>
      <c r="Q339" s="46"/>
      <c r="R339" s="46"/>
      <c r="S339" s="46"/>
      <c r="T339" s="79"/>
      <c r="U339" s="79"/>
      <c r="V339" s="46"/>
      <c r="W339" s="46"/>
      <c r="X339" s="46"/>
      <c r="Y339" s="79"/>
      <c r="Z339" s="79"/>
      <c r="AA339" s="80"/>
      <c r="AB339" s="78"/>
      <c r="AC339" s="46"/>
      <c r="AD339" s="46"/>
      <c r="AE339" s="46"/>
    </row>
    <row r="340" spans="5:31" x14ac:dyDescent="0.25">
      <c r="E340" s="48"/>
      <c r="F340" s="78"/>
      <c r="G340" s="46"/>
      <c r="H340" s="46"/>
      <c r="I340" s="46"/>
      <c r="J340" s="46"/>
      <c r="K340" s="46"/>
      <c r="L340" s="46"/>
      <c r="M340" s="46"/>
      <c r="N340" s="46"/>
      <c r="O340" s="46"/>
      <c r="P340" s="46"/>
      <c r="Q340" s="46"/>
      <c r="R340" s="46"/>
      <c r="S340" s="46"/>
      <c r="T340" s="79"/>
      <c r="U340" s="79"/>
      <c r="V340" s="46"/>
      <c r="W340" s="46"/>
      <c r="X340" s="46"/>
      <c r="Y340" s="79"/>
      <c r="Z340" s="79"/>
      <c r="AA340" s="80"/>
      <c r="AB340" s="78"/>
      <c r="AC340" s="46"/>
      <c r="AD340" s="46"/>
      <c r="AE340" s="46"/>
    </row>
    <row r="341" spans="5:31" x14ac:dyDescent="0.25">
      <c r="E341" s="48"/>
      <c r="F341" s="78"/>
      <c r="G341" s="46"/>
      <c r="H341" s="46"/>
      <c r="I341" s="46"/>
      <c r="J341" s="46"/>
      <c r="K341" s="46"/>
      <c r="L341" s="46"/>
      <c r="M341" s="46"/>
      <c r="N341" s="46"/>
      <c r="O341" s="46"/>
      <c r="P341" s="46"/>
      <c r="Q341" s="46"/>
      <c r="R341" s="46"/>
      <c r="S341" s="46"/>
      <c r="T341" s="79"/>
      <c r="U341" s="79"/>
      <c r="V341" s="46"/>
      <c r="W341" s="46"/>
      <c r="X341" s="46"/>
      <c r="Y341" s="79"/>
      <c r="Z341" s="79"/>
      <c r="AA341" s="80"/>
      <c r="AB341" s="78"/>
      <c r="AC341" s="46"/>
      <c r="AD341" s="46"/>
      <c r="AE341" s="46"/>
    </row>
    <row r="342" spans="5:31" x14ac:dyDescent="0.25">
      <c r="E342" s="48"/>
      <c r="F342" s="78"/>
      <c r="G342" s="46"/>
      <c r="H342" s="46"/>
      <c r="I342" s="46"/>
      <c r="J342" s="46"/>
      <c r="K342" s="46"/>
      <c r="L342" s="46"/>
      <c r="M342" s="46"/>
      <c r="N342" s="46"/>
      <c r="O342" s="46"/>
      <c r="P342" s="46"/>
      <c r="Q342" s="46"/>
      <c r="R342" s="46"/>
      <c r="S342" s="46"/>
      <c r="T342" s="79"/>
      <c r="U342" s="79"/>
      <c r="V342" s="46"/>
      <c r="W342" s="46"/>
      <c r="X342" s="46"/>
      <c r="Y342" s="79"/>
      <c r="Z342" s="79"/>
      <c r="AA342" s="80"/>
      <c r="AB342" s="78"/>
      <c r="AC342" s="46"/>
      <c r="AD342" s="46"/>
      <c r="AE342" s="46"/>
    </row>
    <row r="343" spans="5:31" x14ac:dyDescent="0.25">
      <c r="E343" s="48"/>
      <c r="F343" s="78"/>
      <c r="G343" s="46"/>
      <c r="H343" s="46"/>
      <c r="I343" s="46"/>
      <c r="J343" s="46"/>
      <c r="K343" s="46"/>
      <c r="L343" s="46"/>
      <c r="M343" s="46"/>
      <c r="N343" s="46"/>
      <c r="O343" s="46"/>
      <c r="P343" s="46"/>
      <c r="Q343" s="46"/>
      <c r="R343" s="46"/>
      <c r="S343" s="46"/>
      <c r="T343" s="79"/>
      <c r="U343" s="79"/>
      <c r="V343" s="46"/>
      <c r="W343" s="46"/>
      <c r="X343" s="46"/>
      <c r="Y343" s="79"/>
      <c r="Z343" s="79"/>
      <c r="AA343" s="80"/>
      <c r="AB343" s="78"/>
      <c r="AC343" s="46"/>
      <c r="AD343" s="46"/>
      <c r="AE343" s="46"/>
    </row>
    <row r="344" spans="5:31" x14ac:dyDescent="0.25">
      <c r="E344" s="48"/>
      <c r="F344" s="78"/>
      <c r="G344" s="46"/>
      <c r="H344" s="46"/>
      <c r="I344" s="46"/>
      <c r="J344" s="46"/>
      <c r="K344" s="46"/>
      <c r="L344" s="46"/>
      <c r="M344" s="46"/>
      <c r="N344" s="46"/>
      <c r="O344" s="46"/>
      <c r="P344" s="46"/>
      <c r="Q344" s="46"/>
      <c r="R344" s="46"/>
      <c r="S344" s="46"/>
      <c r="T344" s="79"/>
      <c r="U344" s="79"/>
      <c r="V344" s="46"/>
      <c r="W344" s="46"/>
      <c r="X344" s="46"/>
      <c r="Y344" s="79"/>
      <c r="Z344" s="79"/>
      <c r="AA344" s="80"/>
      <c r="AB344" s="78"/>
      <c r="AC344" s="46"/>
      <c r="AD344" s="46"/>
      <c r="AE344" s="46"/>
    </row>
    <row r="345" spans="5:31" x14ac:dyDescent="0.25">
      <c r="E345" s="48"/>
      <c r="F345" s="78"/>
      <c r="G345" s="46"/>
      <c r="H345" s="46"/>
      <c r="I345" s="46"/>
      <c r="J345" s="46"/>
      <c r="K345" s="46"/>
      <c r="L345" s="46"/>
      <c r="M345" s="46"/>
      <c r="N345" s="46"/>
      <c r="O345" s="46"/>
      <c r="P345" s="46"/>
      <c r="Q345" s="46"/>
      <c r="R345" s="46"/>
      <c r="S345" s="46"/>
      <c r="T345" s="79"/>
      <c r="U345" s="79"/>
      <c r="V345" s="46"/>
      <c r="W345" s="46"/>
      <c r="X345" s="46"/>
      <c r="Y345" s="79"/>
      <c r="Z345" s="79"/>
      <c r="AA345" s="80"/>
      <c r="AB345" s="78"/>
      <c r="AC345" s="46"/>
      <c r="AD345" s="46"/>
      <c r="AE345" s="46"/>
    </row>
    <row r="346" spans="5:31" x14ac:dyDescent="0.25">
      <c r="E346" s="48"/>
      <c r="F346" s="78"/>
      <c r="G346" s="46"/>
      <c r="H346" s="46"/>
      <c r="I346" s="46"/>
      <c r="J346" s="46"/>
      <c r="K346" s="46"/>
      <c r="L346" s="46"/>
      <c r="M346" s="46"/>
      <c r="N346" s="46"/>
      <c r="O346" s="46"/>
      <c r="P346" s="46"/>
      <c r="Q346" s="46"/>
      <c r="R346" s="46"/>
      <c r="S346" s="46"/>
      <c r="T346" s="79"/>
      <c r="U346" s="79"/>
      <c r="V346" s="46"/>
      <c r="W346" s="46"/>
      <c r="X346" s="46"/>
      <c r="Y346" s="79"/>
      <c r="Z346" s="79"/>
      <c r="AA346" s="80"/>
      <c r="AB346" s="78"/>
      <c r="AC346" s="46"/>
      <c r="AD346" s="46"/>
      <c r="AE346" s="46"/>
    </row>
    <row r="347" spans="5:31" x14ac:dyDescent="0.25">
      <c r="E347" s="48"/>
      <c r="F347" s="78"/>
      <c r="G347" s="46"/>
      <c r="H347" s="46"/>
      <c r="I347" s="46"/>
      <c r="J347" s="46"/>
      <c r="K347" s="46"/>
      <c r="L347" s="46"/>
      <c r="M347" s="46"/>
      <c r="N347" s="46"/>
      <c r="O347" s="46"/>
      <c r="P347" s="46"/>
      <c r="Q347" s="46"/>
      <c r="R347" s="46"/>
      <c r="S347" s="46"/>
      <c r="T347" s="79"/>
      <c r="U347" s="79"/>
      <c r="V347" s="46"/>
      <c r="W347" s="46"/>
      <c r="X347" s="46"/>
      <c r="Y347" s="79"/>
      <c r="Z347" s="79"/>
      <c r="AA347" s="80"/>
      <c r="AB347" s="78"/>
      <c r="AC347" s="46"/>
      <c r="AD347" s="46"/>
      <c r="AE347" s="46"/>
    </row>
    <row r="348" spans="5:31" x14ac:dyDescent="0.25">
      <c r="E348" s="48"/>
      <c r="F348" s="78"/>
      <c r="G348" s="46"/>
      <c r="H348" s="46"/>
      <c r="I348" s="46"/>
      <c r="J348" s="46"/>
      <c r="K348" s="46"/>
      <c r="L348" s="46"/>
      <c r="M348" s="46"/>
      <c r="N348" s="46"/>
      <c r="O348" s="46"/>
      <c r="P348" s="46"/>
      <c r="Q348" s="46"/>
      <c r="R348" s="46"/>
      <c r="S348" s="46"/>
      <c r="T348" s="79"/>
      <c r="U348" s="79"/>
      <c r="V348" s="46"/>
      <c r="W348" s="46"/>
      <c r="X348" s="46"/>
      <c r="Y348" s="79"/>
      <c r="Z348" s="79"/>
      <c r="AA348" s="80"/>
      <c r="AB348" s="78"/>
      <c r="AC348" s="46"/>
      <c r="AD348" s="46"/>
      <c r="AE348" s="46"/>
    </row>
    <row r="349" spans="5:31" x14ac:dyDescent="0.25">
      <c r="E349" s="48"/>
      <c r="F349" s="78"/>
      <c r="G349" s="46"/>
      <c r="H349" s="46"/>
      <c r="I349" s="46"/>
      <c r="J349" s="46"/>
      <c r="K349" s="46"/>
      <c r="L349" s="46"/>
      <c r="M349" s="46"/>
      <c r="N349" s="46"/>
      <c r="O349" s="46"/>
      <c r="P349" s="46"/>
      <c r="Q349" s="46"/>
      <c r="R349" s="46"/>
      <c r="S349" s="46"/>
      <c r="T349" s="79"/>
      <c r="U349" s="79"/>
      <c r="V349" s="46"/>
      <c r="W349" s="46"/>
      <c r="X349" s="46"/>
      <c r="Y349" s="79"/>
      <c r="Z349" s="79"/>
      <c r="AA349" s="80"/>
      <c r="AB349" s="78"/>
      <c r="AC349" s="46"/>
      <c r="AD349" s="46"/>
      <c r="AE349" s="46"/>
    </row>
    <row r="350" spans="5:31" x14ac:dyDescent="0.25">
      <c r="E350" s="125"/>
      <c r="F350" s="126"/>
      <c r="G350" s="127"/>
      <c r="H350" s="127"/>
      <c r="I350" s="127"/>
      <c r="J350" s="127"/>
      <c r="K350" s="127"/>
      <c r="L350" s="127"/>
      <c r="M350" s="127"/>
      <c r="N350" s="127"/>
      <c r="O350" s="127"/>
      <c r="P350" s="127"/>
      <c r="Q350" s="127"/>
      <c r="R350" s="127"/>
      <c r="S350" s="127"/>
      <c r="T350" s="128"/>
      <c r="U350" s="128"/>
      <c r="V350" s="127"/>
      <c r="W350" s="127"/>
      <c r="X350" s="127"/>
      <c r="Y350" s="128"/>
      <c r="Z350" s="128"/>
      <c r="AA350" s="129"/>
      <c r="AB350" s="126"/>
      <c r="AC350" s="127"/>
      <c r="AD350" s="127"/>
    </row>
    <row r="1048532" spans="23:23" x14ac:dyDescent="0.25">
      <c r="W1048532" s="28" t="s">
        <v>24</v>
      </c>
    </row>
  </sheetData>
  <autoFilter ref="A2:AG119" xr:uid="{00000000-0009-0000-0000-000003000000}"/>
  <mergeCells count="1">
    <mergeCell ref="AH1:AJ1"/>
  </mergeCells>
  <conditionalFormatting sqref="I3:I115">
    <cfRule type="cellIs" dxfId="32" priority="8" operator="equal">
      <formula>"OK"</formula>
    </cfRule>
    <cfRule type="cellIs" dxfId="31" priority="9" operator="equal">
      <formula>"DIFIERE"</formula>
    </cfRule>
  </conditionalFormatting>
  <conditionalFormatting sqref="C3:C115">
    <cfRule type="cellIs" dxfId="30" priority="7" operator="equal">
      <formula>"COD. REPETIDO"</formula>
    </cfRule>
  </conditionalFormatting>
  <conditionalFormatting sqref="I116">
    <cfRule type="cellIs" dxfId="29" priority="5" operator="equal">
      <formula>"OK"</formula>
    </cfRule>
    <cfRule type="cellIs" dxfId="28" priority="6" operator="equal">
      <formula>"DIFIERE"</formula>
    </cfRule>
  </conditionalFormatting>
  <conditionalFormatting sqref="C116">
    <cfRule type="cellIs" dxfId="27" priority="4" operator="equal">
      <formula>"COD. REPETIDO"</formula>
    </cfRule>
  </conditionalFormatting>
  <conditionalFormatting sqref="I117">
    <cfRule type="cellIs" dxfId="26" priority="2" operator="equal">
      <formula>"OK"</formula>
    </cfRule>
    <cfRule type="cellIs" dxfId="25" priority="3" operator="equal">
      <formula>"DIFIERE"</formula>
    </cfRule>
  </conditionalFormatting>
  <conditionalFormatting sqref="C117">
    <cfRule type="cellIs" dxfId="24" priority="1" operator="equal">
      <formula>"COD. REPETIDO"</formula>
    </cfRule>
  </conditionalFormatting>
  <pageMargins left="0.7" right="0.7" top="0.75" bottom="0.75" header="0.3" footer="0.3"/>
  <pageSetup paperSize="142"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1:BI187"/>
  <sheetViews>
    <sheetView zoomScaleNormal="100" workbookViewId="0">
      <selection activeCell="AL9" sqref="AL9"/>
    </sheetView>
  </sheetViews>
  <sheetFormatPr baseColWidth="10" defaultRowHeight="16.5" x14ac:dyDescent="0.3"/>
  <cols>
    <col min="1" max="1" width="11.42578125" style="9"/>
    <col min="2" max="2" width="12.140625" style="3" hidden="1" customWidth="1"/>
    <col min="3" max="3" width="0" style="3" hidden="1" customWidth="1"/>
    <col min="4" max="4" width="42.28515625" style="130" customWidth="1"/>
    <col min="5" max="5" width="14.42578125" style="5" bestFit="1" customWidth="1"/>
    <col min="6" max="6" width="27.5703125" style="130" hidden="1" customWidth="1"/>
    <col min="7" max="7" width="11.42578125" style="3" hidden="1" customWidth="1"/>
    <col min="8" max="8" width="12.140625" style="3" hidden="1" customWidth="1"/>
    <col min="9" max="9" width="13.5703125" style="3" hidden="1" customWidth="1"/>
    <col min="10" max="10" width="11.42578125" style="3" hidden="1" customWidth="1"/>
    <col min="11" max="13" width="9.28515625" style="3" hidden="1" customWidth="1"/>
    <col min="14" max="14" width="9.7109375" style="3" hidden="1" customWidth="1"/>
    <col min="15" max="15" width="9.28515625" style="3" hidden="1" customWidth="1"/>
    <col min="16" max="16" width="9.7109375" style="3" hidden="1" customWidth="1"/>
    <col min="17" max="17" width="9.28515625" style="3" hidden="1" customWidth="1"/>
    <col min="18" max="18" width="11.28515625" style="3" hidden="1" customWidth="1"/>
    <col min="19" max="21" width="26.85546875" style="9" hidden="1" customWidth="1"/>
    <col min="22" max="22" width="16.5703125" style="22" hidden="1" customWidth="1"/>
    <col min="23" max="23" width="16.42578125" style="30" hidden="1" customWidth="1"/>
    <col min="24" max="24" width="16.85546875" style="30" hidden="1" customWidth="1"/>
    <col min="25" max="25" width="16.42578125" style="29" hidden="1" customWidth="1"/>
    <col min="26" max="26" width="17.5703125" style="58" hidden="1" customWidth="1"/>
    <col min="27" max="27" width="28" style="146" hidden="1" customWidth="1"/>
    <col min="28" max="28" width="28" style="22" hidden="1" customWidth="1"/>
    <col min="29" max="30" width="0" style="9" hidden="1" customWidth="1"/>
    <col min="31" max="31" width="11.28515625" style="22" hidden="1" customWidth="1"/>
    <col min="32" max="16384" width="11.42578125" style="9"/>
  </cols>
  <sheetData>
    <row r="1" spans="1:34" ht="49.5" x14ac:dyDescent="0.3">
      <c r="T1" s="6" t="s">
        <v>0</v>
      </c>
      <c r="U1" s="7" t="s">
        <v>1</v>
      </c>
      <c r="V1" s="7" t="s">
        <v>2</v>
      </c>
      <c r="W1" s="6" t="s">
        <v>3</v>
      </c>
      <c r="X1" s="6" t="s">
        <v>4</v>
      </c>
      <c r="Y1" s="8" t="s">
        <v>5</v>
      </c>
      <c r="Z1" s="7" t="s">
        <v>6</v>
      </c>
      <c r="AA1" s="90" t="s">
        <v>7</v>
      </c>
      <c r="AB1" s="7" t="s">
        <v>8</v>
      </c>
      <c r="AE1" s="7" t="s">
        <v>9</v>
      </c>
      <c r="AF1" s="175" t="s">
        <v>9</v>
      </c>
      <c r="AG1" s="175"/>
      <c r="AH1" s="175"/>
    </row>
    <row r="2" spans="1:34" ht="66" x14ac:dyDescent="0.3">
      <c r="A2" s="17" t="s">
        <v>10</v>
      </c>
      <c r="B2" s="67" t="s">
        <v>11</v>
      </c>
      <c r="C2" s="67" t="s">
        <v>12</v>
      </c>
      <c r="D2" s="67" t="s">
        <v>13</v>
      </c>
      <c r="E2" s="67" t="s">
        <v>14</v>
      </c>
      <c r="F2" s="132" t="s">
        <v>15</v>
      </c>
      <c r="G2" s="60" t="s">
        <v>126</v>
      </c>
      <c r="H2" s="60" t="s">
        <v>127</v>
      </c>
      <c r="I2" s="60" t="s">
        <v>128</v>
      </c>
      <c r="J2" s="88" t="s">
        <v>129</v>
      </c>
      <c r="K2" s="66" t="s">
        <v>130</v>
      </c>
      <c r="L2" s="66" t="s">
        <v>131</v>
      </c>
      <c r="M2" s="66" t="s">
        <v>132</v>
      </c>
      <c r="N2" s="66" t="s">
        <v>133</v>
      </c>
      <c r="O2" s="66" t="s">
        <v>134</v>
      </c>
      <c r="P2" s="66" t="s">
        <v>135</v>
      </c>
      <c r="Q2" s="66" t="s">
        <v>136</v>
      </c>
      <c r="R2" s="66" t="s">
        <v>137</v>
      </c>
      <c r="S2" s="66" t="s">
        <v>138</v>
      </c>
      <c r="T2" s="67" t="s">
        <v>16</v>
      </c>
      <c r="U2" s="67" t="s">
        <v>16</v>
      </c>
      <c r="V2" s="67" t="s">
        <v>16</v>
      </c>
      <c r="W2" s="68" t="s">
        <v>16</v>
      </c>
      <c r="X2" s="6" t="s">
        <v>16</v>
      </c>
      <c r="Y2" s="20" t="s">
        <v>16</v>
      </c>
      <c r="Z2" s="7" t="s">
        <v>16</v>
      </c>
      <c r="AA2" s="90" t="s">
        <v>16</v>
      </c>
      <c r="AB2" s="7" t="s">
        <v>16</v>
      </c>
      <c r="AE2" s="7" t="s">
        <v>172</v>
      </c>
      <c r="AF2" s="133" t="s">
        <v>16</v>
      </c>
      <c r="AG2" s="133" t="s">
        <v>173</v>
      </c>
      <c r="AH2" s="133" t="s">
        <v>19</v>
      </c>
    </row>
    <row r="3" spans="1:34" ht="33" x14ac:dyDescent="0.3">
      <c r="A3" s="22">
        <v>1</v>
      </c>
      <c r="B3" s="23">
        <v>1043512106</v>
      </c>
      <c r="C3" s="24" t="s">
        <v>20</v>
      </c>
      <c r="D3" s="117" t="s">
        <v>370</v>
      </c>
      <c r="E3" s="26" t="s">
        <v>22</v>
      </c>
      <c r="F3" s="114" t="s">
        <v>370</v>
      </c>
      <c r="G3" s="26" t="e">
        <v>#N/A</v>
      </c>
      <c r="H3" s="26" t="e">
        <v>#N/A</v>
      </c>
      <c r="I3" s="26" t="s">
        <v>20</v>
      </c>
      <c r="J3" s="70">
        <v>3386.75</v>
      </c>
      <c r="K3" s="71">
        <v>24</v>
      </c>
      <c r="L3" s="71">
        <v>43</v>
      </c>
      <c r="M3" s="71">
        <v>86</v>
      </c>
      <c r="N3" s="71">
        <v>7.166666666666667</v>
      </c>
      <c r="O3" s="71">
        <v>0</v>
      </c>
      <c r="P3" s="71">
        <v>0</v>
      </c>
      <c r="Q3" s="71">
        <v>0</v>
      </c>
      <c r="R3" s="71">
        <v>0</v>
      </c>
      <c r="S3" s="134"/>
      <c r="T3" s="134" t="s">
        <v>176</v>
      </c>
      <c r="U3" s="134" t="s">
        <v>176</v>
      </c>
      <c r="V3" s="22" t="s">
        <v>25</v>
      </c>
      <c r="W3" s="30">
        <v>9900</v>
      </c>
      <c r="X3" s="30">
        <v>2700</v>
      </c>
      <c r="Y3" s="29" t="s">
        <v>25</v>
      </c>
      <c r="Z3" s="29" t="s">
        <v>24</v>
      </c>
      <c r="AA3" s="94">
        <v>4666</v>
      </c>
      <c r="AB3" s="22" t="s">
        <v>176</v>
      </c>
      <c r="AE3" s="29">
        <f>MIN(T3:AB3)</f>
        <v>2700</v>
      </c>
      <c r="AF3" s="29">
        <v>5755.333333333333</v>
      </c>
      <c r="AG3" s="29">
        <v>1093.5133333333333</v>
      </c>
      <c r="AH3" s="29">
        <v>6848.8466666666664</v>
      </c>
    </row>
    <row r="4" spans="1:34" x14ac:dyDescent="0.3">
      <c r="A4" s="22">
        <v>2</v>
      </c>
      <c r="B4" s="23">
        <v>1043512110</v>
      </c>
      <c r="C4" s="24" t="s">
        <v>20</v>
      </c>
      <c r="D4" s="117" t="s">
        <v>371</v>
      </c>
      <c r="E4" s="26" t="s">
        <v>22</v>
      </c>
      <c r="F4" s="114" t="s">
        <v>371</v>
      </c>
      <c r="G4" s="26" t="e">
        <v>#N/A</v>
      </c>
      <c r="H4" s="26" t="e">
        <v>#N/A</v>
      </c>
      <c r="I4" s="26" t="s">
        <v>20</v>
      </c>
      <c r="J4" s="70">
        <v>8002.75</v>
      </c>
      <c r="K4" s="71">
        <v>0</v>
      </c>
      <c r="L4" s="71">
        <v>31</v>
      </c>
      <c r="M4" s="71">
        <v>56</v>
      </c>
      <c r="N4" s="71">
        <v>4.666666666666667</v>
      </c>
      <c r="O4" s="71">
        <v>0</v>
      </c>
      <c r="P4" s="71">
        <v>0</v>
      </c>
      <c r="Q4" s="71">
        <v>0</v>
      </c>
      <c r="R4" s="71">
        <v>0</v>
      </c>
      <c r="S4" s="134"/>
      <c r="T4" s="134" t="s">
        <v>176</v>
      </c>
      <c r="U4" s="134" t="s">
        <v>176</v>
      </c>
      <c r="V4" s="22" t="s">
        <v>25</v>
      </c>
      <c r="W4" s="30">
        <v>12900</v>
      </c>
      <c r="X4" s="30">
        <v>4200</v>
      </c>
      <c r="Y4" s="29" t="s">
        <v>25</v>
      </c>
      <c r="Z4" s="29" t="s">
        <v>24</v>
      </c>
      <c r="AA4" s="94">
        <v>6221</v>
      </c>
      <c r="AB4" s="22" t="s">
        <v>176</v>
      </c>
      <c r="AE4" s="29">
        <f t="shared" ref="AE4:AE60" si="0">MIN(T4:AB4)</f>
        <v>4200</v>
      </c>
      <c r="AF4" s="29">
        <v>7773.666666666667</v>
      </c>
      <c r="AG4" s="29">
        <v>1476.9966666666669</v>
      </c>
      <c r="AH4" s="29">
        <v>9250.6633333333339</v>
      </c>
    </row>
    <row r="5" spans="1:34" x14ac:dyDescent="0.3">
      <c r="A5" s="22">
        <v>3</v>
      </c>
      <c r="B5" s="23">
        <v>1043295604</v>
      </c>
      <c r="C5" s="24" t="s">
        <v>20</v>
      </c>
      <c r="D5" s="117" t="s">
        <v>372</v>
      </c>
      <c r="E5" s="26" t="s">
        <v>22</v>
      </c>
      <c r="F5" s="114" t="s">
        <v>372</v>
      </c>
      <c r="G5" s="26" t="e">
        <v>#N/A</v>
      </c>
      <c r="H5" s="26" t="e">
        <v>#N/A</v>
      </c>
      <c r="I5" s="26" t="s">
        <v>20</v>
      </c>
      <c r="J5" s="70">
        <v>8002.8</v>
      </c>
      <c r="K5" s="71">
        <v>0</v>
      </c>
      <c r="L5" s="71">
        <v>0</v>
      </c>
      <c r="M5" s="71">
        <v>15</v>
      </c>
      <c r="N5" s="71">
        <v>1.25</v>
      </c>
      <c r="O5" s="71">
        <v>55</v>
      </c>
      <c r="P5" s="71">
        <v>4.583333333333333</v>
      </c>
      <c r="Q5" s="71">
        <v>0</v>
      </c>
      <c r="R5" s="71">
        <v>0</v>
      </c>
      <c r="S5" s="134"/>
      <c r="T5" s="134" t="s">
        <v>176</v>
      </c>
      <c r="U5" s="134" t="s">
        <v>176</v>
      </c>
      <c r="V5" s="22" t="s">
        <v>25</v>
      </c>
      <c r="W5" s="30">
        <v>16600</v>
      </c>
      <c r="X5" s="30">
        <v>5500</v>
      </c>
      <c r="Y5" s="29" t="s">
        <v>25</v>
      </c>
      <c r="Z5" s="29" t="s">
        <v>24</v>
      </c>
      <c r="AA5" s="94">
        <v>8813</v>
      </c>
      <c r="AB5" s="22" t="s">
        <v>176</v>
      </c>
      <c r="AE5" s="29">
        <f t="shared" si="0"/>
        <v>5500</v>
      </c>
      <c r="AF5" s="29">
        <v>10304.333333333334</v>
      </c>
      <c r="AG5" s="29">
        <v>1957.8233333333335</v>
      </c>
      <c r="AH5" s="29">
        <v>12262.156666666668</v>
      </c>
    </row>
    <row r="6" spans="1:34" ht="49.5" x14ac:dyDescent="0.3">
      <c r="A6" s="22">
        <v>4</v>
      </c>
      <c r="B6" s="31">
        <v>1104010239</v>
      </c>
      <c r="C6" s="24"/>
      <c r="D6" s="117" t="s">
        <v>373</v>
      </c>
      <c r="E6" s="26" t="s">
        <v>66</v>
      </c>
      <c r="F6" s="117" t="s">
        <v>373</v>
      </c>
      <c r="G6" s="26"/>
      <c r="H6" s="26"/>
      <c r="I6" s="26"/>
      <c r="J6" s="70"/>
      <c r="K6" s="71"/>
      <c r="L6" s="71"/>
      <c r="M6" s="71"/>
      <c r="N6" s="71"/>
      <c r="O6" s="71"/>
      <c r="P6" s="71"/>
      <c r="Q6" s="71"/>
      <c r="R6" s="71"/>
      <c r="S6" s="134"/>
      <c r="T6" s="106">
        <v>29900</v>
      </c>
      <c r="U6" s="106">
        <v>19500</v>
      </c>
      <c r="V6" s="22" t="s">
        <v>25</v>
      </c>
      <c r="W6" s="30" t="s">
        <v>25</v>
      </c>
      <c r="X6" s="30" t="s">
        <v>25</v>
      </c>
      <c r="Y6" s="29" t="s">
        <v>25</v>
      </c>
      <c r="Z6" s="29" t="s">
        <v>24</v>
      </c>
      <c r="AA6" s="29" t="s">
        <v>24</v>
      </c>
      <c r="AB6" s="30">
        <v>11010</v>
      </c>
      <c r="AE6" s="29">
        <f t="shared" si="0"/>
        <v>11010</v>
      </c>
      <c r="AF6" s="135">
        <v>20136.666666666668</v>
      </c>
      <c r="AG6" s="29">
        <v>3825.9666666666667</v>
      </c>
      <c r="AH6" s="29">
        <v>23962.633333333335</v>
      </c>
    </row>
    <row r="7" spans="1:34" ht="33" x14ac:dyDescent="0.3">
      <c r="A7" s="22">
        <v>5</v>
      </c>
      <c r="B7" s="31">
        <v>1104010239</v>
      </c>
      <c r="C7" s="24"/>
      <c r="D7" s="117" t="s">
        <v>374</v>
      </c>
      <c r="E7" s="26" t="s">
        <v>66</v>
      </c>
      <c r="F7" s="117" t="s">
        <v>374</v>
      </c>
      <c r="G7" s="26"/>
      <c r="H7" s="26"/>
      <c r="I7" s="26"/>
      <c r="J7" s="70"/>
      <c r="K7" s="71"/>
      <c r="L7" s="71"/>
      <c r="M7" s="71"/>
      <c r="N7" s="71"/>
      <c r="O7" s="71"/>
      <c r="P7" s="71"/>
      <c r="Q7" s="71"/>
      <c r="R7" s="71"/>
      <c r="S7" s="134"/>
      <c r="T7" s="134" t="s">
        <v>176</v>
      </c>
      <c r="U7" s="134" t="s">
        <v>176</v>
      </c>
      <c r="V7" s="22" t="s">
        <v>25</v>
      </c>
      <c r="W7" s="30">
        <v>38900</v>
      </c>
      <c r="X7" s="30" t="s">
        <v>25</v>
      </c>
      <c r="Y7" s="29" t="s">
        <v>25</v>
      </c>
      <c r="Z7" s="29" t="s">
        <v>24</v>
      </c>
      <c r="AA7" s="29" t="s">
        <v>24</v>
      </c>
      <c r="AB7" s="22" t="s">
        <v>176</v>
      </c>
      <c r="AE7" s="29">
        <f t="shared" si="0"/>
        <v>38900</v>
      </c>
      <c r="AF7" s="29">
        <v>38900</v>
      </c>
      <c r="AG7" s="29">
        <v>7391</v>
      </c>
      <c r="AH7" s="29">
        <v>46291</v>
      </c>
    </row>
    <row r="8" spans="1:34" x14ac:dyDescent="0.3">
      <c r="A8" s="22">
        <v>6</v>
      </c>
      <c r="B8" s="23">
        <v>1237690656</v>
      </c>
      <c r="C8" s="24" t="s">
        <v>20</v>
      </c>
      <c r="D8" s="117" t="s">
        <v>375</v>
      </c>
      <c r="E8" s="26" t="s">
        <v>66</v>
      </c>
      <c r="F8" s="114" t="s">
        <v>376</v>
      </c>
      <c r="G8" s="26" t="e">
        <v>#N/A</v>
      </c>
      <c r="H8" s="26" t="e">
        <v>#N/A</v>
      </c>
      <c r="I8" s="26" t="s">
        <v>20</v>
      </c>
      <c r="J8" s="70">
        <v>3454.96</v>
      </c>
      <c r="K8" s="71">
        <v>0</v>
      </c>
      <c r="L8" s="71">
        <v>3</v>
      </c>
      <c r="M8" s="71">
        <v>1</v>
      </c>
      <c r="N8" s="71">
        <v>8.3333333333333329E-2</v>
      </c>
      <c r="O8" s="71">
        <v>5</v>
      </c>
      <c r="P8" s="71">
        <v>0.41666666666666669</v>
      </c>
      <c r="Q8" s="71">
        <v>0</v>
      </c>
      <c r="R8" s="71">
        <v>0</v>
      </c>
      <c r="S8" s="134"/>
      <c r="T8" s="134" t="s">
        <v>176</v>
      </c>
      <c r="U8" s="134" t="s">
        <v>176</v>
      </c>
      <c r="V8" s="22" t="s">
        <v>25</v>
      </c>
      <c r="W8" s="30">
        <v>12900</v>
      </c>
      <c r="X8" s="30" t="s">
        <v>25</v>
      </c>
      <c r="Y8" s="29" t="s">
        <v>25</v>
      </c>
      <c r="Z8" s="29" t="s">
        <v>24</v>
      </c>
      <c r="AA8" s="29">
        <v>19301</v>
      </c>
      <c r="AB8" s="22" t="s">
        <v>176</v>
      </c>
      <c r="AE8" s="29">
        <f t="shared" si="0"/>
        <v>12900</v>
      </c>
      <c r="AF8" s="29">
        <v>16100.5</v>
      </c>
      <c r="AG8" s="29">
        <v>3059.0949999999998</v>
      </c>
      <c r="AH8" s="29">
        <v>19159.595000000001</v>
      </c>
    </row>
    <row r="9" spans="1:34" x14ac:dyDescent="0.3">
      <c r="A9" s="22">
        <v>7</v>
      </c>
      <c r="B9" s="23">
        <v>1128529109</v>
      </c>
      <c r="C9" s="24" t="s">
        <v>20</v>
      </c>
      <c r="D9" s="117" t="s">
        <v>377</v>
      </c>
      <c r="E9" s="26" t="s">
        <v>175</v>
      </c>
      <c r="F9" s="114" t="s">
        <v>377</v>
      </c>
      <c r="G9" s="26" t="e">
        <v>#N/A</v>
      </c>
      <c r="H9" s="26" t="e">
        <v>#N/A</v>
      </c>
      <c r="I9" s="26" t="s">
        <v>20</v>
      </c>
      <c r="J9" s="70">
        <v>15076.11</v>
      </c>
      <c r="K9" s="71">
        <v>0</v>
      </c>
      <c r="L9" s="71">
        <v>0</v>
      </c>
      <c r="M9" s="71">
        <v>0</v>
      </c>
      <c r="N9" s="71">
        <v>0</v>
      </c>
      <c r="O9" s="71">
        <v>7</v>
      </c>
      <c r="P9" s="71">
        <v>0.58333333333333337</v>
      </c>
      <c r="Q9" s="71">
        <v>0</v>
      </c>
      <c r="R9" s="71">
        <v>3</v>
      </c>
      <c r="S9" s="134"/>
      <c r="T9" s="134" t="s">
        <v>176</v>
      </c>
      <c r="U9" s="134" t="s">
        <v>176</v>
      </c>
      <c r="V9" s="22" t="s">
        <v>25</v>
      </c>
      <c r="W9" s="30" t="s">
        <v>25</v>
      </c>
      <c r="X9" s="30" t="s">
        <v>25</v>
      </c>
      <c r="Y9" s="29" t="s">
        <v>25</v>
      </c>
      <c r="Z9" s="29" t="s">
        <v>24</v>
      </c>
      <c r="AA9" s="29">
        <v>11924</v>
      </c>
      <c r="AB9" s="22" t="s">
        <v>176</v>
      </c>
      <c r="AE9" s="29">
        <f t="shared" si="0"/>
        <v>11924</v>
      </c>
      <c r="AF9" s="29">
        <v>11924</v>
      </c>
      <c r="AG9" s="29">
        <v>2265.56</v>
      </c>
      <c r="AH9" s="29">
        <v>14189.56</v>
      </c>
    </row>
    <row r="10" spans="1:34" x14ac:dyDescent="0.3">
      <c r="A10" s="22">
        <v>8</v>
      </c>
      <c r="B10" s="23">
        <v>1104010111</v>
      </c>
      <c r="C10" s="24" t="s">
        <v>20</v>
      </c>
      <c r="D10" s="117" t="s">
        <v>378</v>
      </c>
      <c r="E10" s="26" t="s">
        <v>22</v>
      </c>
      <c r="F10" s="114" t="s">
        <v>379</v>
      </c>
      <c r="G10" s="26" t="e">
        <v>#N/A</v>
      </c>
      <c r="H10" s="26" t="e">
        <v>#N/A</v>
      </c>
      <c r="I10" s="26" t="s">
        <v>20</v>
      </c>
      <c r="J10" s="70">
        <v>18978.099999999999</v>
      </c>
      <c r="K10" s="71">
        <v>0</v>
      </c>
      <c r="L10" s="71">
        <v>0</v>
      </c>
      <c r="M10" s="71">
        <v>0</v>
      </c>
      <c r="N10" s="71">
        <v>0</v>
      </c>
      <c r="O10" s="71">
        <v>6</v>
      </c>
      <c r="P10" s="71">
        <v>0.5</v>
      </c>
      <c r="Q10" s="71">
        <v>0</v>
      </c>
      <c r="R10" s="71">
        <v>1</v>
      </c>
      <c r="S10" s="134"/>
      <c r="T10" s="106">
        <v>26900</v>
      </c>
      <c r="U10" s="134" t="s">
        <v>176</v>
      </c>
      <c r="V10" s="22" t="s">
        <v>25</v>
      </c>
      <c r="W10" s="30" t="s">
        <v>25</v>
      </c>
      <c r="X10" s="30" t="s">
        <v>25</v>
      </c>
      <c r="Y10" s="29" t="s">
        <v>25</v>
      </c>
      <c r="Z10" s="29" t="s">
        <v>24</v>
      </c>
      <c r="AA10" s="29" t="s">
        <v>24</v>
      </c>
      <c r="AB10" s="22" t="s">
        <v>24</v>
      </c>
      <c r="AE10" s="29">
        <f t="shared" si="0"/>
        <v>26900</v>
      </c>
      <c r="AF10" s="57">
        <v>26900</v>
      </c>
      <c r="AG10" s="29">
        <v>5111</v>
      </c>
      <c r="AH10" s="29">
        <v>32011</v>
      </c>
    </row>
    <row r="11" spans="1:34" ht="33" x14ac:dyDescent="0.3">
      <c r="A11" s="22">
        <v>9</v>
      </c>
      <c r="B11" s="23">
        <v>1104010325</v>
      </c>
      <c r="C11" s="24" t="s">
        <v>20</v>
      </c>
      <c r="D11" s="117" t="s">
        <v>254</v>
      </c>
      <c r="E11" s="26" t="s">
        <v>66</v>
      </c>
      <c r="F11" s="114" t="s">
        <v>254</v>
      </c>
      <c r="G11" s="26" t="e">
        <v>#N/A</v>
      </c>
      <c r="H11" s="26" t="e">
        <v>#N/A</v>
      </c>
      <c r="I11" s="26" t="s">
        <v>20</v>
      </c>
      <c r="J11" s="70">
        <v>1004.36</v>
      </c>
      <c r="K11" s="71">
        <v>337</v>
      </c>
      <c r="L11" s="71">
        <v>487</v>
      </c>
      <c r="M11" s="71">
        <v>378</v>
      </c>
      <c r="N11" s="71">
        <v>31.5</v>
      </c>
      <c r="O11" s="71">
        <v>459</v>
      </c>
      <c r="P11" s="71">
        <v>38.25</v>
      </c>
      <c r="Q11" s="71">
        <v>0</v>
      </c>
      <c r="R11" s="71">
        <v>196</v>
      </c>
      <c r="S11" s="134"/>
      <c r="T11" s="106">
        <v>9900</v>
      </c>
      <c r="U11" s="106">
        <v>5000</v>
      </c>
      <c r="V11" s="22" t="s">
        <v>25</v>
      </c>
      <c r="W11" s="30" t="s">
        <v>25</v>
      </c>
      <c r="X11" s="30" t="s">
        <v>25</v>
      </c>
      <c r="Y11" s="29" t="s">
        <v>25</v>
      </c>
      <c r="Z11" s="29" t="s">
        <v>24</v>
      </c>
      <c r="AA11" s="29" t="s">
        <v>24</v>
      </c>
      <c r="AB11" s="30">
        <v>6797</v>
      </c>
      <c r="AE11" s="29">
        <f t="shared" si="0"/>
        <v>5000</v>
      </c>
      <c r="AF11" s="41">
        <v>7232.333333333333</v>
      </c>
      <c r="AG11" s="29">
        <v>1374.1433333333332</v>
      </c>
      <c r="AH11" s="29">
        <v>8606.4766666666656</v>
      </c>
    </row>
    <row r="12" spans="1:34" ht="33" x14ac:dyDescent="0.3">
      <c r="A12" s="22">
        <v>10</v>
      </c>
      <c r="B12" s="23">
        <v>1125561126</v>
      </c>
      <c r="C12" s="24" t="s">
        <v>20</v>
      </c>
      <c r="D12" s="117" t="s">
        <v>380</v>
      </c>
      <c r="E12" s="26" t="s">
        <v>22</v>
      </c>
      <c r="F12" s="114" t="s">
        <v>380</v>
      </c>
      <c r="G12" s="26" t="e">
        <v>#N/A</v>
      </c>
      <c r="H12" s="26" t="e">
        <v>#N/A</v>
      </c>
      <c r="I12" s="26" t="s">
        <v>20</v>
      </c>
      <c r="J12" s="70">
        <v>22601.040000000001</v>
      </c>
      <c r="K12" s="71">
        <v>0</v>
      </c>
      <c r="L12" s="71">
        <v>0</v>
      </c>
      <c r="M12" s="71">
        <v>0</v>
      </c>
      <c r="N12" s="71">
        <v>0</v>
      </c>
      <c r="O12" s="71">
        <v>5</v>
      </c>
      <c r="P12" s="71">
        <v>0.41666666666666669</v>
      </c>
      <c r="Q12" s="71">
        <v>0</v>
      </c>
      <c r="R12" s="71">
        <v>0</v>
      </c>
      <c r="S12" s="134"/>
      <c r="T12" s="134" t="s">
        <v>176</v>
      </c>
      <c r="U12" s="134" t="s">
        <v>176</v>
      </c>
      <c r="V12" s="22" t="s">
        <v>25</v>
      </c>
      <c r="W12" s="30" t="s">
        <v>25</v>
      </c>
      <c r="X12" s="30" t="s">
        <v>25</v>
      </c>
      <c r="Y12" s="29">
        <v>21000</v>
      </c>
      <c r="Z12" s="29" t="s">
        <v>24</v>
      </c>
      <c r="AA12" s="29" t="s">
        <v>24</v>
      </c>
      <c r="AB12" s="22" t="s">
        <v>176</v>
      </c>
      <c r="AE12" s="29">
        <f t="shared" si="0"/>
        <v>21000</v>
      </c>
      <c r="AF12" s="29">
        <v>21000</v>
      </c>
      <c r="AG12" s="29">
        <v>3990</v>
      </c>
      <c r="AH12" s="29">
        <v>24990</v>
      </c>
    </row>
    <row r="13" spans="1:34" ht="33" x14ac:dyDescent="0.3">
      <c r="A13" s="22">
        <v>11</v>
      </c>
      <c r="B13" s="23">
        <v>1043205002</v>
      </c>
      <c r="C13" s="24" t="s">
        <v>20</v>
      </c>
      <c r="D13" s="117" t="s">
        <v>381</v>
      </c>
      <c r="E13" s="26" t="s">
        <v>22</v>
      </c>
      <c r="F13" s="114" t="s">
        <v>381</v>
      </c>
      <c r="G13" s="26" t="e">
        <v>#N/A</v>
      </c>
      <c r="H13" s="26" t="e">
        <v>#N/A</v>
      </c>
      <c r="I13" s="26" t="s">
        <v>20</v>
      </c>
      <c r="J13" s="70">
        <v>20111</v>
      </c>
      <c r="K13" s="71">
        <v>0</v>
      </c>
      <c r="L13" s="71">
        <v>0</v>
      </c>
      <c r="M13" s="71">
        <v>35</v>
      </c>
      <c r="N13" s="71">
        <v>2.9166666666666665</v>
      </c>
      <c r="O13" s="71">
        <v>0</v>
      </c>
      <c r="P13" s="71">
        <v>0</v>
      </c>
      <c r="Q13" s="71">
        <v>0</v>
      </c>
      <c r="R13" s="71">
        <v>0</v>
      </c>
      <c r="S13" s="134"/>
      <c r="T13" s="134" t="s">
        <v>176</v>
      </c>
      <c r="U13" s="134" t="s">
        <v>176</v>
      </c>
      <c r="V13" s="22" t="s">
        <v>25</v>
      </c>
      <c r="W13" s="30" t="s">
        <v>25</v>
      </c>
      <c r="X13" s="30" t="s">
        <v>25</v>
      </c>
      <c r="Y13" s="29" t="s">
        <v>25</v>
      </c>
      <c r="Z13" s="29" t="s">
        <v>24</v>
      </c>
      <c r="AA13" s="29">
        <v>23848</v>
      </c>
      <c r="AB13" s="22" t="s">
        <v>176</v>
      </c>
      <c r="AE13" s="29">
        <f t="shared" si="0"/>
        <v>23848</v>
      </c>
      <c r="AF13" s="29">
        <v>23848</v>
      </c>
      <c r="AG13" s="29">
        <v>4531.12</v>
      </c>
      <c r="AH13" s="29">
        <v>28379.119999999999</v>
      </c>
    </row>
    <row r="14" spans="1:34" x14ac:dyDescent="0.3">
      <c r="A14" s="22">
        <v>12</v>
      </c>
      <c r="B14" s="23">
        <v>1042099149</v>
      </c>
      <c r="C14" s="24" t="s">
        <v>20</v>
      </c>
      <c r="D14" s="117" t="s">
        <v>382</v>
      </c>
      <c r="E14" s="26" t="s">
        <v>90</v>
      </c>
      <c r="F14" s="114" t="s">
        <v>382</v>
      </c>
      <c r="G14" s="26" t="e">
        <v>#N/A</v>
      </c>
      <c r="H14" s="26" t="e">
        <v>#N/A</v>
      </c>
      <c r="I14" s="26" t="s">
        <v>20</v>
      </c>
      <c r="J14" s="70">
        <v>51213.97</v>
      </c>
      <c r="K14" s="71">
        <v>0</v>
      </c>
      <c r="L14" s="71">
        <v>12</v>
      </c>
      <c r="M14" s="71">
        <v>59</v>
      </c>
      <c r="N14" s="71">
        <v>4.916666666666667</v>
      </c>
      <c r="O14" s="71">
        <v>8</v>
      </c>
      <c r="P14" s="71">
        <v>0.66666666666666663</v>
      </c>
      <c r="Q14" s="71">
        <v>0</v>
      </c>
      <c r="R14" s="71">
        <v>12</v>
      </c>
      <c r="S14" s="134"/>
      <c r="T14" s="134" t="s">
        <v>176</v>
      </c>
      <c r="U14" s="134" t="s">
        <v>176</v>
      </c>
      <c r="V14" s="22" t="s">
        <v>25</v>
      </c>
      <c r="W14" s="30">
        <v>40900</v>
      </c>
      <c r="X14" s="30" t="s">
        <v>25</v>
      </c>
      <c r="Y14" s="29" t="s">
        <v>25</v>
      </c>
      <c r="Z14" s="29" t="s">
        <v>24</v>
      </c>
      <c r="AA14" s="29" t="s">
        <v>24</v>
      </c>
      <c r="AB14" s="22" t="s">
        <v>176</v>
      </c>
      <c r="AE14" s="29">
        <f t="shared" si="0"/>
        <v>40900</v>
      </c>
      <c r="AF14" s="29">
        <v>40900</v>
      </c>
      <c r="AG14" s="29">
        <v>7771</v>
      </c>
      <c r="AH14" s="29">
        <v>48671</v>
      </c>
    </row>
    <row r="15" spans="1:34" x14ac:dyDescent="0.3">
      <c r="A15" s="22">
        <v>13</v>
      </c>
      <c r="B15" s="23">
        <v>1111000402</v>
      </c>
      <c r="C15" s="24" t="s">
        <v>20</v>
      </c>
      <c r="D15" s="117" t="s">
        <v>383</v>
      </c>
      <c r="E15" s="26" t="s">
        <v>22</v>
      </c>
      <c r="F15" s="114" t="s">
        <v>383</v>
      </c>
      <c r="G15" s="26" t="e">
        <v>#N/A</v>
      </c>
      <c r="H15" s="26" t="e">
        <v>#N/A</v>
      </c>
      <c r="I15" s="26" t="s">
        <v>20</v>
      </c>
      <c r="J15" s="70">
        <v>1</v>
      </c>
      <c r="K15" s="71">
        <v>0</v>
      </c>
      <c r="L15" s="71">
        <v>0</v>
      </c>
      <c r="M15" s="71">
        <v>0</v>
      </c>
      <c r="N15" s="71">
        <v>0</v>
      </c>
      <c r="O15" s="71">
        <v>0</v>
      </c>
      <c r="P15" s="71">
        <v>0</v>
      </c>
      <c r="Q15" s="71">
        <v>0</v>
      </c>
      <c r="R15" s="71">
        <v>0</v>
      </c>
      <c r="S15" s="134"/>
      <c r="T15" s="134" t="s">
        <v>176</v>
      </c>
      <c r="U15" s="134" t="s">
        <v>176</v>
      </c>
      <c r="V15" s="22" t="s">
        <v>25</v>
      </c>
      <c r="W15" s="30" t="s">
        <v>25</v>
      </c>
      <c r="X15" s="30" t="s">
        <v>25</v>
      </c>
      <c r="Y15" s="29">
        <v>6060</v>
      </c>
      <c r="Z15" s="29" t="s">
        <v>24</v>
      </c>
      <c r="AA15" s="29">
        <v>22346</v>
      </c>
      <c r="AB15" s="22" t="s">
        <v>176</v>
      </c>
      <c r="AE15" s="29">
        <f t="shared" si="0"/>
        <v>6060</v>
      </c>
      <c r="AF15" s="29">
        <v>14203</v>
      </c>
      <c r="AG15" s="29">
        <v>2698.57</v>
      </c>
      <c r="AH15" s="29">
        <v>16901.57</v>
      </c>
    </row>
    <row r="16" spans="1:34" x14ac:dyDescent="0.3">
      <c r="A16" s="22">
        <v>14</v>
      </c>
      <c r="B16" s="23">
        <v>1111000403</v>
      </c>
      <c r="C16" s="24" t="s">
        <v>20</v>
      </c>
      <c r="D16" s="117" t="s">
        <v>384</v>
      </c>
      <c r="E16" s="26" t="s">
        <v>22</v>
      </c>
      <c r="F16" s="114" t="s">
        <v>384</v>
      </c>
      <c r="G16" s="26" t="e">
        <v>#N/A</v>
      </c>
      <c r="H16" s="26" t="e">
        <v>#N/A</v>
      </c>
      <c r="I16" s="26" t="s">
        <v>20</v>
      </c>
      <c r="J16" s="70">
        <v>5154.93</v>
      </c>
      <c r="K16" s="71">
        <v>0</v>
      </c>
      <c r="L16" s="71">
        <v>0</v>
      </c>
      <c r="M16" s="71">
        <v>0</v>
      </c>
      <c r="N16" s="71">
        <v>0</v>
      </c>
      <c r="O16" s="71">
        <v>8</v>
      </c>
      <c r="P16" s="71">
        <v>0.66666666666666663</v>
      </c>
      <c r="Q16" s="71">
        <v>0</v>
      </c>
      <c r="R16" s="71">
        <v>0</v>
      </c>
      <c r="S16" s="134"/>
      <c r="T16" s="134" t="s">
        <v>176</v>
      </c>
      <c r="U16" s="134" t="s">
        <v>176</v>
      </c>
      <c r="V16" s="22" t="s">
        <v>25</v>
      </c>
      <c r="W16" s="30" t="s">
        <v>25</v>
      </c>
      <c r="X16" s="30" t="s">
        <v>25</v>
      </c>
      <c r="Y16" s="29">
        <v>8200</v>
      </c>
      <c r="Z16" s="29">
        <v>6423</v>
      </c>
      <c r="AA16" s="29" t="s">
        <v>37</v>
      </c>
      <c r="AB16" s="22" t="s">
        <v>176</v>
      </c>
      <c r="AE16" s="29">
        <f t="shared" si="0"/>
        <v>6423</v>
      </c>
      <c r="AF16" s="29">
        <v>7311.5</v>
      </c>
      <c r="AG16" s="29">
        <v>1389.1849999999999</v>
      </c>
      <c r="AH16" s="29">
        <v>8700.6849999999995</v>
      </c>
    </row>
    <row r="17" spans="1:34" x14ac:dyDescent="0.3">
      <c r="A17" s="22">
        <v>15</v>
      </c>
      <c r="B17" s="23">
        <v>1111000404</v>
      </c>
      <c r="C17" s="24" t="s">
        <v>20</v>
      </c>
      <c r="D17" s="117" t="s">
        <v>385</v>
      </c>
      <c r="E17" s="26" t="s">
        <v>22</v>
      </c>
      <c r="F17" s="114" t="s">
        <v>385</v>
      </c>
      <c r="G17" s="26" t="e">
        <v>#N/A</v>
      </c>
      <c r="H17" s="26" t="e">
        <v>#N/A</v>
      </c>
      <c r="I17" s="26" t="s">
        <v>20</v>
      </c>
      <c r="J17" s="70">
        <v>1</v>
      </c>
      <c r="K17" s="71">
        <v>0</v>
      </c>
      <c r="L17" s="71">
        <v>0</v>
      </c>
      <c r="M17" s="71">
        <v>0</v>
      </c>
      <c r="N17" s="71">
        <v>0</v>
      </c>
      <c r="O17" s="71">
        <v>0</v>
      </c>
      <c r="P17" s="71">
        <v>0</v>
      </c>
      <c r="Q17" s="71">
        <v>0</v>
      </c>
      <c r="R17" s="71">
        <v>0</v>
      </c>
      <c r="S17" s="134"/>
      <c r="T17" s="134" t="s">
        <v>176</v>
      </c>
      <c r="U17" s="134" t="s">
        <v>176</v>
      </c>
      <c r="V17" s="22" t="s">
        <v>25</v>
      </c>
      <c r="W17" s="30" t="s">
        <v>25</v>
      </c>
      <c r="X17" s="30" t="s">
        <v>25</v>
      </c>
      <c r="Y17" s="29">
        <v>4000</v>
      </c>
      <c r="Z17" s="29" t="s">
        <v>24</v>
      </c>
      <c r="AA17" s="29" t="s">
        <v>37</v>
      </c>
      <c r="AB17" s="22" t="s">
        <v>176</v>
      </c>
      <c r="AE17" s="29">
        <f t="shared" si="0"/>
        <v>4000</v>
      </c>
      <c r="AF17" s="29">
        <v>4000</v>
      </c>
      <c r="AG17" s="29">
        <v>760</v>
      </c>
      <c r="AH17" s="29">
        <v>4760</v>
      </c>
    </row>
    <row r="18" spans="1:34" x14ac:dyDescent="0.3">
      <c r="A18" s="22">
        <v>16</v>
      </c>
      <c r="B18" s="23">
        <v>1111000148</v>
      </c>
      <c r="C18" s="24" t="s">
        <v>20</v>
      </c>
      <c r="D18" s="117" t="s">
        <v>386</v>
      </c>
      <c r="E18" s="26" t="s">
        <v>22</v>
      </c>
      <c r="F18" s="114" t="s">
        <v>386</v>
      </c>
      <c r="G18" s="26" t="e">
        <v>#N/A</v>
      </c>
      <c r="H18" s="26" t="e">
        <v>#N/A</v>
      </c>
      <c r="I18" s="26" t="s">
        <v>20</v>
      </c>
      <c r="J18" s="70">
        <v>1</v>
      </c>
      <c r="K18" s="71">
        <v>0</v>
      </c>
      <c r="L18" s="71">
        <v>0</v>
      </c>
      <c r="M18" s="71">
        <v>0</v>
      </c>
      <c r="N18" s="71">
        <v>0</v>
      </c>
      <c r="O18" s="71">
        <v>0</v>
      </c>
      <c r="P18" s="71">
        <v>0</v>
      </c>
      <c r="Q18" s="71">
        <v>0</v>
      </c>
      <c r="R18" s="71">
        <v>0</v>
      </c>
      <c r="S18" s="134"/>
      <c r="T18" s="134" t="s">
        <v>176</v>
      </c>
      <c r="U18" s="134" t="s">
        <v>176</v>
      </c>
      <c r="V18" s="22" t="s">
        <v>25</v>
      </c>
      <c r="W18" s="30">
        <v>34900</v>
      </c>
      <c r="X18" s="30" t="s">
        <v>25</v>
      </c>
      <c r="Y18" s="29" t="s">
        <v>25</v>
      </c>
      <c r="Z18" s="29" t="s">
        <v>24</v>
      </c>
      <c r="AA18" s="29" t="s">
        <v>24</v>
      </c>
      <c r="AB18" s="22" t="s">
        <v>176</v>
      </c>
      <c r="AE18" s="29">
        <f t="shared" si="0"/>
        <v>34900</v>
      </c>
      <c r="AF18" s="29">
        <v>34900</v>
      </c>
      <c r="AG18" s="29">
        <v>6631</v>
      </c>
      <c r="AH18" s="29">
        <v>41531</v>
      </c>
    </row>
    <row r="19" spans="1:34" ht="33" x14ac:dyDescent="0.3">
      <c r="A19" s="22">
        <v>17</v>
      </c>
      <c r="B19" s="23">
        <v>1043205293</v>
      </c>
      <c r="C19" s="24" t="s">
        <v>20</v>
      </c>
      <c r="D19" s="117" t="s">
        <v>387</v>
      </c>
      <c r="E19" s="26" t="s">
        <v>22</v>
      </c>
      <c r="F19" s="114" t="s">
        <v>387</v>
      </c>
      <c r="G19" s="26" t="e">
        <v>#N/A</v>
      </c>
      <c r="H19" s="26" t="e">
        <v>#N/A</v>
      </c>
      <c r="I19" s="26" t="s">
        <v>20</v>
      </c>
      <c r="J19" s="70">
        <v>20349.990000000002</v>
      </c>
      <c r="K19" s="71">
        <v>0</v>
      </c>
      <c r="L19" s="71">
        <v>0</v>
      </c>
      <c r="M19" s="71">
        <v>0</v>
      </c>
      <c r="N19" s="71">
        <v>0</v>
      </c>
      <c r="O19" s="71">
        <v>20</v>
      </c>
      <c r="P19" s="71">
        <v>1.6666666666666667</v>
      </c>
      <c r="Q19" s="71">
        <v>0</v>
      </c>
      <c r="R19" s="71">
        <v>0</v>
      </c>
      <c r="S19" s="134"/>
      <c r="T19" s="134" t="s">
        <v>176</v>
      </c>
      <c r="U19" s="134" t="s">
        <v>176</v>
      </c>
      <c r="V19" s="22" t="s">
        <v>25</v>
      </c>
      <c r="W19" s="30">
        <v>7200</v>
      </c>
      <c r="X19" s="30" t="s">
        <v>25</v>
      </c>
      <c r="Y19" s="29" t="s">
        <v>25</v>
      </c>
      <c r="Z19" s="29" t="s">
        <v>24</v>
      </c>
      <c r="AA19" s="29" t="s">
        <v>24</v>
      </c>
      <c r="AB19" s="22" t="s">
        <v>176</v>
      </c>
      <c r="AE19" s="29">
        <f t="shared" si="0"/>
        <v>7200</v>
      </c>
      <c r="AF19" s="29">
        <v>7200</v>
      </c>
      <c r="AG19" s="29">
        <v>1368</v>
      </c>
      <c r="AH19" s="29">
        <v>8568</v>
      </c>
    </row>
    <row r="20" spans="1:34" ht="33" x14ac:dyDescent="0.3">
      <c r="A20" s="22">
        <v>18</v>
      </c>
      <c r="B20" s="23">
        <v>1043205294</v>
      </c>
      <c r="C20" s="24" t="s">
        <v>20</v>
      </c>
      <c r="D20" s="117" t="s">
        <v>388</v>
      </c>
      <c r="E20" s="26" t="s">
        <v>22</v>
      </c>
      <c r="F20" s="114" t="s">
        <v>388</v>
      </c>
      <c r="G20" s="26" t="e">
        <v>#N/A</v>
      </c>
      <c r="H20" s="26" t="e">
        <v>#N/A</v>
      </c>
      <c r="I20" s="26" t="s">
        <v>20</v>
      </c>
      <c r="J20" s="70">
        <v>1</v>
      </c>
      <c r="K20" s="71">
        <v>0</v>
      </c>
      <c r="L20" s="71">
        <v>0</v>
      </c>
      <c r="M20" s="71">
        <v>0</v>
      </c>
      <c r="N20" s="71">
        <v>0</v>
      </c>
      <c r="O20" s="71">
        <v>0</v>
      </c>
      <c r="P20" s="71">
        <v>0</v>
      </c>
      <c r="Q20" s="71">
        <v>0</v>
      </c>
      <c r="R20" s="71">
        <v>0</v>
      </c>
      <c r="S20" s="134"/>
      <c r="T20" s="134" t="s">
        <v>176</v>
      </c>
      <c r="U20" s="134" t="s">
        <v>176</v>
      </c>
      <c r="V20" s="22" t="s">
        <v>25</v>
      </c>
      <c r="W20" s="30">
        <v>3600</v>
      </c>
      <c r="X20" s="30" t="s">
        <v>25</v>
      </c>
      <c r="Y20" s="29" t="s">
        <v>25</v>
      </c>
      <c r="Z20" s="29" t="s">
        <v>24</v>
      </c>
      <c r="AA20" s="29">
        <v>3141</v>
      </c>
      <c r="AB20" s="22" t="s">
        <v>176</v>
      </c>
      <c r="AE20" s="29">
        <f t="shared" si="0"/>
        <v>3141</v>
      </c>
      <c r="AF20" s="29">
        <v>3370.5</v>
      </c>
      <c r="AG20" s="29">
        <v>640.39499999999998</v>
      </c>
      <c r="AH20" s="29">
        <v>4010.895</v>
      </c>
    </row>
    <row r="21" spans="1:34" ht="33" x14ac:dyDescent="0.3">
      <c r="A21" s="22">
        <v>19</v>
      </c>
      <c r="B21" s="23">
        <v>1042099044</v>
      </c>
      <c r="C21" s="24" t="s">
        <v>20</v>
      </c>
      <c r="D21" s="117" t="s">
        <v>389</v>
      </c>
      <c r="E21" s="26" t="s">
        <v>90</v>
      </c>
      <c r="F21" s="114" t="s">
        <v>390</v>
      </c>
      <c r="G21" s="26" t="e">
        <v>#N/A</v>
      </c>
      <c r="H21" s="26" t="e">
        <v>#N/A</v>
      </c>
      <c r="I21" s="26" t="s">
        <v>20</v>
      </c>
      <c r="J21" s="70">
        <v>58571</v>
      </c>
      <c r="K21" s="71">
        <v>0</v>
      </c>
      <c r="L21" s="71">
        <v>0</v>
      </c>
      <c r="M21" s="71">
        <v>0</v>
      </c>
      <c r="N21" s="71">
        <v>0</v>
      </c>
      <c r="O21" s="71">
        <v>9</v>
      </c>
      <c r="P21" s="71">
        <v>0.75</v>
      </c>
      <c r="Q21" s="71">
        <v>0</v>
      </c>
      <c r="R21" s="71">
        <v>0</v>
      </c>
      <c r="S21" s="134"/>
      <c r="T21" s="106">
        <v>98900</v>
      </c>
      <c r="U21" s="134" t="s">
        <v>37</v>
      </c>
      <c r="V21" s="22" t="s">
        <v>25</v>
      </c>
      <c r="W21" s="30" t="s">
        <v>25</v>
      </c>
      <c r="X21" s="30" t="s">
        <v>25</v>
      </c>
      <c r="Y21" s="29" t="s">
        <v>25</v>
      </c>
      <c r="Z21" s="29" t="s">
        <v>24</v>
      </c>
      <c r="AA21" s="29" t="s">
        <v>24</v>
      </c>
      <c r="AB21" s="22" t="s">
        <v>37</v>
      </c>
      <c r="AE21" s="29">
        <f t="shared" si="0"/>
        <v>98900</v>
      </c>
      <c r="AF21" s="135">
        <v>98900</v>
      </c>
      <c r="AG21" s="29">
        <v>18791</v>
      </c>
      <c r="AH21" s="29">
        <v>117691</v>
      </c>
    </row>
    <row r="22" spans="1:34" x14ac:dyDescent="0.3">
      <c r="A22" s="22">
        <v>20</v>
      </c>
      <c r="B22" s="23">
        <v>1042099060</v>
      </c>
      <c r="C22" s="24" t="s">
        <v>20</v>
      </c>
      <c r="D22" s="117" t="s">
        <v>391</v>
      </c>
      <c r="E22" s="26" t="s">
        <v>90</v>
      </c>
      <c r="F22" s="114" t="s">
        <v>392</v>
      </c>
      <c r="G22" s="26" t="e">
        <v>#N/A</v>
      </c>
      <c r="H22" s="26" t="e">
        <v>#N/A</v>
      </c>
      <c r="I22" s="26" t="s">
        <v>20</v>
      </c>
      <c r="J22" s="70">
        <v>51860.2</v>
      </c>
      <c r="K22" s="71">
        <v>0</v>
      </c>
      <c r="L22" s="71">
        <v>0</v>
      </c>
      <c r="M22" s="71">
        <v>0</v>
      </c>
      <c r="N22" s="71">
        <v>0</v>
      </c>
      <c r="O22" s="71">
        <v>35</v>
      </c>
      <c r="P22" s="71">
        <v>2.9166666666666665</v>
      </c>
      <c r="Q22" s="71">
        <v>0</v>
      </c>
      <c r="R22" s="71">
        <v>0</v>
      </c>
      <c r="S22" s="134"/>
      <c r="T22" s="134" t="s">
        <v>176</v>
      </c>
      <c r="U22" s="134" t="s">
        <v>176</v>
      </c>
      <c r="V22" s="22" t="s">
        <v>25</v>
      </c>
      <c r="W22" s="30" t="s">
        <v>25</v>
      </c>
      <c r="X22" s="30" t="s">
        <v>25</v>
      </c>
      <c r="Y22" s="29" t="s">
        <v>25</v>
      </c>
      <c r="Z22" s="29">
        <v>71689</v>
      </c>
      <c r="AA22" s="29" t="s">
        <v>24</v>
      </c>
      <c r="AB22" s="22" t="s">
        <v>176</v>
      </c>
      <c r="AE22" s="29">
        <f t="shared" si="0"/>
        <v>71689</v>
      </c>
      <c r="AF22" s="29">
        <v>71689</v>
      </c>
      <c r="AG22" s="29">
        <v>13620.91</v>
      </c>
      <c r="AH22" s="29">
        <v>85309.91</v>
      </c>
    </row>
    <row r="23" spans="1:34" x14ac:dyDescent="0.3">
      <c r="A23" s="22">
        <v>21</v>
      </c>
      <c r="B23" s="23">
        <v>1042099061</v>
      </c>
      <c r="C23" s="24" t="s">
        <v>20</v>
      </c>
      <c r="D23" s="117" t="s">
        <v>393</v>
      </c>
      <c r="E23" s="26" t="s">
        <v>90</v>
      </c>
      <c r="F23" s="114" t="s">
        <v>394</v>
      </c>
      <c r="G23" s="26" t="e">
        <v>#N/A</v>
      </c>
      <c r="H23" s="26" t="e">
        <v>#N/A</v>
      </c>
      <c r="I23" s="26" t="s">
        <v>20</v>
      </c>
      <c r="J23" s="70">
        <v>1</v>
      </c>
      <c r="K23" s="71">
        <v>0</v>
      </c>
      <c r="L23" s="71">
        <v>0</v>
      </c>
      <c r="M23" s="71">
        <v>0</v>
      </c>
      <c r="N23" s="71">
        <v>0</v>
      </c>
      <c r="O23" s="71">
        <v>0</v>
      </c>
      <c r="P23" s="71">
        <v>0</v>
      </c>
      <c r="Q23" s="71">
        <v>0</v>
      </c>
      <c r="R23" s="71">
        <v>0</v>
      </c>
      <c r="S23" s="134"/>
      <c r="T23" s="106" t="s">
        <v>24</v>
      </c>
      <c r="U23" s="106">
        <v>203900</v>
      </c>
      <c r="V23" s="22" t="s">
        <v>25</v>
      </c>
      <c r="W23" s="30" t="s">
        <v>25</v>
      </c>
      <c r="X23" s="30" t="s">
        <v>25</v>
      </c>
      <c r="Y23" s="29" t="s">
        <v>25</v>
      </c>
      <c r="Z23" s="29" t="s">
        <v>24</v>
      </c>
      <c r="AA23" s="29" t="s">
        <v>24</v>
      </c>
      <c r="AB23" s="22" t="s">
        <v>24</v>
      </c>
      <c r="AE23" s="29">
        <f t="shared" si="0"/>
        <v>203900</v>
      </c>
      <c r="AF23" s="135">
        <v>203900</v>
      </c>
      <c r="AG23" s="29">
        <v>38741</v>
      </c>
      <c r="AH23" s="29">
        <v>242641</v>
      </c>
    </row>
    <row r="24" spans="1:34" x14ac:dyDescent="0.3">
      <c r="A24" s="22">
        <v>22</v>
      </c>
      <c r="B24" s="23">
        <v>1042099046</v>
      </c>
      <c r="C24" s="24" t="s">
        <v>20</v>
      </c>
      <c r="D24" s="117" t="s">
        <v>395</v>
      </c>
      <c r="E24" s="26" t="s">
        <v>396</v>
      </c>
      <c r="F24" s="114" t="s">
        <v>397</v>
      </c>
      <c r="G24" s="26" t="e">
        <v>#N/A</v>
      </c>
      <c r="H24" s="26" t="e">
        <v>#N/A</v>
      </c>
      <c r="I24" s="26" t="s">
        <v>20</v>
      </c>
      <c r="J24" s="70">
        <v>53573</v>
      </c>
      <c r="K24" s="71">
        <v>0</v>
      </c>
      <c r="L24" s="71">
        <v>0</v>
      </c>
      <c r="M24" s="71">
        <v>0</v>
      </c>
      <c r="N24" s="71">
        <v>0</v>
      </c>
      <c r="O24" s="71">
        <v>52</v>
      </c>
      <c r="P24" s="71">
        <v>4.333333333333333</v>
      </c>
      <c r="Q24" s="71">
        <v>0</v>
      </c>
      <c r="R24" s="71">
        <v>10</v>
      </c>
      <c r="S24" s="134"/>
      <c r="T24" s="134" t="s">
        <v>176</v>
      </c>
      <c r="U24" s="134" t="s">
        <v>176</v>
      </c>
      <c r="V24" s="22" t="s">
        <v>25</v>
      </c>
      <c r="W24" s="30" t="s">
        <v>25</v>
      </c>
      <c r="X24" s="30" t="s">
        <v>25</v>
      </c>
      <c r="Y24" s="29" t="s">
        <v>25</v>
      </c>
      <c r="Z24" s="29">
        <v>70303</v>
      </c>
      <c r="AA24" s="29" t="s">
        <v>24</v>
      </c>
      <c r="AB24" s="22" t="s">
        <v>176</v>
      </c>
      <c r="AE24" s="29">
        <f t="shared" si="0"/>
        <v>70303</v>
      </c>
      <c r="AF24" s="29">
        <v>70303</v>
      </c>
      <c r="AG24" s="29">
        <v>13357.57</v>
      </c>
      <c r="AH24" s="29">
        <v>83660.570000000007</v>
      </c>
    </row>
    <row r="25" spans="1:34" ht="33" x14ac:dyDescent="0.3">
      <c r="A25" s="22">
        <v>23</v>
      </c>
      <c r="B25" s="23">
        <v>1042099063</v>
      </c>
      <c r="C25" s="24" t="s">
        <v>20</v>
      </c>
      <c r="D25" s="117" t="s">
        <v>398</v>
      </c>
      <c r="E25" s="26" t="s">
        <v>90</v>
      </c>
      <c r="F25" s="114" t="s">
        <v>399</v>
      </c>
      <c r="G25" s="26" t="e">
        <v>#N/A</v>
      </c>
      <c r="H25" s="26" t="e">
        <v>#N/A</v>
      </c>
      <c r="I25" s="26" t="s">
        <v>20</v>
      </c>
      <c r="J25" s="70">
        <v>1</v>
      </c>
      <c r="K25" s="71">
        <v>0</v>
      </c>
      <c r="L25" s="71">
        <v>0</v>
      </c>
      <c r="M25" s="71">
        <v>0</v>
      </c>
      <c r="N25" s="71">
        <v>0</v>
      </c>
      <c r="O25" s="71">
        <v>0</v>
      </c>
      <c r="P25" s="71">
        <v>0</v>
      </c>
      <c r="Q25" s="71">
        <v>0</v>
      </c>
      <c r="R25" s="71">
        <v>0</v>
      </c>
      <c r="S25" s="134"/>
      <c r="T25" s="106" t="s">
        <v>24</v>
      </c>
      <c r="U25" s="106" t="s">
        <v>24</v>
      </c>
      <c r="V25" s="22" t="s">
        <v>25</v>
      </c>
      <c r="W25" s="30" t="s">
        <v>25</v>
      </c>
      <c r="X25" s="30" t="s">
        <v>25</v>
      </c>
      <c r="Y25" s="29" t="s">
        <v>25</v>
      </c>
      <c r="Z25" s="29" t="s">
        <v>24</v>
      </c>
      <c r="AA25" s="29" t="s">
        <v>24</v>
      </c>
      <c r="AB25" s="106">
        <v>297168</v>
      </c>
      <c r="AE25" s="29">
        <f>MIN(T25:AB25)</f>
        <v>297168</v>
      </c>
      <c r="AF25" s="57">
        <v>297168</v>
      </c>
      <c r="AG25" s="29">
        <v>56461.919999999998</v>
      </c>
      <c r="AH25" s="29">
        <v>353629.92</v>
      </c>
    </row>
    <row r="26" spans="1:34" ht="33" x14ac:dyDescent="0.3">
      <c r="A26" s="22">
        <v>24</v>
      </c>
      <c r="B26" s="23">
        <v>1043205310</v>
      </c>
      <c r="C26" s="24" t="s">
        <v>20</v>
      </c>
      <c r="D26" s="117" t="s">
        <v>400</v>
      </c>
      <c r="E26" s="26" t="s">
        <v>22</v>
      </c>
      <c r="F26" s="114" t="s">
        <v>400</v>
      </c>
      <c r="G26" s="26" t="e">
        <v>#N/A</v>
      </c>
      <c r="H26" s="26" t="e">
        <v>#N/A</v>
      </c>
      <c r="I26" s="26" t="s">
        <v>20</v>
      </c>
      <c r="J26" s="70">
        <v>1</v>
      </c>
      <c r="K26" s="71">
        <v>0</v>
      </c>
      <c r="L26" s="71">
        <v>0</v>
      </c>
      <c r="M26" s="71">
        <v>0</v>
      </c>
      <c r="N26" s="71">
        <v>0</v>
      </c>
      <c r="O26" s="71">
        <v>0</v>
      </c>
      <c r="P26" s="71">
        <v>0</v>
      </c>
      <c r="Q26" s="71">
        <v>0</v>
      </c>
      <c r="R26" s="71">
        <v>0</v>
      </c>
      <c r="S26" s="134"/>
      <c r="T26" s="106">
        <v>107800</v>
      </c>
      <c r="U26" s="134" t="s">
        <v>37</v>
      </c>
      <c r="V26" s="22" t="s">
        <v>25</v>
      </c>
      <c r="W26" s="30" t="s">
        <v>25</v>
      </c>
      <c r="X26" s="30" t="s">
        <v>25</v>
      </c>
      <c r="Y26" s="29" t="s">
        <v>25</v>
      </c>
      <c r="Z26" s="29" t="s">
        <v>24</v>
      </c>
      <c r="AA26" s="29" t="s">
        <v>37</v>
      </c>
      <c r="AB26" s="22" t="s">
        <v>37</v>
      </c>
      <c r="AE26" s="29">
        <f t="shared" si="0"/>
        <v>107800</v>
      </c>
      <c r="AF26" s="41">
        <v>107800</v>
      </c>
      <c r="AG26" s="29">
        <v>20482</v>
      </c>
      <c r="AH26" s="29">
        <v>128282</v>
      </c>
    </row>
    <row r="27" spans="1:34" ht="33" x14ac:dyDescent="0.3">
      <c r="A27" s="22">
        <v>25</v>
      </c>
      <c r="B27" s="23">
        <v>1043205273</v>
      </c>
      <c r="C27" s="24" t="s">
        <v>20</v>
      </c>
      <c r="D27" s="117" t="s">
        <v>401</v>
      </c>
      <c r="E27" s="26" t="s">
        <v>51</v>
      </c>
      <c r="F27" s="114" t="s">
        <v>402</v>
      </c>
      <c r="G27" s="26" t="e">
        <v>#N/A</v>
      </c>
      <c r="H27" s="26" t="e">
        <v>#N/A</v>
      </c>
      <c r="I27" s="26" t="s">
        <v>20</v>
      </c>
      <c r="J27" s="70">
        <v>1</v>
      </c>
      <c r="K27" s="71">
        <v>0</v>
      </c>
      <c r="L27" s="71">
        <v>0</v>
      </c>
      <c r="M27" s="71">
        <v>0</v>
      </c>
      <c r="N27" s="71">
        <v>0</v>
      </c>
      <c r="O27" s="71">
        <v>0</v>
      </c>
      <c r="P27" s="71">
        <v>0</v>
      </c>
      <c r="Q27" s="71">
        <v>0</v>
      </c>
      <c r="R27" s="71">
        <v>0</v>
      </c>
      <c r="S27" s="134"/>
      <c r="T27" s="134" t="s">
        <v>176</v>
      </c>
      <c r="U27" s="134" t="s">
        <v>176</v>
      </c>
      <c r="V27" s="22" t="s">
        <v>25</v>
      </c>
      <c r="W27" s="30" t="s">
        <v>25</v>
      </c>
      <c r="X27" s="30" t="s">
        <v>25</v>
      </c>
      <c r="Y27" s="29" t="s">
        <v>25</v>
      </c>
      <c r="Z27" s="29" t="s">
        <v>24</v>
      </c>
      <c r="AA27" s="29">
        <v>58066</v>
      </c>
      <c r="AB27" s="22" t="s">
        <v>176</v>
      </c>
      <c r="AE27" s="29">
        <f t="shared" si="0"/>
        <v>58066</v>
      </c>
      <c r="AF27" s="29">
        <v>58066</v>
      </c>
      <c r="AG27" s="29">
        <v>11032.54</v>
      </c>
      <c r="AH27" s="29">
        <v>69098.540000000008</v>
      </c>
    </row>
    <row r="28" spans="1:34" ht="33" x14ac:dyDescent="0.3">
      <c r="A28" s="22">
        <v>26</v>
      </c>
      <c r="B28" s="23">
        <v>1043205274</v>
      </c>
      <c r="C28" s="24" t="s">
        <v>20</v>
      </c>
      <c r="D28" s="117" t="s">
        <v>403</v>
      </c>
      <c r="E28" s="26" t="s">
        <v>51</v>
      </c>
      <c r="F28" s="114" t="s">
        <v>404</v>
      </c>
      <c r="G28" s="26" t="e">
        <v>#N/A</v>
      </c>
      <c r="H28" s="26" t="e">
        <v>#N/A</v>
      </c>
      <c r="I28" s="26" t="s">
        <v>20</v>
      </c>
      <c r="J28" s="70">
        <v>66961</v>
      </c>
      <c r="K28" s="71">
        <v>0</v>
      </c>
      <c r="L28" s="71">
        <v>0</v>
      </c>
      <c r="M28" s="71">
        <v>0</v>
      </c>
      <c r="N28" s="71">
        <v>0</v>
      </c>
      <c r="O28" s="71">
        <v>30</v>
      </c>
      <c r="P28" s="71">
        <v>2.5</v>
      </c>
      <c r="Q28" s="71">
        <v>0</v>
      </c>
      <c r="R28" s="71">
        <v>0</v>
      </c>
      <c r="S28" s="134"/>
      <c r="T28" s="134" t="s">
        <v>176</v>
      </c>
      <c r="U28" s="134" t="s">
        <v>176</v>
      </c>
      <c r="V28" s="22" t="s">
        <v>25</v>
      </c>
      <c r="W28" s="30" t="s">
        <v>25</v>
      </c>
      <c r="X28" s="30" t="s">
        <v>25</v>
      </c>
      <c r="Y28" s="29" t="s">
        <v>25</v>
      </c>
      <c r="Z28" s="29" t="s">
        <v>24</v>
      </c>
      <c r="AA28" s="29">
        <v>69678</v>
      </c>
      <c r="AB28" s="22" t="s">
        <v>176</v>
      </c>
      <c r="AE28" s="29">
        <f t="shared" si="0"/>
        <v>69678</v>
      </c>
      <c r="AF28" s="29">
        <v>69678</v>
      </c>
      <c r="AG28" s="29">
        <v>13238.82</v>
      </c>
      <c r="AH28" s="29">
        <v>82916.820000000007</v>
      </c>
    </row>
    <row r="29" spans="1:34" ht="49.5" x14ac:dyDescent="0.3">
      <c r="A29" s="22">
        <v>27</v>
      </c>
      <c r="B29" s="23">
        <v>1125561284</v>
      </c>
      <c r="C29" s="24" t="s">
        <v>20</v>
      </c>
      <c r="D29" s="117" t="s">
        <v>405</v>
      </c>
      <c r="E29" s="26" t="s">
        <v>22</v>
      </c>
      <c r="F29" s="114" t="s">
        <v>406</v>
      </c>
      <c r="G29" s="26" t="e">
        <v>#N/A</v>
      </c>
      <c r="H29" s="26" t="e">
        <v>#N/A</v>
      </c>
      <c r="I29" s="26" t="s">
        <v>20</v>
      </c>
      <c r="J29" s="70">
        <v>1</v>
      </c>
      <c r="K29" s="71">
        <v>0</v>
      </c>
      <c r="L29" s="71">
        <v>0</v>
      </c>
      <c r="M29" s="71">
        <v>0</v>
      </c>
      <c r="N29" s="71">
        <v>0</v>
      </c>
      <c r="O29" s="71">
        <v>0</v>
      </c>
      <c r="P29" s="71">
        <v>0</v>
      </c>
      <c r="Q29" s="71">
        <v>0</v>
      </c>
      <c r="R29" s="71">
        <v>0</v>
      </c>
      <c r="S29" s="134"/>
      <c r="T29" s="106">
        <v>34812</v>
      </c>
      <c r="U29" s="134" t="s">
        <v>37</v>
      </c>
      <c r="V29" s="22" t="s">
        <v>25</v>
      </c>
      <c r="W29" s="30" t="s">
        <v>25</v>
      </c>
      <c r="X29" s="30" t="s">
        <v>25</v>
      </c>
      <c r="Y29" s="29" t="s">
        <v>25</v>
      </c>
      <c r="Z29" s="29" t="s">
        <v>24</v>
      </c>
      <c r="AA29" s="29" t="s">
        <v>37</v>
      </c>
      <c r="AB29" s="22" t="s">
        <v>37</v>
      </c>
      <c r="AE29" s="29">
        <f t="shared" si="0"/>
        <v>34812</v>
      </c>
      <c r="AF29" s="135">
        <v>34812</v>
      </c>
      <c r="AG29" s="29">
        <v>6614.28</v>
      </c>
      <c r="AH29" s="29">
        <v>41426.28</v>
      </c>
    </row>
    <row r="30" spans="1:34" x14ac:dyDescent="0.3">
      <c r="A30" s="22">
        <v>28</v>
      </c>
      <c r="B30" s="31">
        <v>1043205370</v>
      </c>
      <c r="C30" s="32"/>
      <c r="D30" s="117" t="s">
        <v>407</v>
      </c>
      <c r="E30" s="26" t="s">
        <v>22</v>
      </c>
      <c r="F30" s="117" t="s">
        <v>407</v>
      </c>
      <c r="G30" s="32"/>
      <c r="H30" s="32"/>
      <c r="I30" s="32"/>
      <c r="J30" s="32"/>
      <c r="K30" s="32"/>
      <c r="L30" s="32"/>
      <c r="M30" s="32"/>
      <c r="N30" s="32"/>
      <c r="O30" s="32"/>
      <c r="P30" s="32"/>
      <c r="Q30" s="32"/>
      <c r="R30" s="32"/>
      <c r="S30" s="22"/>
      <c r="T30" s="134" t="s">
        <v>176</v>
      </c>
      <c r="U30" s="134" t="s">
        <v>176</v>
      </c>
      <c r="V30" s="22" t="s">
        <v>25</v>
      </c>
      <c r="W30" s="30" t="s">
        <v>25</v>
      </c>
      <c r="X30" s="30">
        <v>1000</v>
      </c>
      <c r="Y30" s="29">
        <v>1022</v>
      </c>
      <c r="Z30" s="29" t="s">
        <v>24</v>
      </c>
      <c r="AA30" s="94" t="s">
        <v>37</v>
      </c>
      <c r="AB30" s="22" t="s">
        <v>176</v>
      </c>
      <c r="AE30" s="29">
        <f t="shared" si="0"/>
        <v>1000</v>
      </c>
      <c r="AF30" s="29">
        <v>1011</v>
      </c>
      <c r="AG30" s="29">
        <v>192.09</v>
      </c>
      <c r="AH30" s="29">
        <v>1203.0899999999999</v>
      </c>
    </row>
    <row r="31" spans="1:34" ht="82.5" x14ac:dyDescent="0.3">
      <c r="A31" s="22">
        <v>29</v>
      </c>
      <c r="B31" s="23">
        <v>1043205365</v>
      </c>
      <c r="C31" s="24" t="s">
        <v>20</v>
      </c>
      <c r="D31" s="117" t="s">
        <v>408</v>
      </c>
      <c r="E31" s="26" t="s">
        <v>22</v>
      </c>
      <c r="F31" s="114" t="s">
        <v>409</v>
      </c>
      <c r="G31" s="26" t="s">
        <v>410</v>
      </c>
      <c r="H31" s="26" t="s">
        <v>411</v>
      </c>
      <c r="I31" s="26" t="s">
        <v>20</v>
      </c>
      <c r="J31" s="70">
        <v>60965.93</v>
      </c>
      <c r="K31" s="71">
        <v>0</v>
      </c>
      <c r="L31" s="71">
        <v>22</v>
      </c>
      <c r="M31" s="71">
        <v>233</v>
      </c>
      <c r="N31" s="71">
        <v>19.416666666666668</v>
      </c>
      <c r="O31" s="71">
        <v>4</v>
      </c>
      <c r="P31" s="71">
        <v>0.33333333333333331</v>
      </c>
      <c r="Q31" s="71">
        <v>0</v>
      </c>
      <c r="R31" s="71">
        <v>9</v>
      </c>
      <c r="S31" s="134"/>
      <c r="T31" s="134" t="s">
        <v>176</v>
      </c>
      <c r="U31" s="134" t="s">
        <v>176</v>
      </c>
      <c r="V31" s="22" t="s">
        <v>25</v>
      </c>
      <c r="W31" s="30">
        <v>1200</v>
      </c>
      <c r="X31" s="30">
        <v>850</v>
      </c>
      <c r="Y31" s="29">
        <v>1022</v>
      </c>
      <c r="Z31" s="29">
        <v>1047</v>
      </c>
      <c r="AA31" s="29">
        <v>1036</v>
      </c>
      <c r="AB31" s="22" t="s">
        <v>176</v>
      </c>
      <c r="AE31" s="29">
        <f t="shared" si="0"/>
        <v>850</v>
      </c>
      <c r="AF31" s="29">
        <v>1031</v>
      </c>
      <c r="AG31" s="29">
        <v>195.89</v>
      </c>
      <c r="AH31" s="29">
        <v>1226.8899999999999</v>
      </c>
    </row>
    <row r="32" spans="1:34" x14ac:dyDescent="0.3">
      <c r="A32" s="22">
        <v>30</v>
      </c>
      <c r="B32" s="23">
        <v>1043205078</v>
      </c>
      <c r="C32" s="24" t="s">
        <v>20</v>
      </c>
      <c r="D32" s="117" t="s">
        <v>412</v>
      </c>
      <c r="E32" s="26" t="s">
        <v>22</v>
      </c>
      <c r="F32" s="114" t="s">
        <v>413</v>
      </c>
      <c r="G32" s="26" t="e">
        <v>#N/A</v>
      </c>
      <c r="H32" s="26" t="e">
        <v>#N/A</v>
      </c>
      <c r="I32" s="26" t="s">
        <v>20</v>
      </c>
      <c r="J32" s="70">
        <v>1</v>
      </c>
      <c r="K32" s="71">
        <v>0</v>
      </c>
      <c r="L32" s="71">
        <v>0</v>
      </c>
      <c r="M32" s="71">
        <v>0</v>
      </c>
      <c r="N32" s="71">
        <v>0</v>
      </c>
      <c r="O32" s="71">
        <v>0</v>
      </c>
      <c r="P32" s="71">
        <v>0</v>
      </c>
      <c r="Q32" s="71">
        <v>0</v>
      </c>
      <c r="R32" s="71">
        <v>0</v>
      </c>
      <c r="S32" s="134"/>
      <c r="T32" s="134" t="s">
        <v>176</v>
      </c>
      <c r="U32" s="134" t="s">
        <v>176</v>
      </c>
      <c r="V32" s="22" t="s">
        <v>25</v>
      </c>
      <c r="W32" s="30">
        <v>1300</v>
      </c>
      <c r="X32" s="30">
        <v>850</v>
      </c>
      <c r="Y32" s="29">
        <v>1022</v>
      </c>
      <c r="Z32" s="29">
        <v>1042</v>
      </c>
      <c r="AA32" s="29">
        <v>1036</v>
      </c>
      <c r="AB32" s="22" t="s">
        <v>176</v>
      </c>
      <c r="AE32" s="29">
        <f t="shared" si="0"/>
        <v>850</v>
      </c>
      <c r="AF32" s="29">
        <v>1050</v>
      </c>
      <c r="AG32" s="29">
        <v>199.5</v>
      </c>
      <c r="AH32" s="29">
        <v>1249.5</v>
      </c>
    </row>
    <row r="33" spans="1:34" x14ac:dyDescent="0.3">
      <c r="A33" s="22">
        <v>31</v>
      </c>
      <c r="B33" s="23">
        <v>1043205368</v>
      </c>
      <c r="C33" s="24" t="s">
        <v>20</v>
      </c>
      <c r="D33" s="117" t="s">
        <v>414</v>
      </c>
      <c r="E33" s="26" t="s">
        <v>22</v>
      </c>
      <c r="F33" s="114" t="s">
        <v>415</v>
      </c>
      <c r="G33" s="26" t="e">
        <v>#N/A</v>
      </c>
      <c r="H33" s="26" t="e">
        <v>#N/A</v>
      </c>
      <c r="I33" s="26" t="s">
        <v>20</v>
      </c>
      <c r="J33" s="70">
        <v>68587.13</v>
      </c>
      <c r="K33" s="71">
        <v>0</v>
      </c>
      <c r="L33" s="71">
        <v>1</v>
      </c>
      <c r="M33" s="71">
        <v>73</v>
      </c>
      <c r="N33" s="71">
        <v>6.083333333333333</v>
      </c>
      <c r="O33" s="71">
        <v>33</v>
      </c>
      <c r="P33" s="71">
        <v>2.75</v>
      </c>
      <c r="Q33" s="71">
        <v>0</v>
      </c>
      <c r="R33" s="71">
        <v>0</v>
      </c>
      <c r="S33" s="134"/>
      <c r="T33" s="134" t="s">
        <v>176</v>
      </c>
      <c r="U33" s="134" t="s">
        <v>176</v>
      </c>
      <c r="V33" s="22" t="s">
        <v>25</v>
      </c>
      <c r="W33" s="30" t="s">
        <v>25</v>
      </c>
      <c r="X33" s="30">
        <v>1000</v>
      </c>
      <c r="Y33" s="29">
        <v>1022</v>
      </c>
      <c r="Z33" s="29" t="s">
        <v>24</v>
      </c>
      <c r="AA33" s="29" t="s">
        <v>308</v>
      </c>
      <c r="AB33" s="22" t="s">
        <v>176</v>
      </c>
      <c r="AE33" s="29">
        <f t="shared" si="0"/>
        <v>1000</v>
      </c>
      <c r="AF33" s="29">
        <v>1011</v>
      </c>
      <c r="AG33" s="29">
        <v>192.09</v>
      </c>
      <c r="AH33" s="29">
        <v>1203.0899999999999</v>
      </c>
    </row>
    <row r="34" spans="1:34" x14ac:dyDescent="0.3">
      <c r="A34" s="22">
        <v>32</v>
      </c>
      <c r="B34" s="23">
        <v>1042099031</v>
      </c>
      <c r="C34" s="24" t="s">
        <v>20</v>
      </c>
      <c r="D34" s="117" t="s">
        <v>416</v>
      </c>
      <c r="E34" s="26" t="s">
        <v>90</v>
      </c>
      <c r="F34" s="114" t="s">
        <v>417</v>
      </c>
      <c r="G34" s="26" t="e">
        <v>#N/A</v>
      </c>
      <c r="H34" s="26" t="e">
        <v>#N/A</v>
      </c>
      <c r="I34" s="26" t="s">
        <v>20</v>
      </c>
      <c r="J34" s="70">
        <v>121142</v>
      </c>
      <c r="K34" s="71">
        <v>20</v>
      </c>
      <c r="L34" s="71">
        <v>2</v>
      </c>
      <c r="M34" s="71">
        <v>3</v>
      </c>
      <c r="N34" s="71">
        <v>0.25</v>
      </c>
      <c r="O34" s="71">
        <v>0</v>
      </c>
      <c r="P34" s="71">
        <v>0</v>
      </c>
      <c r="Q34" s="71">
        <v>0</v>
      </c>
      <c r="R34" s="71">
        <v>0</v>
      </c>
      <c r="S34" s="134"/>
      <c r="T34" s="134" t="s">
        <v>176</v>
      </c>
      <c r="U34" s="134" t="s">
        <v>176</v>
      </c>
      <c r="V34" s="22" t="s">
        <v>25</v>
      </c>
      <c r="W34" s="30">
        <v>26900</v>
      </c>
      <c r="X34" s="30" t="s">
        <v>25</v>
      </c>
      <c r="Y34" s="29" t="s">
        <v>25</v>
      </c>
      <c r="Z34" s="29" t="s">
        <v>24</v>
      </c>
      <c r="AA34" s="29">
        <v>35255</v>
      </c>
      <c r="AB34" s="22" t="s">
        <v>176</v>
      </c>
      <c r="AE34" s="29">
        <f t="shared" si="0"/>
        <v>26900</v>
      </c>
      <c r="AF34" s="29">
        <v>31077.5</v>
      </c>
      <c r="AG34" s="29">
        <v>5904.7250000000004</v>
      </c>
      <c r="AH34" s="29">
        <v>36982.224999999999</v>
      </c>
    </row>
    <row r="35" spans="1:34" x14ac:dyDescent="0.3">
      <c r="A35" s="22">
        <v>33</v>
      </c>
      <c r="B35" s="23">
        <v>1042021256</v>
      </c>
      <c r="C35" s="24" t="s">
        <v>20</v>
      </c>
      <c r="D35" s="117" t="s">
        <v>418</v>
      </c>
      <c r="E35" s="26" t="s">
        <v>22</v>
      </c>
      <c r="F35" s="114" t="s">
        <v>418</v>
      </c>
      <c r="G35" s="26" t="e">
        <v>#N/A</v>
      </c>
      <c r="H35" s="26" t="e">
        <v>#N/A</v>
      </c>
      <c r="I35" s="26" t="s">
        <v>20</v>
      </c>
      <c r="J35" s="70">
        <v>7640.1</v>
      </c>
      <c r="K35" s="71">
        <v>245</v>
      </c>
      <c r="L35" s="71">
        <v>291</v>
      </c>
      <c r="M35" s="71">
        <v>0</v>
      </c>
      <c r="N35" s="71">
        <v>0</v>
      </c>
      <c r="O35" s="71">
        <v>0</v>
      </c>
      <c r="P35" s="71">
        <v>0</v>
      </c>
      <c r="Q35" s="71">
        <v>0</v>
      </c>
      <c r="R35" s="71">
        <v>0</v>
      </c>
      <c r="S35" s="134"/>
      <c r="T35" s="134" t="s">
        <v>176</v>
      </c>
      <c r="U35" s="134" t="s">
        <v>176</v>
      </c>
      <c r="V35" s="22" t="s">
        <v>25</v>
      </c>
      <c r="W35" s="30">
        <v>3950</v>
      </c>
      <c r="X35" s="30" t="s">
        <v>25</v>
      </c>
      <c r="Y35" s="29" t="s">
        <v>25</v>
      </c>
      <c r="Z35" s="29" t="s">
        <v>24</v>
      </c>
      <c r="AA35" s="29" t="s">
        <v>24</v>
      </c>
      <c r="AB35" s="22" t="s">
        <v>176</v>
      </c>
      <c r="AE35" s="29">
        <f t="shared" si="0"/>
        <v>3950</v>
      </c>
      <c r="AF35" s="29">
        <v>3950</v>
      </c>
      <c r="AG35" s="29">
        <v>750.5</v>
      </c>
      <c r="AH35" s="29">
        <v>4700.5</v>
      </c>
    </row>
    <row r="36" spans="1:34" x14ac:dyDescent="0.3">
      <c r="A36" s="22">
        <v>34</v>
      </c>
      <c r="B36" s="31">
        <v>1042021277</v>
      </c>
      <c r="C36" s="32"/>
      <c r="D36" s="83" t="s">
        <v>419</v>
      </c>
      <c r="E36" s="60" t="s">
        <v>293</v>
      </c>
      <c r="F36" s="83" t="s">
        <v>419</v>
      </c>
      <c r="G36" s="32"/>
      <c r="H36" s="32"/>
      <c r="I36" s="32"/>
      <c r="J36" s="32"/>
      <c r="K36" s="32"/>
      <c r="L36" s="32"/>
      <c r="M36" s="32"/>
      <c r="N36" s="32"/>
      <c r="O36" s="32"/>
      <c r="P36" s="32"/>
      <c r="Q36" s="32"/>
      <c r="R36" s="32"/>
      <c r="S36" s="22"/>
      <c r="T36" s="134" t="s">
        <v>176</v>
      </c>
      <c r="U36" s="134" t="s">
        <v>176</v>
      </c>
      <c r="V36" s="22" t="s">
        <v>25</v>
      </c>
      <c r="W36" s="30" t="s">
        <v>25</v>
      </c>
      <c r="X36" s="30" t="s">
        <v>25</v>
      </c>
      <c r="Y36" s="29" t="s">
        <v>25</v>
      </c>
      <c r="Z36" s="29">
        <v>35798</v>
      </c>
      <c r="AA36" s="29" t="s">
        <v>24</v>
      </c>
      <c r="AB36" s="22" t="s">
        <v>176</v>
      </c>
      <c r="AE36" s="29">
        <f t="shared" si="0"/>
        <v>35798</v>
      </c>
      <c r="AF36" s="29">
        <v>35798</v>
      </c>
      <c r="AG36" s="29">
        <v>6801.62</v>
      </c>
      <c r="AH36" s="29">
        <v>42599.62</v>
      </c>
    </row>
    <row r="37" spans="1:34" ht="49.5" x14ac:dyDescent="0.3">
      <c r="A37" s="22">
        <v>35</v>
      </c>
      <c r="B37" s="23">
        <v>1042099168</v>
      </c>
      <c r="C37" s="24" t="s">
        <v>20</v>
      </c>
      <c r="D37" s="117" t="s">
        <v>420</v>
      </c>
      <c r="E37" s="26" t="s">
        <v>90</v>
      </c>
      <c r="F37" s="114" t="s">
        <v>421</v>
      </c>
      <c r="G37" s="26" t="e">
        <v>#N/A</v>
      </c>
      <c r="H37" s="26" t="e">
        <v>#N/A</v>
      </c>
      <c r="I37" s="26" t="s">
        <v>20</v>
      </c>
      <c r="J37" s="70">
        <v>56852.333330000001</v>
      </c>
      <c r="K37" s="71">
        <v>455</v>
      </c>
      <c r="L37" s="71">
        <v>78</v>
      </c>
      <c r="M37" s="71">
        <v>0</v>
      </c>
      <c r="N37" s="71">
        <v>0</v>
      </c>
      <c r="O37" s="71">
        <v>0</v>
      </c>
      <c r="P37" s="71">
        <v>0</v>
      </c>
      <c r="Q37" s="71">
        <v>0</v>
      </c>
      <c r="R37" s="71">
        <v>0</v>
      </c>
      <c r="S37" s="134"/>
      <c r="T37" s="134" t="s">
        <v>176</v>
      </c>
      <c r="U37" s="134" t="s">
        <v>176</v>
      </c>
      <c r="V37" s="22" t="s">
        <v>25</v>
      </c>
      <c r="W37" s="30">
        <v>436900</v>
      </c>
      <c r="X37" s="30" t="s">
        <v>25</v>
      </c>
      <c r="Y37" s="29" t="s">
        <v>25</v>
      </c>
      <c r="Z37" s="29" t="s">
        <v>24</v>
      </c>
      <c r="AA37" s="29" t="s">
        <v>24</v>
      </c>
      <c r="AB37" s="22" t="s">
        <v>176</v>
      </c>
      <c r="AE37" s="29">
        <f t="shared" si="0"/>
        <v>436900</v>
      </c>
      <c r="AF37" s="29">
        <v>436900</v>
      </c>
      <c r="AG37" s="29">
        <v>83011</v>
      </c>
      <c r="AH37" s="29">
        <v>519911</v>
      </c>
    </row>
    <row r="38" spans="1:34" ht="33" x14ac:dyDescent="0.3">
      <c r="A38" s="22">
        <v>36</v>
      </c>
      <c r="B38" s="23">
        <v>1042099821</v>
      </c>
      <c r="C38" s="24" t="s">
        <v>20</v>
      </c>
      <c r="D38" s="117" t="s">
        <v>422</v>
      </c>
      <c r="E38" s="26" t="s">
        <v>293</v>
      </c>
      <c r="F38" s="114" t="s">
        <v>422</v>
      </c>
      <c r="G38" s="26" t="e">
        <v>#N/A</v>
      </c>
      <c r="H38" s="26" t="e">
        <v>#N/A</v>
      </c>
      <c r="I38" s="26" t="s">
        <v>20</v>
      </c>
      <c r="J38" s="70">
        <v>528375.01</v>
      </c>
      <c r="K38" s="71">
        <v>0</v>
      </c>
      <c r="L38" s="71">
        <v>0</v>
      </c>
      <c r="M38" s="71">
        <v>5</v>
      </c>
      <c r="N38" s="71">
        <v>0.41666666666666669</v>
      </c>
      <c r="O38" s="71">
        <v>165</v>
      </c>
      <c r="P38" s="71">
        <v>13.75</v>
      </c>
      <c r="Q38" s="71">
        <v>0</v>
      </c>
      <c r="R38" s="71">
        <v>0</v>
      </c>
      <c r="S38" s="134"/>
      <c r="T38" s="134" t="s">
        <v>176</v>
      </c>
      <c r="U38" s="134" t="s">
        <v>176</v>
      </c>
      <c r="V38" s="22" t="s">
        <v>25</v>
      </c>
      <c r="W38" s="30">
        <v>390900</v>
      </c>
      <c r="X38" s="30" t="s">
        <v>25</v>
      </c>
      <c r="Y38" s="29" t="s">
        <v>25</v>
      </c>
      <c r="Z38" s="29">
        <v>289248</v>
      </c>
      <c r="AA38" s="29" t="s">
        <v>24</v>
      </c>
      <c r="AB38" s="22" t="s">
        <v>176</v>
      </c>
      <c r="AE38" s="29">
        <f t="shared" si="0"/>
        <v>289248</v>
      </c>
      <c r="AF38" s="29">
        <v>340074</v>
      </c>
      <c r="AG38" s="29">
        <v>64614.06</v>
      </c>
      <c r="AH38" s="29">
        <v>404688.06</v>
      </c>
    </row>
    <row r="39" spans="1:34" ht="33" x14ac:dyDescent="0.3">
      <c r="A39" s="22">
        <v>37</v>
      </c>
      <c r="B39" s="23">
        <v>1042099823</v>
      </c>
      <c r="C39" s="24" t="s">
        <v>20</v>
      </c>
      <c r="D39" s="117" t="s">
        <v>423</v>
      </c>
      <c r="E39" s="26" t="s">
        <v>90</v>
      </c>
      <c r="F39" s="114" t="s">
        <v>423</v>
      </c>
      <c r="G39" s="26" t="e">
        <v>#N/A</v>
      </c>
      <c r="H39" s="26" t="e">
        <v>#N/A</v>
      </c>
      <c r="I39" s="26" t="s">
        <v>20</v>
      </c>
      <c r="J39" s="70">
        <v>79155.009999999995</v>
      </c>
      <c r="K39" s="71">
        <v>0</v>
      </c>
      <c r="L39" s="71">
        <v>0</v>
      </c>
      <c r="M39" s="71">
        <v>0</v>
      </c>
      <c r="N39" s="71">
        <v>0</v>
      </c>
      <c r="O39" s="71">
        <v>50</v>
      </c>
      <c r="P39" s="71">
        <v>4.166666666666667</v>
      </c>
      <c r="Q39" s="71">
        <v>0</v>
      </c>
      <c r="R39" s="71">
        <v>0</v>
      </c>
      <c r="S39" s="134"/>
      <c r="T39" s="134" t="s">
        <v>176</v>
      </c>
      <c r="U39" s="134" t="s">
        <v>176</v>
      </c>
      <c r="V39" s="22" t="s">
        <v>25</v>
      </c>
      <c r="W39" s="30">
        <v>40900</v>
      </c>
      <c r="X39" s="30" t="s">
        <v>25</v>
      </c>
      <c r="Y39" s="29" t="s">
        <v>25</v>
      </c>
      <c r="Z39" s="29">
        <v>50840</v>
      </c>
      <c r="AA39" s="29" t="s">
        <v>24</v>
      </c>
      <c r="AB39" s="22" t="s">
        <v>176</v>
      </c>
      <c r="AE39" s="29">
        <f t="shared" si="0"/>
        <v>40900</v>
      </c>
      <c r="AF39" s="29">
        <v>45870</v>
      </c>
      <c r="AG39" s="29">
        <v>8715.2999999999993</v>
      </c>
      <c r="AH39" s="29">
        <v>54585.3</v>
      </c>
    </row>
    <row r="40" spans="1:34" ht="49.5" x14ac:dyDescent="0.3">
      <c r="A40" s="22">
        <v>38</v>
      </c>
      <c r="B40" s="23">
        <v>1042099824</v>
      </c>
      <c r="C40" s="24" t="s">
        <v>20</v>
      </c>
      <c r="D40" s="117" t="s">
        <v>424</v>
      </c>
      <c r="E40" s="26" t="s">
        <v>90</v>
      </c>
      <c r="F40" s="114" t="s">
        <v>424</v>
      </c>
      <c r="G40" s="26" t="e">
        <v>#N/A</v>
      </c>
      <c r="H40" s="26" t="e">
        <v>#N/A</v>
      </c>
      <c r="I40" s="26" t="s">
        <v>20</v>
      </c>
      <c r="J40" s="70">
        <v>1</v>
      </c>
      <c r="K40" s="71">
        <v>0</v>
      </c>
      <c r="L40" s="71">
        <v>0</v>
      </c>
      <c r="M40" s="71">
        <v>0</v>
      </c>
      <c r="N40" s="71">
        <v>0</v>
      </c>
      <c r="O40" s="71">
        <v>0</v>
      </c>
      <c r="P40" s="71">
        <v>0</v>
      </c>
      <c r="Q40" s="71">
        <v>0</v>
      </c>
      <c r="R40" s="71">
        <v>0</v>
      </c>
      <c r="S40" s="134"/>
      <c r="T40" s="106">
        <v>57900</v>
      </c>
      <c r="U40" s="106">
        <v>72000</v>
      </c>
      <c r="V40" s="22" t="s">
        <v>25</v>
      </c>
      <c r="W40" s="30" t="s">
        <v>25</v>
      </c>
      <c r="X40" s="30" t="s">
        <v>25</v>
      </c>
      <c r="Y40" s="29" t="s">
        <v>25</v>
      </c>
      <c r="Z40" s="29" t="s">
        <v>24</v>
      </c>
      <c r="AA40" s="29" t="s">
        <v>24</v>
      </c>
      <c r="AB40" s="106">
        <v>68976</v>
      </c>
      <c r="AE40" s="29">
        <f t="shared" si="0"/>
        <v>57900</v>
      </c>
      <c r="AF40" s="135">
        <v>66292</v>
      </c>
      <c r="AG40" s="29">
        <v>12595.48</v>
      </c>
      <c r="AH40" s="29">
        <v>78887.48</v>
      </c>
    </row>
    <row r="41" spans="1:34" ht="33" x14ac:dyDescent="0.3">
      <c r="A41" s="22">
        <v>39</v>
      </c>
      <c r="B41" s="23">
        <v>1042099827</v>
      </c>
      <c r="C41" s="24" t="s">
        <v>20</v>
      </c>
      <c r="D41" s="117" t="s">
        <v>425</v>
      </c>
      <c r="E41" s="26" t="s">
        <v>293</v>
      </c>
      <c r="F41" s="114" t="s">
        <v>426</v>
      </c>
      <c r="G41" s="26" t="e">
        <v>#N/A</v>
      </c>
      <c r="H41" s="26" t="e">
        <v>#N/A</v>
      </c>
      <c r="I41" s="26" t="s">
        <v>20</v>
      </c>
      <c r="J41" s="70">
        <v>1</v>
      </c>
      <c r="K41" s="71">
        <v>0</v>
      </c>
      <c r="L41" s="71">
        <v>0</v>
      </c>
      <c r="M41" s="71">
        <v>0</v>
      </c>
      <c r="N41" s="71">
        <v>0</v>
      </c>
      <c r="O41" s="71">
        <v>0</v>
      </c>
      <c r="P41" s="71">
        <v>0</v>
      </c>
      <c r="Q41" s="71">
        <v>0</v>
      </c>
      <c r="R41" s="71">
        <v>0</v>
      </c>
      <c r="S41" s="134"/>
      <c r="T41" s="134" t="s">
        <v>176</v>
      </c>
      <c r="U41" s="134" t="s">
        <v>176</v>
      </c>
      <c r="V41" s="22" t="s">
        <v>25</v>
      </c>
      <c r="W41" s="30">
        <v>390900</v>
      </c>
      <c r="X41" s="30" t="s">
        <v>25</v>
      </c>
      <c r="Y41" s="29" t="s">
        <v>25</v>
      </c>
      <c r="Z41" s="29" t="s">
        <v>24</v>
      </c>
      <c r="AA41" s="29">
        <v>300704</v>
      </c>
      <c r="AB41" s="22" t="s">
        <v>176</v>
      </c>
      <c r="AE41" s="29">
        <f t="shared" si="0"/>
        <v>300704</v>
      </c>
      <c r="AF41" s="29">
        <v>345802</v>
      </c>
      <c r="AG41" s="29">
        <v>65702.38</v>
      </c>
      <c r="AH41" s="29">
        <v>411504.38</v>
      </c>
    </row>
    <row r="42" spans="1:34" ht="33" x14ac:dyDescent="0.3">
      <c r="A42" s="22">
        <v>40</v>
      </c>
      <c r="B42" s="23">
        <v>1042099829</v>
      </c>
      <c r="C42" s="24" t="s">
        <v>20</v>
      </c>
      <c r="D42" s="117" t="s">
        <v>427</v>
      </c>
      <c r="E42" s="26" t="s">
        <v>293</v>
      </c>
      <c r="F42" s="114" t="s">
        <v>427</v>
      </c>
      <c r="G42" s="26" t="e">
        <v>#N/A</v>
      </c>
      <c r="H42" s="26" t="e">
        <v>#N/A</v>
      </c>
      <c r="I42" s="26" t="s">
        <v>20</v>
      </c>
      <c r="J42" s="70">
        <v>1</v>
      </c>
      <c r="K42" s="71">
        <v>0</v>
      </c>
      <c r="L42" s="71">
        <v>0</v>
      </c>
      <c r="M42" s="71">
        <v>0</v>
      </c>
      <c r="N42" s="71">
        <v>0</v>
      </c>
      <c r="O42" s="71">
        <v>0</v>
      </c>
      <c r="P42" s="71">
        <v>0</v>
      </c>
      <c r="Q42" s="71">
        <v>0</v>
      </c>
      <c r="R42" s="71">
        <v>0</v>
      </c>
      <c r="S42" s="134"/>
      <c r="T42" s="134" t="s">
        <v>176</v>
      </c>
      <c r="U42" s="134" t="s">
        <v>176</v>
      </c>
      <c r="V42" s="22" t="s">
        <v>25</v>
      </c>
      <c r="W42" s="30" t="s">
        <v>25</v>
      </c>
      <c r="X42" s="30" t="s">
        <v>25</v>
      </c>
      <c r="Y42" s="29" t="s">
        <v>25</v>
      </c>
      <c r="Z42" s="29" t="s">
        <v>24</v>
      </c>
      <c r="AA42" s="29">
        <v>300704</v>
      </c>
      <c r="AB42" s="22" t="s">
        <v>176</v>
      </c>
      <c r="AE42" s="29">
        <f t="shared" si="0"/>
        <v>300704</v>
      </c>
      <c r="AF42" s="29">
        <v>300704</v>
      </c>
      <c r="AG42" s="29">
        <v>57133.760000000002</v>
      </c>
      <c r="AH42" s="29">
        <v>357837.76</v>
      </c>
    </row>
    <row r="43" spans="1:34" x14ac:dyDescent="0.3">
      <c r="A43" s="22">
        <v>41</v>
      </c>
      <c r="B43" s="23">
        <v>1042021263</v>
      </c>
      <c r="C43" s="24" t="s">
        <v>20</v>
      </c>
      <c r="D43" s="117" t="s">
        <v>428</v>
      </c>
      <c r="E43" s="26" t="s">
        <v>22</v>
      </c>
      <c r="F43" s="114" t="s">
        <v>428</v>
      </c>
      <c r="G43" s="26" t="e">
        <v>#N/A</v>
      </c>
      <c r="H43" s="26" t="e">
        <v>#N/A</v>
      </c>
      <c r="I43" s="26" t="s">
        <v>20</v>
      </c>
      <c r="J43" s="70">
        <v>2975</v>
      </c>
      <c r="K43" s="71">
        <v>0</v>
      </c>
      <c r="L43" s="71">
        <v>30</v>
      </c>
      <c r="M43" s="71">
        <v>109</v>
      </c>
      <c r="N43" s="71">
        <v>9.0833333333333339</v>
      </c>
      <c r="O43" s="71">
        <v>0</v>
      </c>
      <c r="P43" s="71">
        <v>0</v>
      </c>
      <c r="Q43" s="71">
        <v>0</v>
      </c>
      <c r="R43" s="71">
        <v>0</v>
      </c>
      <c r="S43" s="134"/>
      <c r="T43" s="106">
        <v>5200</v>
      </c>
      <c r="U43" s="134" t="s">
        <v>24</v>
      </c>
      <c r="V43" s="22" t="s">
        <v>25</v>
      </c>
      <c r="W43" s="30" t="s">
        <v>25</v>
      </c>
      <c r="X43" s="30" t="s">
        <v>25</v>
      </c>
      <c r="Y43" s="29" t="s">
        <v>25</v>
      </c>
      <c r="Z43" s="29" t="s">
        <v>24</v>
      </c>
      <c r="AA43" s="29" t="s">
        <v>24</v>
      </c>
      <c r="AB43" s="22" t="s">
        <v>24</v>
      </c>
      <c r="AE43" s="29">
        <f t="shared" si="0"/>
        <v>5200</v>
      </c>
      <c r="AF43" s="135">
        <v>5200</v>
      </c>
      <c r="AG43" s="29">
        <v>988</v>
      </c>
      <c r="AH43" s="29">
        <v>6188</v>
      </c>
    </row>
    <row r="44" spans="1:34" x14ac:dyDescent="0.3">
      <c r="A44" s="22">
        <v>42</v>
      </c>
      <c r="B44" s="23">
        <v>1042099816</v>
      </c>
      <c r="C44" s="24" t="s">
        <v>20</v>
      </c>
      <c r="D44" s="117" t="s">
        <v>429</v>
      </c>
      <c r="E44" s="26" t="s">
        <v>22</v>
      </c>
      <c r="F44" s="114" t="s">
        <v>429</v>
      </c>
      <c r="G44" s="26" t="e">
        <v>#N/A</v>
      </c>
      <c r="H44" s="26" t="e">
        <v>#N/A</v>
      </c>
      <c r="I44" s="26" t="s">
        <v>20</v>
      </c>
      <c r="J44" s="70">
        <v>6003</v>
      </c>
      <c r="K44" s="71">
        <v>34</v>
      </c>
      <c r="L44" s="71">
        <v>39</v>
      </c>
      <c r="M44" s="71">
        <v>25</v>
      </c>
      <c r="N44" s="71">
        <v>2.0833333333333335</v>
      </c>
      <c r="O44" s="71">
        <v>33</v>
      </c>
      <c r="P44" s="71">
        <v>2.75</v>
      </c>
      <c r="Q44" s="71">
        <v>0</v>
      </c>
      <c r="R44" s="71">
        <v>0</v>
      </c>
      <c r="S44" s="134"/>
      <c r="T44" s="134" t="s">
        <v>176</v>
      </c>
      <c r="U44" s="134" t="s">
        <v>176</v>
      </c>
      <c r="V44" s="22" t="s">
        <v>25</v>
      </c>
      <c r="W44" s="30">
        <v>13400</v>
      </c>
      <c r="X44" s="30">
        <v>3500</v>
      </c>
      <c r="Y44" s="29">
        <v>4900</v>
      </c>
      <c r="Z44" s="29">
        <v>10538</v>
      </c>
      <c r="AA44" s="29">
        <v>5702</v>
      </c>
      <c r="AB44" s="22" t="s">
        <v>176</v>
      </c>
      <c r="AE44" s="29">
        <f t="shared" si="0"/>
        <v>3500</v>
      </c>
      <c r="AF44" s="29">
        <v>7608</v>
      </c>
      <c r="AG44" s="29">
        <v>1445.52</v>
      </c>
      <c r="AH44" s="29">
        <v>9053.52</v>
      </c>
    </row>
    <row r="45" spans="1:34" x14ac:dyDescent="0.3">
      <c r="A45" s="22">
        <v>43</v>
      </c>
      <c r="B45" s="23">
        <v>1121090904</v>
      </c>
      <c r="C45" s="24" t="s">
        <v>20</v>
      </c>
      <c r="D45" s="117" t="s">
        <v>430</v>
      </c>
      <c r="E45" s="26" t="s">
        <v>22</v>
      </c>
      <c r="F45" s="114" t="s">
        <v>430</v>
      </c>
      <c r="G45" s="26" t="e">
        <v>#N/A</v>
      </c>
      <c r="H45" s="26" t="e">
        <v>#N/A</v>
      </c>
      <c r="I45" s="26" t="s">
        <v>20</v>
      </c>
      <c r="J45" s="70">
        <v>1</v>
      </c>
      <c r="K45" s="71">
        <v>0</v>
      </c>
      <c r="L45" s="71">
        <v>0</v>
      </c>
      <c r="M45" s="71">
        <v>0</v>
      </c>
      <c r="N45" s="71">
        <v>0</v>
      </c>
      <c r="O45" s="71">
        <v>0</v>
      </c>
      <c r="P45" s="71">
        <v>0</v>
      </c>
      <c r="Q45" s="71">
        <v>0</v>
      </c>
      <c r="R45" s="71">
        <v>0</v>
      </c>
      <c r="S45" s="134"/>
      <c r="T45" s="134" t="s">
        <v>176</v>
      </c>
      <c r="U45" s="134" t="s">
        <v>176</v>
      </c>
      <c r="V45" s="22" t="s">
        <v>25</v>
      </c>
      <c r="W45" s="30" t="s">
        <v>25</v>
      </c>
      <c r="X45" s="30">
        <v>2600</v>
      </c>
      <c r="Y45" s="29">
        <v>2300</v>
      </c>
      <c r="Z45" s="29" t="s">
        <v>24</v>
      </c>
      <c r="AA45" s="136">
        <v>3529</v>
      </c>
      <c r="AB45" s="22" t="s">
        <v>176</v>
      </c>
      <c r="AE45" s="29">
        <f t="shared" si="0"/>
        <v>2300</v>
      </c>
      <c r="AF45" s="29">
        <v>2809.6666666666665</v>
      </c>
      <c r="AG45" s="29">
        <v>533.83666666666659</v>
      </c>
      <c r="AH45" s="29">
        <v>3343.5033333333331</v>
      </c>
    </row>
    <row r="46" spans="1:34" x14ac:dyDescent="0.3">
      <c r="A46" s="22">
        <v>44</v>
      </c>
      <c r="B46" s="31">
        <v>1121090145</v>
      </c>
      <c r="C46" s="32"/>
      <c r="D46" s="117" t="s">
        <v>431</v>
      </c>
      <c r="E46" s="26" t="s">
        <v>22</v>
      </c>
      <c r="F46" s="117" t="s">
        <v>431</v>
      </c>
      <c r="G46" s="32"/>
      <c r="H46" s="32"/>
      <c r="I46" s="32"/>
      <c r="J46" s="32"/>
      <c r="K46" s="32"/>
      <c r="L46" s="32"/>
      <c r="M46" s="32"/>
      <c r="N46" s="32"/>
      <c r="O46" s="32"/>
      <c r="P46" s="32"/>
      <c r="Q46" s="32"/>
      <c r="R46" s="32"/>
      <c r="S46" s="22"/>
      <c r="T46" s="134" t="s">
        <v>176</v>
      </c>
      <c r="U46" s="134" t="s">
        <v>176</v>
      </c>
      <c r="V46" s="22" t="s">
        <v>25</v>
      </c>
      <c r="W46" s="30" t="s">
        <v>25</v>
      </c>
      <c r="X46" s="30">
        <v>3300</v>
      </c>
      <c r="Y46" s="29">
        <v>3000</v>
      </c>
      <c r="Z46" s="29" t="s">
        <v>24</v>
      </c>
      <c r="AA46" s="94" t="s">
        <v>37</v>
      </c>
      <c r="AB46" s="22" t="s">
        <v>176</v>
      </c>
      <c r="AE46" s="29">
        <f t="shared" si="0"/>
        <v>3000</v>
      </c>
      <c r="AF46" s="29">
        <v>3150</v>
      </c>
      <c r="AG46" s="29">
        <v>598.5</v>
      </c>
      <c r="AH46" s="29">
        <v>3748.5</v>
      </c>
    </row>
    <row r="47" spans="1:34" ht="33" x14ac:dyDescent="0.3">
      <c r="A47" s="22">
        <v>45</v>
      </c>
      <c r="B47" s="23">
        <v>1106020059</v>
      </c>
      <c r="C47" s="24" t="s">
        <v>20</v>
      </c>
      <c r="D47" s="117" t="s">
        <v>432</v>
      </c>
      <c r="E47" s="26" t="s">
        <v>66</v>
      </c>
      <c r="F47" s="114" t="s">
        <v>433</v>
      </c>
      <c r="G47" s="26" t="e">
        <v>#N/A</v>
      </c>
      <c r="H47" s="26" t="e">
        <v>#N/A</v>
      </c>
      <c r="I47" s="26" t="s">
        <v>20</v>
      </c>
      <c r="J47" s="70">
        <v>1</v>
      </c>
      <c r="K47" s="71">
        <v>0</v>
      </c>
      <c r="L47" s="71">
        <v>0</v>
      </c>
      <c r="M47" s="71">
        <v>0</v>
      </c>
      <c r="N47" s="71">
        <v>0</v>
      </c>
      <c r="O47" s="71">
        <v>0</v>
      </c>
      <c r="P47" s="71">
        <v>0</v>
      </c>
      <c r="Q47" s="71">
        <v>0</v>
      </c>
      <c r="R47" s="71">
        <v>0</v>
      </c>
      <c r="S47" s="134"/>
      <c r="T47" s="106">
        <v>98900</v>
      </c>
      <c r="U47" s="106">
        <v>94350</v>
      </c>
      <c r="V47" s="22" t="s">
        <v>25</v>
      </c>
      <c r="W47" s="30" t="s">
        <v>25</v>
      </c>
      <c r="X47" s="30" t="s">
        <v>25</v>
      </c>
      <c r="Y47" s="29" t="s">
        <v>25</v>
      </c>
      <c r="Z47" s="29" t="s">
        <v>24</v>
      </c>
      <c r="AA47" s="94" t="s">
        <v>24</v>
      </c>
      <c r="AB47" s="22" t="s">
        <v>24</v>
      </c>
      <c r="AE47" s="29">
        <f t="shared" si="0"/>
        <v>94350</v>
      </c>
      <c r="AF47" s="135">
        <v>96625</v>
      </c>
      <c r="AG47" s="29">
        <v>18358.75</v>
      </c>
      <c r="AH47" s="29">
        <v>114983.75</v>
      </c>
    </row>
    <row r="48" spans="1:34" x14ac:dyDescent="0.3">
      <c r="A48" s="22">
        <v>46</v>
      </c>
      <c r="B48" s="23">
        <v>1043205103</v>
      </c>
      <c r="C48" s="24" t="s">
        <v>20</v>
      </c>
      <c r="D48" s="117" t="s">
        <v>434</v>
      </c>
      <c r="E48" s="26" t="s">
        <v>51</v>
      </c>
      <c r="F48" s="114" t="s">
        <v>434</v>
      </c>
      <c r="G48" s="26" t="e">
        <v>#N/A</v>
      </c>
      <c r="H48" s="26" t="e">
        <v>#N/A</v>
      </c>
      <c r="I48" s="26" t="s">
        <v>20</v>
      </c>
      <c r="J48" s="70">
        <v>1</v>
      </c>
      <c r="K48" s="71">
        <v>0</v>
      </c>
      <c r="L48" s="71">
        <v>0</v>
      </c>
      <c r="M48" s="71">
        <v>0</v>
      </c>
      <c r="N48" s="71">
        <v>0</v>
      </c>
      <c r="O48" s="71">
        <v>0</v>
      </c>
      <c r="P48" s="71">
        <v>0</v>
      </c>
      <c r="Q48" s="71">
        <v>0</v>
      </c>
      <c r="R48" s="71">
        <v>0</v>
      </c>
      <c r="S48" s="134"/>
      <c r="T48" s="134" t="s">
        <v>176</v>
      </c>
      <c r="U48" s="134" t="s">
        <v>176</v>
      </c>
      <c r="V48" s="22" t="s">
        <v>25</v>
      </c>
      <c r="W48" s="30" t="s">
        <v>25</v>
      </c>
      <c r="X48" s="30" t="s">
        <v>25</v>
      </c>
      <c r="Y48" s="29" t="s">
        <v>25</v>
      </c>
      <c r="Z48" s="29">
        <v>58894</v>
      </c>
      <c r="AA48" s="94">
        <v>43550</v>
      </c>
      <c r="AB48" s="22" t="s">
        <v>176</v>
      </c>
      <c r="AE48" s="29">
        <f t="shared" si="0"/>
        <v>43550</v>
      </c>
      <c r="AF48" s="29">
        <v>51222</v>
      </c>
      <c r="AG48" s="29">
        <v>9732.18</v>
      </c>
      <c r="AH48" s="29">
        <v>60954.18</v>
      </c>
    </row>
    <row r="49" spans="1:61" x14ac:dyDescent="0.3">
      <c r="A49" s="22">
        <v>47</v>
      </c>
      <c r="B49" s="23">
        <v>1042099131</v>
      </c>
      <c r="C49" s="24" t="s">
        <v>20</v>
      </c>
      <c r="D49" s="117" t="s">
        <v>435</v>
      </c>
      <c r="E49" s="26" t="s">
        <v>90</v>
      </c>
      <c r="F49" s="114" t="s">
        <v>435</v>
      </c>
      <c r="G49" s="26" t="e">
        <v>#N/A</v>
      </c>
      <c r="H49" s="26" t="e">
        <v>#N/A</v>
      </c>
      <c r="I49" s="26" t="s">
        <v>20</v>
      </c>
      <c r="J49" s="70">
        <v>450471</v>
      </c>
      <c r="K49" s="71">
        <v>82</v>
      </c>
      <c r="L49" s="71">
        <v>70</v>
      </c>
      <c r="M49" s="71">
        <v>119</v>
      </c>
      <c r="N49" s="71">
        <v>9.9166666666666661</v>
      </c>
      <c r="O49" s="71">
        <v>0</v>
      </c>
      <c r="P49" s="71">
        <v>0</v>
      </c>
      <c r="Q49" s="71">
        <v>0</v>
      </c>
      <c r="R49" s="71">
        <v>0</v>
      </c>
      <c r="S49" s="134"/>
      <c r="T49" s="134" t="s">
        <v>176</v>
      </c>
      <c r="U49" s="134" t="s">
        <v>176</v>
      </c>
      <c r="V49" s="22" t="s">
        <v>25</v>
      </c>
      <c r="W49" s="30">
        <v>32900</v>
      </c>
      <c r="X49" s="30" t="s">
        <v>25</v>
      </c>
      <c r="Y49" s="29" t="s">
        <v>25</v>
      </c>
      <c r="Z49" s="29" t="s">
        <v>24</v>
      </c>
      <c r="AA49" s="94"/>
      <c r="AB49" s="22" t="s">
        <v>176</v>
      </c>
      <c r="AE49" s="29">
        <f t="shared" si="0"/>
        <v>32900</v>
      </c>
      <c r="AF49" s="29">
        <v>32900</v>
      </c>
      <c r="AG49" s="29">
        <v>6251</v>
      </c>
      <c r="AH49" s="29">
        <v>39151</v>
      </c>
    </row>
    <row r="50" spans="1:61" x14ac:dyDescent="0.3">
      <c r="A50" s="22">
        <v>48</v>
      </c>
      <c r="B50" s="23">
        <v>1042099229</v>
      </c>
      <c r="C50" s="24" t="s">
        <v>20</v>
      </c>
      <c r="D50" s="117" t="s">
        <v>436</v>
      </c>
      <c r="E50" s="26" t="s">
        <v>90</v>
      </c>
      <c r="F50" s="114" t="s">
        <v>436</v>
      </c>
      <c r="G50" s="26" t="e">
        <v>#N/A</v>
      </c>
      <c r="H50" s="26" t="e">
        <v>#N/A</v>
      </c>
      <c r="I50" s="26" t="s">
        <v>20</v>
      </c>
      <c r="J50" s="70">
        <v>15987.6</v>
      </c>
      <c r="K50" s="71">
        <v>2379.6699999999996</v>
      </c>
      <c r="L50" s="71">
        <v>65</v>
      </c>
      <c r="M50" s="71">
        <v>0</v>
      </c>
      <c r="N50" s="71">
        <v>0</v>
      </c>
      <c r="O50" s="71">
        <v>37</v>
      </c>
      <c r="P50" s="71">
        <v>3.0833333333333335</v>
      </c>
      <c r="Q50" s="71">
        <v>0</v>
      </c>
      <c r="R50" s="71">
        <v>0</v>
      </c>
      <c r="S50" s="134"/>
      <c r="T50" s="134" t="s">
        <v>176</v>
      </c>
      <c r="U50" s="134" t="s">
        <v>176</v>
      </c>
      <c r="V50" s="22" t="s">
        <v>25</v>
      </c>
      <c r="W50" s="30">
        <v>27700</v>
      </c>
      <c r="X50" s="30" t="s">
        <v>25</v>
      </c>
      <c r="Y50" s="29" t="s">
        <v>25</v>
      </c>
      <c r="Z50" s="29" t="s">
        <v>24</v>
      </c>
      <c r="AA50" s="94">
        <v>15553</v>
      </c>
      <c r="AB50" s="22" t="s">
        <v>176</v>
      </c>
      <c r="AE50" s="29">
        <f t="shared" si="0"/>
        <v>15553</v>
      </c>
      <c r="AF50" s="29">
        <v>21626.5</v>
      </c>
      <c r="AG50" s="29">
        <v>4109.0349999999999</v>
      </c>
      <c r="AH50" s="29">
        <v>25735.535</v>
      </c>
    </row>
    <row r="51" spans="1:61" ht="33" x14ac:dyDescent="0.3">
      <c r="A51" s="22">
        <v>49</v>
      </c>
      <c r="B51" s="23">
        <v>1042099830</v>
      </c>
      <c r="C51" s="24" t="s">
        <v>20</v>
      </c>
      <c r="D51" s="117" t="s">
        <v>437</v>
      </c>
      <c r="E51" s="26" t="s">
        <v>22</v>
      </c>
      <c r="F51" s="114" t="s">
        <v>438</v>
      </c>
      <c r="G51" s="26" t="e">
        <v>#N/A</v>
      </c>
      <c r="H51" s="26" t="e">
        <v>#N/A</v>
      </c>
      <c r="I51" s="26" t="s">
        <v>20</v>
      </c>
      <c r="J51" s="70">
        <v>1</v>
      </c>
      <c r="K51" s="71">
        <v>0</v>
      </c>
      <c r="L51" s="71">
        <v>0</v>
      </c>
      <c r="M51" s="71">
        <v>0</v>
      </c>
      <c r="N51" s="71">
        <v>0</v>
      </c>
      <c r="O51" s="71">
        <v>0</v>
      </c>
      <c r="P51" s="71">
        <v>0</v>
      </c>
      <c r="Q51" s="71">
        <v>0</v>
      </c>
      <c r="R51" s="71">
        <v>0</v>
      </c>
      <c r="S51" s="134"/>
      <c r="T51" s="106">
        <v>20900</v>
      </c>
      <c r="U51" s="134" t="s">
        <v>24</v>
      </c>
      <c r="V51" s="22" t="s">
        <v>25</v>
      </c>
      <c r="W51" s="30" t="s">
        <v>25</v>
      </c>
      <c r="X51" s="30" t="s">
        <v>25</v>
      </c>
      <c r="Y51" s="29" t="s">
        <v>25</v>
      </c>
      <c r="Z51" s="29" t="s">
        <v>24</v>
      </c>
      <c r="AA51" s="94" t="s">
        <v>24</v>
      </c>
      <c r="AB51" s="22" t="s">
        <v>24</v>
      </c>
      <c r="AE51" s="29">
        <f t="shared" si="0"/>
        <v>20900</v>
      </c>
      <c r="AF51" s="135">
        <v>20900</v>
      </c>
      <c r="AG51" s="29">
        <v>3971</v>
      </c>
      <c r="AH51" s="29">
        <v>24871</v>
      </c>
    </row>
    <row r="52" spans="1:61" ht="33" x14ac:dyDescent="0.3">
      <c r="A52" s="22">
        <v>50</v>
      </c>
      <c r="B52" s="23">
        <v>1043288783</v>
      </c>
      <c r="C52" s="24" t="s">
        <v>20</v>
      </c>
      <c r="D52" s="117" t="s">
        <v>439</v>
      </c>
      <c r="E52" s="26" t="s">
        <v>97</v>
      </c>
      <c r="F52" s="114" t="s">
        <v>439</v>
      </c>
      <c r="G52" s="26" t="e">
        <v>#N/A</v>
      </c>
      <c r="H52" s="26" t="e">
        <v>#N/A</v>
      </c>
      <c r="I52" s="26" t="s">
        <v>20</v>
      </c>
      <c r="J52" s="70">
        <v>1</v>
      </c>
      <c r="K52" s="71">
        <v>0</v>
      </c>
      <c r="L52" s="71">
        <v>0</v>
      </c>
      <c r="M52" s="71">
        <v>0</v>
      </c>
      <c r="N52" s="71">
        <v>0</v>
      </c>
      <c r="O52" s="71">
        <v>0</v>
      </c>
      <c r="P52" s="71">
        <v>0</v>
      </c>
      <c r="Q52" s="71">
        <v>0</v>
      </c>
      <c r="R52" s="71">
        <v>0</v>
      </c>
      <c r="S52" s="134"/>
      <c r="T52" s="134" t="s">
        <v>176</v>
      </c>
      <c r="U52" s="134" t="s">
        <v>176</v>
      </c>
      <c r="V52" s="22" t="s">
        <v>25</v>
      </c>
      <c r="W52" s="30">
        <v>3100</v>
      </c>
      <c r="X52" s="30" t="s">
        <v>25</v>
      </c>
      <c r="Y52" s="29" t="s">
        <v>25</v>
      </c>
      <c r="Z52" s="29" t="s">
        <v>24</v>
      </c>
      <c r="AA52" s="94" t="s">
        <v>104</v>
      </c>
      <c r="AB52" s="22" t="s">
        <v>176</v>
      </c>
      <c r="AE52" s="29">
        <f t="shared" si="0"/>
        <v>3100</v>
      </c>
      <c r="AF52" s="29">
        <v>3100</v>
      </c>
      <c r="AG52" s="29">
        <v>589</v>
      </c>
      <c r="AH52" s="29">
        <v>3689</v>
      </c>
    </row>
    <row r="53" spans="1:61" ht="33" x14ac:dyDescent="0.3">
      <c r="A53" s="22">
        <v>51</v>
      </c>
      <c r="B53" s="23">
        <v>1043288785</v>
      </c>
      <c r="C53" s="24" t="s">
        <v>20</v>
      </c>
      <c r="D53" s="117" t="s">
        <v>440</v>
      </c>
      <c r="E53" s="26" t="s">
        <v>97</v>
      </c>
      <c r="F53" s="114" t="s">
        <v>440</v>
      </c>
      <c r="G53" s="26" t="e">
        <v>#N/A</v>
      </c>
      <c r="H53" s="26" t="e">
        <v>#N/A</v>
      </c>
      <c r="I53" s="26" t="s">
        <v>20</v>
      </c>
      <c r="J53" s="70">
        <v>1</v>
      </c>
      <c r="K53" s="71">
        <v>0</v>
      </c>
      <c r="L53" s="71">
        <v>0</v>
      </c>
      <c r="M53" s="71">
        <v>0</v>
      </c>
      <c r="N53" s="71">
        <v>0</v>
      </c>
      <c r="O53" s="71">
        <v>0</v>
      </c>
      <c r="P53" s="71">
        <v>0</v>
      </c>
      <c r="Q53" s="71">
        <v>0</v>
      </c>
      <c r="R53" s="71">
        <v>0</v>
      </c>
      <c r="S53" s="134"/>
      <c r="T53" s="134" t="s">
        <v>176</v>
      </c>
      <c r="U53" s="134" t="s">
        <v>176</v>
      </c>
      <c r="V53" s="22" t="s">
        <v>25</v>
      </c>
      <c r="W53" s="30">
        <v>7400</v>
      </c>
      <c r="X53" s="30" t="s">
        <v>25</v>
      </c>
      <c r="Y53" s="29" t="s">
        <v>25</v>
      </c>
      <c r="Z53" s="29" t="s">
        <v>24</v>
      </c>
      <c r="AA53" s="94" t="s">
        <v>104</v>
      </c>
      <c r="AB53" s="22" t="s">
        <v>176</v>
      </c>
      <c r="AE53" s="29">
        <f t="shared" si="0"/>
        <v>7400</v>
      </c>
      <c r="AF53" s="29">
        <v>7400</v>
      </c>
      <c r="AG53" s="29">
        <v>1406</v>
      </c>
      <c r="AH53" s="29">
        <v>8806</v>
      </c>
    </row>
    <row r="54" spans="1:61" ht="33" x14ac:dyDescent="0.3">
      <c r="A54" s="22">
        <v>52</v>
      </c>
      <c r="B54" s="23">
        <v>1043288786</v>
      </c>
      <c r="C54" s="24" t="s">
        <v>20</v>
      </c>
      <c r="D54" s="117" t="s">
        <v>441</v>
      </c>
      <c r="E54" s="26" t="s">
        <v>97</v>
      </c>
      <c r="F54" s="114" t="s">
        <v>441</v>
      </c>
      <c r="G54" s="26" t="e">
        <v>#N/A</v>
      </c>
      <c r="H54" s="26" t="e">
        <v>#N/A</v>
      </c>
      <c r="I54" s="26" t="s">
        <v>20</v>
      </c>
      <c r="J54" s="70">
        <v>1</v>
      </c>
      <c r="K54" s="71">
        <v>0</v>
      </c>
      <c r="L54" s="71">
        <v>0</v>
      </c>
      <c r="M54" s="71">
        <v>0</v>
      </c>
      <c r="N54" s="71">
        <v>0</v>
      </c>
      <c r="O54" s="71">
        <v>0</v>
      </c>
      <c r="P54" s="71">
        <v>0</v>
      </c>
      <c r="Q54" s="71">
        <v>0</v>
      </c>
      <c r="R54" s="71">
        <v>0</v>
      </c>
      <c r="S54" s="134"/>
      <c r="T54" s="106">
        <v>6500</v>
      </c>
      <c r="U54" s="134" t="s">
        <v>37</v>
      </c>
      <c r="V54" s="22" t="s">
        <v>25</v>
      </c>
      <c r="W54" s="30" t="s">
        <v>25</v>
      </c>
      <c r="X54" s="30" t="s">
        <v>25</v>
      </c>
      <c r="Y54" s="29" t="s">
        <v>25</v>
      </c>
      <c r="Z54" s="29" t="s">
        <v>24</v>
      </c>
      <c r="AA54" s="52" t="s">
        <v>24</v>
      </c>
      <c r="AB54" s="134" t="s">
        <v>37</v>
      </c>
      <c r="AE54" s="29">
        <f t="shared" si="0"/>
        <v>6500</v>
      </c>
      <c r="AF54" s="57">
        <v>6500</v>
      </c>
      <c r="AG54" s="29">
        <v>1235</v>
      </c>
      <c r="AH54" s="29">
        <v>7735</v>
      </c>
    </row>
    <row r="55" spans="1:61" ht="33" x14ac:dyDescent="0.3">
      <c r="A55" s="22">
        <v>53</v>
      </c>
      <c r="B55" s="23">
        <v>1043288787</v>
      </c>
      <c r="C55" s="24" t="s">
        <v>20</v>
      </c>
      <c r="D55" s="117" t="s">
        <v>442</v>
      </c>
      <c r="E55" s="26" t="s">
        <v>97</v>
      </c>
      <c r="F55" s="114" t="s">
        <v>442</v>
      </c>
      <c r="G55" s="26" t="e">
        <v>#N/A</v>
      </c>
      <c r="H55" s="26" t="e">
        <v>#N/A</v>
      </c>
      <c r="I55" s="26" t="s">
        <v>20</v>
      </c>
      <c r="J55" s="70">
        <v>1</v>
      </c>
      <c r="K55" s="71">
        <v>0</v>
      </c>
      <c r="L55" s="71">
        <v>0</v>
      </c>
      <c r="M55" s="71">
        <v>0</v>
      </c>
      <c r="N55" s="71">
        <v>0</v>
      </c>
      <c r="O55" s="71">
        <v>0</v>
      </c>
      <c r="P55" s="71">
        <v>0</v>
      </c>
      <c r="Q55" s="71">
        <v>0</v>
      </c>
      <c r="R55" s="71">
        <v>0</v>
      </c>
      <c r="S55" s="137"/>
      <c r="T55" s="106">
        <v>6900</v>
      </c>
      <c r="U55" s="106">
        <v>17900</v>
      </c>
      <c r="V55" s="22" t="s">
        <v>25</v>
      </c>
      <c r="W55" s="30" t="s">
        <v>25</v>
      </c>
      <c r="X55" s="30" t="s">
        <v>25</v>
      </c>
      <c r="Y55" s="29" t="s">
        <v>25</v>
      </c>
      <c r="Z55" s="29" t="s">
        <v>24</v>
      </c>
      <c r="AA55" s="94" t="s">
        <v>24</v>
      </c>
      <c r="AB55" s="134" t="s">
        <v>37</v>
      </c>
      <c r="AE55" s="29">
        <f t="shared" si="0"/>
        <v>6900</v>
      </c>
      <c r="AF55" s="29">
        <v>12400</v>
      </c>
      <c r="AG55" s="29">
        <v>2356</v>
      </c>
      <c r="AH55" s="29">
        <v>14756</v>
      </c>
    </row>
    <row r="56" spans="1:61" ht="33" x14ac:dyDescent="0.3">
      <c r="A56" s="22">
        <v>54</v>
      </c>
      <c r="B56" s="23">
        <v>1043205874</v>
      </c>
      <c r="C56" s="24" t="s">
        <v>20</v>
      </c>
      <c r="D56" s="117" t="s">
        <v>443</v>
      </c>
      <c r="E56" s="26" t="s">
        <v>22</v>
      </c>
      <c r="F56" s="114" t="s">
        <v>443</v>
      </c>
      <c r="G56" s="26" t="e">
        <v>#N/A</v>
      </c>
      <c r="H56" s="26" t="e">
        <v>#N/A</v>
      </c>
      <c r="I56" s="26" t="s">
        <v>20</v>
      </c>
      <c r="J56" s="70">
        <v>3555.99</v>
      </c>
      <c r="K56" s="71">
        <v>0</v>
      </c>
      <c r="L56" s="71">
        <v>0</v>
      </c>
      <c r="M56" s="71">
        <v>0</v>
      </c>
      <c r="N56" s="71">
        <v>0</v>
      </c>
      <c r="O56" s="71">
        <v>20</v>
      </c>
      <c r="P56" s="71">
        <v>1.6666666666666667</v>
      </c>
      <c r="Q56" s="71">
        <v>0</v>
      </c>
      <c r="R56" s="71">
        <v>0</v>
      </c>
      <c r="S56" s="134"/>
      <c r="T56" s="134" t="s">
        <v>37</v>
      </c>
      <c r="U56" s="106">
        <v>3500</v>
      </c>
      <c r="V56" s="22" t="s">
        <v>25</v>
      </c>
      <c r="W56" s="30" t="s">
        <v>25</v>
      </c>
      <c r="X56" s="30" t="s">
        <v>25</v>
      </c>
      <c r="Y56" s="29" t="s">
        <v>25</v>
      </c>
      <c r="Z56" s="29" t="s">
        <v>24</v>
      </c>
      <c r="AA56" s="94" t="s">
        <v>24</v>
      </c>
      <c r="AB56" s="22" t="s">
        <v>24</v>
      </c>
      <c r="AE56" s="29">
        <f t="shared" si="0"/>
        <v>3500</v>
      </c>
      <c r="AF56" s="41">
        <v>3500</v>
      </c>
      <c r="AG56" s="29">
        <v>665</v>
      </c>
      <c r="AH56" s="29">
        <v>4165</v>
      </c>
    </row>
    <row r="57" spans="1:61" x14ac:dyDescent="0.3">
      <c r="A57" s="22">
        <v>55</v>
      </c>
      <c r="B57" s="23">
        <v>1042099831</v>
      </c>
      <c r="C57" s="24" t="s">
        <v>20</v>
      </c>
      <c r="D57" s="117" t="s">
        <v>444</v>
      </c>
      <c r="E57" s="26" t="s">
        <v>293</v>
      </c>
      <c r="F57" s="114" t="s">
        <v>445</v>
      </c>
      <c r="G57" s="26" t="e">
        <v>#N/A</v>
      </c>
      <c r="H57" s="26" t="e">
        <v>#N/A</v>
      </c>
      <c r="I57" s="26" t="s">
        <v>20</v>
      </c>
      <c r="J57" s="70">
        <v>298530.89</v>
      </c>
      <c r="K57" s="71">
        <v>0</v>
      </c>
      <c r="L57" s="71">
        <v>0</v>
      </c>
      <c r="M57" s="71">
        <v>2</v>
      </c>
      <c r="N57" s="71">
        <v>0.16666666666666666</v>
      </c>
      <c r="O57" s="71">
        <v>91</v>
      </c>
      <c r="P57" s="71">
        <v>7.583333333333333</v>
      </c>
      <c r="Q57" s="71">
        <v>0</v>
      </c>
      <c r="R57" s="71">
        <v>0</v>
      </c>
      <c r="S57" s="137"/>
      <c r="T57" s="134" t="s">
        <v>176</v>
      </c>
      <c r="U57" s="134" t="s">
        <v>176</v>
      </c>
      <c r="V57" s="22" t="s">
        <v>25</v>
      </c>
      <c r="W57" s="30" t="s">
        <v>25</v>
      </c>
      <c r="X57" s="30" t="s">
        <v>25</v>
      </c>
      <c r="Y57" s="29" t="s">
        <v>25</v>
      </c>
      <c r="Z57" s="29">
        <v>141457</v>
      </c>
      <c r="AA57" s="94">
        <v>153462</v>
      </c>
      <c r="AB57" s="22" t="s">
        <v>176</v>
      </c>
      <c r="AE57" s="29">
        <f t="shared" si="0"/>
        <v>141457</v>
      </c>
      <c r="AF57" s="29">
        <v>147459.5</v>
      </c>
      <c r="AG57" s="29">
        <v>28017.305</v>
      </c>
      <c r="AH57" s="29">
        <v>175476.80499999999</v>
      </c>
    </row>
    <row r="58" spans="1:61" x14ac:dyDescent="0.3">
      <c r="A58" s="22">
        <v>56</v>
      </c>
      <c r="B58" s="118">
        <v>1042099832</v>
      </c>
      <c r="C58" s="118" t="s">
        <v>20</v>
      </c>
      <c r="D58" s="117" t="s">
        <v>444</v>
      </c>
      <c r="E58" s="26" t="s">
        <v>90</v>
      </c>
      <c r="F58" s="114" t="s">
        <v>445</v>
      </c>
      <c r="G58" s="138" t="e">
        <v>#N/A</v>
      </c>
      <c r="H58" s="138" t="e">
        <v>#N/A</v>
      </c>
      <c r="I58" s="138" t="s">
        <v>20</v>
      </c>
      <c r="J58" s="139">
        <v>1</v>
      </c>
      <c r="K58" s="140">
        <v>0</v>
      </c>
      <c r="L58" s="140">
        <v>0</v>
      </c>
      <c r="M58" s="140">
        <v>0</v>
      </c>
      <c r="N58" s="140">
        <v>0</v>
      </c>
      <c r="O58" s="140">
        <v>0</v>
      </c>
      <c r="P58" s="140">
        <v>0</v>
      </c>
      <c r="Q58" s="140">
        <v>0</v>
      </c>
      <c r="R58" s="140">
        <v>0</v>
      </c>
      <c r="S58" s="141"/>
      <c r="T58" s="134" t="s">
        <v>176</v>
      </c>
      <c r="U58" s="134" t="s">
        <v>176</v>
      </c>
      <c r="V58" s="22" t="s">
        <v>25</v>
      </c>
      <c r="W58" s="30" t="s">
        <v>25</v>
      </c>
      <c r="X58" s="30" t="s">
        <v>25</v>
      </c>
      <c r="Y58" s="29" t="s">
        <v>25</v>
      </c>
      <c r="Z58" s="29" t="s">
        <v>24</v>
      </c>
      <c r="AA58" s="94">
        <v>153462</v>
      </c>
      <c r="AB58" s="22" t="s">
        <v>176</v>
      </c>
      <c r="AE58" s="29">
        <f t="shared" si="0"/>
        <v>153462</v>
      </c>
      <c r="AF58" s="29">
        <v>153462</v>
      </c>
      <c r="AG58" s="29">
        <v>29157.78</v>
      </c>
      <c r="AH58" s="29">
        <v>182619.78</v>
      </c>
    </row>
    <row r="59" spans="1:61" ht="33" x14ac:dyDescent="0.3">
      <c r="A59" s="34">
        <v>57</v>
      </c>
      <c r="B59" s="36">
        <v>1042099069</v>
      </c>
      <c r="C59" s="118" t="s">
        <v>20</v>
      </c>
      <c r="D59" s="142" t="s">
        <v>446</v>
      </c>
      <c r="E59" s="38" t="s">
        <v>90</v>
      </c>
      <c r="F59" s="120" t="s">
        <v>446</v>
      </c>
      <c r="G59" s="138" t="e">
        <v>#N/A</v>
      </c>
      <c r="H59" s="138" t="e">
        <v>#N/A</v>
      </c>
      <c r="I59" s="138" t="s">
        <v>20</v>
      </c>
      <c r="J59" s="139">
        <v>1</v>
      </c>
      <c r="K59" s="140">
        <v>0</v>
      </c>
      <c r="L59" s="140">
        <v>0</v>
      </c>
      <c r="M59" s="140">
        <v>0</v>
      </c>
      <c r="N59" s="140">
        <v>0</v>
      </c>
      <c r="O59" s="140">
        <v>0</v>
      </c>
      <c r="P59" s="140">
        <v>0</v>
      </c>
      <c r="Q59" s="140">
        <v>0</v>
      </c>
      <c r="R59" s="140">
        <v>0</v>
      </c>
      <c r="S59" s="141"/>
      <c r="T59" s="143" t="s">
        <v>176</v>
      </c>
      <c r="U59" s="143" t="s">
        <v>176</v>
      </c>
      <c r="V59" s="34" t="s">
        <v>25</v>
      </c>
      <c r="W59" s="42" t="s">
        <v>25</v>
      </c>
      <c r="X59" s="42" t="s">
        <v>25</v>
      </c>
      <c r="Y59" s="41" t="s">
        <v>25</v>
      </c>
      <c r="Z59" s="41" t="s">
        <v>24</v>
      </c>
      <c r="AA59" s="105">
        <v>43550</v>
      </c>
      <c r="AB59" s="34" t="s">
        <v>176</v>
      </c>
      <c r="AE59" s="41">
        <f t="shared" si="0"/>
        <v>43550</v>
      </c>
      <c r="AF59" s="41">
        <v>43550</v>
      </c>
      <c r="AG59" s="41">
        <v>8274.5</v>
      </c>
      <c r="AH59" s="41">
        <v>51824.5</v>
      </c>
    </row>
    <row r="60" spans="1:61" s="22" customFormat="1" x14ac:dyDescent="0.3">
      <c r="A60" s="22">
        <v>58</v>
      </c>
      <c r="B60" s="24">
        <v>1042021259</v>
      </c>
      <c r="C60" s="24" t="s">
        <v>20</v>
      </c>
      <c r="D60" s="117" t="s">
        <v>447</v>
      </c>
      <c r="E60" s="26" t="s">
        <v>231</v>
      </c>
      <c r="F60" s="114" t="s">
        <v>448</v>
      </c>
      <c r="G60" s="26" t="e">
        <v>#N/A</v>
      </c>
      <c r="H60" s="26" t="e">
        <v>#N/A</v>
      </c>
      <c r="I60" s="26" t="s">
        <v>20</v>
      </c>
      <c r="J60" s="70">
        <v>29365.97667</v>
      </c>
      <c r="K60" s="71">
        <v>0</v>
      </c>
      <c r="L60" s="71">
        <v>6</v>
      </c>
      <c r="M60" s="71">
        <v>56</v>
      </c>
      <c r="N60" s="71">
        <v>4.666666666666667</v>
      </c>
      <c r="O60" s="71">
        <v>6</v>
      </c>
      <c r="P60" s="71">
        <v>0.5</v>
      </c>
      <c r="Q60" s="71">
        <v>0</v>
      </c>
      <c r="R60" s="71">
        <v>6</v>
      </c>
      <c r="S60" s="134"/>
      <c r="T60" s="134" t="s">
        <v>176</v>
      </c>
      <c r="U60" s="134" t="s">
        <v>176</v>
      </c>
      <c r="V60" s="22" t="s">
        <v>25</v>
      </c>
      <c r="W60" s="30">
        <v>39700</v>
      </c>
      <c r="X60" s="30" t="s">
        <v>25</v>
      </c>
      <c r="Y60" s="29" t="s">
        <v>25</v>
      </c>
      <c r="Z60" s="29" t="s">
        <v>24</v>
      </c>
      <c r="AA60" s="29">
        <v>25403</v>
      </c>
      <c r="AB60" s="22" t="s">
        <v>176</v>
      </c>
      <c r="AC60" s="144"/>
      <c r="AD60" s="145"/>
      <c r="AE60" s="29">
        <f t="shared" si="0"/>
        <v>25403</v>
      </c>
      <c r="AF60" s="29">
        <v>32551.5</v>
      </c>
      <c r="AG60" s="29">
        <v>6184.7849999999999</v>
      </c>
      <c r="AH60" s="29">
        <v>38736.285000000003</v>
      </c>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row>
    <row r="61" spans="1:61" s="49" customFormat="1" x14ac:dyDescent="0.3">
      <c r="B61" s="46"/>
      <c r="C61" s="46"/>
      <c r="D61" s="78"/>
      <c r="E61" s="48"/>
      <c r="F61" s="78"/>
      <c r="G61" s="46"/>
      <c r="H61" s="46"/>
      <c r="I61" s="46"/>
      <c r="J61" s="46"/>
      <c r="K61" s="46"/>
      <c r="L61" s="46"/>
      <c r="M61" s="46"/>
      <c r="N61" s="46"/>
      <c r="O61" s="46"/>
      <c r="P61" s="46"/>
      <c r="Q61" s="46"/>
      <c r="R61" s="46"/>
      <c r="W61" s="51"/>
      <c r="X61" s="51"/>
      <c r="Y61" s="52"/>
      <c r="Z61" s="50"/>
    </row>
    <row r="62" spans="1:61" s="49" customFormat="1" x14ac:dyDescent="0.3">
      <c r="B62" s="46"/>
      <c r="C62" s="46"/>
      <c r="D62" s="78"/>
      <c r="E62" s="48"/>
      <c r="F62" s="78"/>
      <c r="G62" s="46"/>
      <c r="H62" s="46"/>
      <c r="I62" s="46"/>
      <c r="J62" s="46"/>
      <c r="K62" s="46"/>
      <c r="L62" s="46"/>
      <c r="M62" s="46"/>
      <c r="N62" s="46"/>
      <c r="O62" s="46"/>
      <c r="P62" s="46"/>
      <c r="Q62" s="46"/>
      <c r="R62" s="46"/>
      <c r="W62" s="51"/>
      <c r="X62" s="51"/>
      <c r="Y62" s="52"/>
      <c r="Z62" s="50"/>
    </row>
    <row r="63" spans="1:61" s="49" customFormat="1" x14ac:dyDescent="0.3">
      <c r="B63" s="46"/>
      <c r="C63" s="46"/>
      <c r="D63" s="78"/>
      <c r="E63" s="48"/>
      <c r="F63" s="78"/>
      <c r="G63" s="46"/>
      <c r="H63" s="46"/>
      <c r="I63" s="46"/>
      <c r="J63" s="46"/>
      <c r="K63" s="46"/>
      <c r="L63" s="46"/>
      <c r="M63" s="46"/>
      <c r="N63" s="46"/>
      <c r="O63" s="46"/>
      <c r="P63" s="46"/>
      <c r="Q63" s="46"/>
      <c r="R63" s="46"/>
      <c r="W63" s="51"/>
      <c r="X63" s="51"/>
      <c r="Y63" s="52"/>
      <c r="Z63" s="50"/>
    </row>
    <row r="64" spans="1:61" s="49" customFormat="1" x14ac:dyDescent="0.3">
      <c r="B64" s="46"/>
      <c r="C64" s="46"/>
      <c r="D64" s="78"/>
      <c r="E64" s="48"/>
      <c r="F64" s="78"/>
      <c r="G64" s="46"/>
      <c r="H64" s="46"/>
      <c r="I64" s="46"/>
      <c r="J64" s="46"/>
      <c r="K64" s="46"/>
      <c r="L64" s="46"/>
      <c r="M64" s="46"/>
      <c r="N64" s="46"/>
      <c r="O64" s="46"/>
      <c r="P64" s="46"/>
      <c r="Q64" s="46"/>
      <c r="R64" s="46"/>
      <c r="W64" s="51"/>
      <c r="X64" s="51"/>
      <c r="Y64" s="52"/>
      <c r="Z64" s="50"/>
    </row>
    <row r="65" spans="2:26" s="49" customFormat="1" x14ac:dyDescent="0.3">
      <c r="B65" s="46"/>
      <c r="C65" s="46"/>
      <c r="D65" s="78"/>
      <c r="E65" s="48"/>
      <c r="F65" s="78"/>
      <c r="G65" s="46"/>
      <c r="H65" s="46"/>
      <c r="I65" s="46"/>
      <c r="J65" s="46"/>
      <c r="K65" s="46"/>
      <c r="L65" s="46"/>
      <c r="M65" s="46"/>
      <c r="N65" s="46"/>
      <c r="O65" s="46"/>
      <c r="P65" s="46"/>
      <c r="Q65" s="46"/>
      <c r="R65" s="46"/>
      <c r="W65" s="51"/>
      <c r="X65" s="51"/>
      <c r="Y65" s="52"/>
      <c r="Z65" s="50"/>
    </row>
    <row r="66" spans="2:26" s="49" customFormat="1" x14ac:dyDescent="0.3">
      <c r="B66" s="46"/>
      <c r="C66" s="46"/>
      <c r="D66" s="78"/>
      <c r="E66" s="48"/>
      <c r="F66" s="78"/>
      <c r="G66" s="46"/>
      <c r="H66" s="46"/>
      <c r="I66" s="46"/>
      <c r="J66" s="46"/>
      <c r="K66" s="46"/>
      <c r="L66" s="46"/>
      <c r="M66" s="46"/>
      <c r="N66" s="46"/>
      <c r="O66" s="46"/>
      <c r="P66" s="46"/>
      <c r="Q66" s="46"/>
      <c r="R66" s="46"/>
      <c r="W66" s="51"/>
      <c r="X66" s="51"/>
      <c r="Y66" s="52"/>
      <c r="Z66" s="50"/>
    </row>
    <row r="67" spans="2:26" s="49" customFormat="1" x14ac:dyDescent="0.3">
      <c r="B67" s="46"/>
      <c r="C67" s="46"/>
      <c r="D67" s="78"/>
      <c r="E67" s="48"/>
      <c r="F67" s="78"/>
      <c r="G67" s="46"/>
      <c r="H67" s="46"/>
      <c r="I67" s="46"/>
      <c r="J67" s="46"/>
      <c r="K67" s="46"/>
      <c r="L67" s="46"/>
      <c r="M67" s="46"/>
      <c r="N67" s="46"/>
      <c r="O67" s="46"/>
      <c r="P67" s="46"/>
      <c r="Q67" s="46"/>
      <c r="R67" s="46"/>
      <c r="W67" s="51"/>
      <c r="X67" s="51"/>
      <c r="Y67" s="52"/>
      <c r="Z67" s="50"/>
    </row>
    <row r="68" spans="2:26" s="49" customFormat="1" x14ac:dyDescent="0.3">
      <c r="B68" s="46"/>
      <c r="C68" s="46"/>
      <c r="D68" s="78"/>
      <c r="E68" s="48"/>
      <c r="F68" s="78"/>
      <c r="G68" s="46"/>
      <c r="H68" s="46"/>
      <c r="I68" s="46"/>
      <c r="J68" s="46"/>
      <c r="K68" s="46"/>
      <c r="L68" s="46"/>
      <c r="M68" s="46"/>
      <c r="N68" s="46"/>
      <c r="O68" s="46"/>
      <c r="P68" s="46"/>
      <c r="Q68" s="46"/>
      <c r="R68" s="46"/>
      <c r="W68" s="51"/>
      <c r="X68" s="51"/>
      <c r="Y68" s="52"/>
      <c r="Z68" s="50"/>
    </row>
    <row r="69" spans="2:26" s="49" customFormat="1" x14ac:dyDescent="0.3">
      <c r="B69" s="46"/>
      <c r="C69" s="46"/>
      <c r="D69" s="78"/>
      <c r="E69" s="48"/>
      <c r="F69" s="78"/>
      <c r="G69" s="46"/>
      <c r="H69" s="46"/>
      <c r="I69" s="46"/>
      <c r="J69" s="46"/>
      <c r="K69" s="46"/>
      <c r="L69" s="46"/>
      <c r="M69" s="46"/>
      <c r="N69" s="46"/>
      <c r="O69" s="46"/>
      <c r="P69" s="46"/>
      <c r="Q69" s="46"/>
      <c r="R69" s="46"/>
      <c r="W69" s="51"/>
      <c r="X69" s="51"/>
      <c r="Y69" s="52"/>
      <c r="Z69" s="50"/>
    </row>
    <row r="70" spans="2:26" s="49" customFormat="1" x14ac:dyDescent="0.3">
      <c r="B70" s="46"/>
      <c r="C70" s="46"/>
      <c r="D70" s="78"/>
      <c r="E70" s="48"/>
      <c r="F70" s="78"/>
      <c r="G70" s="46"/>
      <c r="H70" s="46"/>
      <c r="I70" s="46"/>
      <c r="J70" s="46"/>
      <c r="K70" s="46"/>
      <c r="L70" s="46"/>
      <c r="M70" s="46"/>
      <c r="N70" s="46"/>
      <c r="O70" s="46"/>
      <c r="P70" s="46"/>
      <c r="Q70" s="46"/>
      <c r="R70" s="46"/>
      <c r="W70" s="51"/>
      <c r="X70" s="51"/>
      <c r="Y70" s="52"/>
      <c r="Z70" s="50"/>
    </row>
    <row r="71" spans="2:26" s="49" customFormat="1" x14ac:dyDescent="0.3">
      <c r="B71" s="46"/>
      <c r="C71" s="46"/>
      <c r="D71" s="78"/>
      <c r="E71" s="48"/>
      <c r="F71" s="78"/>
      <c r="G71" s="46"/>
      <c r="H71" s="46"/>
      <c r="I71" s="46"/>
      <c r="J71" s="46"/>
      <c r="K71" s="46"/>
      <c r="L71" s="46"/>
      <c r="M71" s="46"/>
      <c r="N71" s="46"/>
      <c r="O71" s="46"/>
      <c r="P71" s="46"/>
      <c r="Q71" s="46"/>
      <c r="R71" s="46"/>
      <c r="W71" s="51"/>
      <c r="X71" s="51"/>
      <c r="Y71" s="52"/>
      <c r="Z71" s="50"/>
    </row>
    <row r="72" spans="2:26" s="49" customFormat="1" x14ac:dyDescent="0.3">
      <c r="B72" s="46"/>
      <c r="C72" s="46"/>
      <c r="D72" s="78"/>
      <c r="E72" s="48"/>
      <c r="F72" s="78"/>
      <c r="G72" s="46"/>
      <c r="H72" s="46"/>
      <c r="I72" s="46"/>
      <c r="J72" s="46"/>
      <c r="K72" s="46"/>
      <c r="L72" s="46"/>
      <c r="M72" s="46"/>
      <c r="N72" s="46"/>
      <c r="O72" s="46"/>
      <c r="P72" s="46"/>
      <c r="Q72" s="46"/>
      <c r="R72" s="46"/>
      <c r="W72" s="51"/>
      <c r="X72" s="51"/>
      <c r="Y72" s="52"/>
      <c r="Z72" s="50"/>
    </row>
    <row r="73" spans="2:26" s="49" customFormat="1" x14ac:dyDescent="0.3">
      <c r="B73" s="46"/>
      <c r="C73" s="46"/>
      <c r="D73" s="78"/>
      <c r="E73" s="48"/>
      <c r="F73" s="78"/>
      <c r="G73" s="46"/>
      <c r="H73" s="46"/>
      <c r="I73" s="46"/>
      <c r="J73" s="46"/>
      <c r="K73" s="46"/>
      <c r="L73" s="46"/>
      <c r="M73" s="46"/>
      <c r="N73" s="46"/>
      <c r="O73" s="46"/>
      <c r="P73" s="46"/>
      <c r="Q73" s="46"/>
      <c r="R73" s="46"/>
      <c r="W73" s="51"/>
      <c r="X73" s="51"/>
      <c r="Y73" s="52"/>
      <c r="Z73" s="50"/>
    </row>
    <row r="74" spans="2:26" s="49" customFormat="1" x14ac:dyDescent="0.3">
      <c r="B74" s="46"/>
      <c r="C74" s="46"/>
      <c r="D74" s="78"/>
      <c r="E74" s="48"/>
      <c r="F74" s="78"/>
      <c r="G74" s="46"/>
      <c r="H74" s="46"/>
      <c r="I74" s="46"/>
      <c r="J74" s="46"/>
      <c r="K74" s="46"/>
      <c r="L74" s="46"/>
      <c r="M74" s="46"/>
      <c r="N74" s="46"/>
      <c r="O74" s="46"/>
      <c r="P74" s="46"/>
      <c r="Q74" s="46"/>
      <c r="R74" s="46"/>
      <c r="W74" s="51"/>
      <c r="X74" s="51"/>
      <c r="Y74" s="52"/>
      <c r="Z74" s="50"/>
    </row>
    <row r="75" spans="2:26" s="49" customFormat="1" x14ac:dyDescent="0.3">
      <c r="B75" s="46"/>
      <c r="C75" s="46"/>
      <c r="D75" s="78"/>
      <c r="E75" s="48"/>
      <c r="F75" s="78"/>
      <c r="G75" s="46"/>
      <c r="H75" s="46"/>
      <c r="I75" s="46"/>
      <c r="J75" s="46"/>
      <c r="K75" s="46"/>
      <c r="L75" s="46"/>
      <c r="M75" s="46"/>
      <c r="N75" s="46"/>
      <c r="O75" s="46"/>
      <c r="P75" s="46"/>
      <c r="Q75" s="46"/>
      <c r="R75" s="46"/>
      <c r="W75" s="51"/>
      <c r="X75" s="51"/>
      <c r="Y75" s="52"/>
      <c r="Z75" s="50"/>
    </row>
    <row r="76" spans="2:26" s="49" customFormat="1" x14ac:dyDescent="0.3">
      <c r="B76" s="46"/>
      <c r="C76" s="46"/>
      <c r="D76" s="78"/>
      <c r="E76" s="48"/>
      <c r="F76" s="78"/>
      <c r="G76" s="46"/>
      <c r="H76" s="46"/>
      <c r="I76" s="46"/>
      <c r="J76" s="46"/>
      <c r="K76" s="46"/>
      <c r="L76" s="46"/>
      <c r="M76" s="46"/>
      <c r="N76" s="46"/>
      <c r="O76" s="46"/>
      <c r="P76" s="46"/>
      <c r="Q76" s="46"/>
      <c r="R76" s="46"/>
      <c r="W76" s="51"/>
      <c r="X76" s="51"/>
      <c r="Y76" s="52"/>
      <c r="Z76" s="50"/>
    </row>
    <row r="77" spans="2:26" s="49" customFormat="1" x14ac:dyDescent="0.3">
      <c r="B77" s="46"/>
      <c r="C77" s="46"/>
      <c r="D77" s="78"/>
      <c r="E77" s="48"/>
      <c r="F77" s="78"/>
      <c r="G77" s="46"/>
      <c r="H77" s="46"/>
      <c r="I77" s="46"/>
      <c r="J77" s="46"/>
      <c r="K77" s="46"/>
      <c r="L77" s="46"/>
      <c r="M77" s="46"/>
      <c r="N77" s="46"/>
      <c r="O77" s="46"/>
      <c r="P77" s="46"/>
      <c r="Q77" s="46"/>
      <c r="R77" s="46"/>
      <c r="W77" s="51"/>
      <c r="X77" s="51"/>
      <c r="Y77" s="52"/>
      <c r="Z77" s="50"/>
    </row>
    <row r="78" spans="2:26" s="49" customFormat="1" x14ac:dyDescent="0.3">
      <c r="B78" s="46"/>
      <c r="C78" s="46"/>
      <c r="D78" s="78"/>
      <c r="E78" s="48"/>
      <c r="F78" s="78"/>
      <c r="G78" s="46"/>
      <c r="H78" s="46"/>
      <c r="I78" s="46"/>
      <c r="J78" s="46"/>
      <c r="K78" s="46"/>
      <c r="L78" s="46"/>
      <c r="M78" s="46"/>
      <c r="N78" s="46"/>
      <c r="O78" s="46"/>
      <c r="P78" s="46"/>
      <c r="Q78" s="46"/>
      <c r="R78" s="46"/>
      <c r="W78" s="51"/>
      <c r="X78" s="51"/>
      <c r="Y78" s="52"/>
      <c r="Z78" s="50"/>
    </row>
    <row r="79" spans="2:26" s="49" customFormat="1" x14ac:dyDescent="0.3">
      <c r="B79" s="46"/>
      <c r="C79" s="46"/>
      <c r="D79" s="78"/>
      <c r="E79" s="48"/>
      <c r="F79" s="78"/>
      <c r="G79" s="46"/>
      <c r="H79" s="46"/>
      <c r="I79" s="46"/>
      <c r="J79" s="46"/>
      <c r="K79" s="46"/>
      <c r="L79" s="46"/>
      <c r="M79" s="46"/>
      <c r="N79" s="46"/>
      <c r="O79" s="46"/>
      <c r="P79" s="46"/>
      <c r="Q79" s="46"/>
      <c r="R79" s="46"/>
      <c r="W79" s="51"/>
      <c r="X79" s="51"/>
      <c r="Y79" s="52"/>
      <c r="Z79" s="50"/>
    </row>
    <row r="80" spans="2:26" s="49" customFormat="1" x14ac:dyDescent="0.3">
      <c r="B80" s="46"/>
      <c r="C80" s="46"/>
      <c r="D80" s="78"/>
      <c r="E80" s="48"/>
      <c r="F80" s="78"/>
      <c r="G80" s="46"/>
      <c r="H80" s="46"/>
      <c r="I80" s="46"/>
      <c r="J80" s="46"/>
      <c r="K80" s="46"/>
      <c r="L80" s="46"/>
      <c r="M80" s="46"/>
      <c r="N80" s="46"/>
      <c r="O80" s="46"/>
      <c r="P80" s="46"/>
      <c r="Q80" s="46"/>
      <c r="R80" s="46"/>
      <c r="W80" s="51"/>
      <c r="X80" s="51"/>
      <c r="Y80" s="52"/>
      <c r="Z80" s="50"/>
    </row>
    <row r="81" spans="2:26" s="49" customFormat="1" x14ac:dyDescent="0.3">
      <c r="B81" s="46"/>
      <c r="C81" s="46"/>
      <c r="D81" s="78"/>
      <c r="E81" s="48"/>
      <c r="F81" s="78"/>
      <c r="G81" s="46"/>
      <c r="H81" s="46"/>
      <c r="I81" s="46"/>
      <c r="J81" s="46"/>
      <c r="K81" s="46"/>
      <c r="L81" s="46"/>
      <c r="M81" s="46"/>
      <c r="N81" s="46"/>
      <c r="O81" s="46"/>
      <c r="P81" s="46"/>
      <c r="Q81" s="46"/>
      <c r="R81" s="46"/>
      <c r="W81" s="51"/>
      <c r="X81" s="51"/>
      <c r="Y81" s="52"/>
      <c r="Z81" s="50"/>
    </row>
    <row r="82" spans="2:26" s="49" customFormat="1" x14ac:dyDescent="0.3">
      <c r="B82" s="46"/>
      <c r="C82" s="46"/>
      <c r="D82" s="78"/>
      <c r="E82" s="48"/>
      <c r="F82" s="78"/>
      <c r="G82" s="46"/>
      <c r="H82" s="46"/>
      <c r="I82" s="46"/>
      <c r="J82" s="46"/>
      <c r="K82" s="46"/>
      <c r="L82" s="46"/>
      <c r="M82" s="46"/>
      <c r="N82" s="46"/>
      <c r="O82" s="46"/>
      <c r="P82" s="46"/>
      <c r="Q82" s="46"/>
      <c r="R82" s="46"/>
      <c r="W82" s="51"/>
      <c r="X82" s="51"/>
      <c r="Y82" s="52"/>
      <c r="Z82" s="50"/>
    </row>
    <row r="83" spans="2:26" s="49" customFormat="1" x14ac:dyDescent="0.3">
      <c r="B83" s="46"/>
      <c r="C83" s="46"/>
      <c r="D83" s="78"/>
      <c r="E83" s="48"/>
      <c r="F83" s="78"/>
      <c r="G83" s="46"/>
      <c r="H83" s="46"/>
      <c r="I83" s="46"/>
      <c r="J83" s="46"/>
      <c r="K83" s="46"/>
      <c r="L83" s="46"/>
      <c r="M83" s="46"/>
      <c r="N83" s="46"/>
      <c r="O83" s="46"/>
      <c r="P83" s="46"/>
      <c r="Q83" s="46"/>
      <c r="R83" s="46"/>
      <c r="W83" s="51"/>
      <c r="X83" s="51"/>
      <c r="Y83" s="52"/>
      <c r="Z83" s="50"/>
    </row>
    <row r="84" spans="2:26" s="49" customFormat="1" x14ac:dyDescent="0.3">
      <c r="B84" s="46"/>
      <c r="C84" s="46"/>
      <c r="D84" s="78"/>
      <c r="E84" s="48"/>
      <c r="F84" s="78"/>
      <c r="G84" s="46"/>
      <c r="H84" s="46"/>
      <c r="I84" s="46"/>
      <c r="J84" s="46"/>
      <c r="K84" s="46"/>
      <c r="L84" s="46"/>
      <c r="M84" s="46"/>
      <c r="N84" s="46"/>
      <c r="O84" s="46"/>
      <c r="P84" s="46"/>
      <c r="Q84" s="46"/>
      <c r="R84" s="46"/>
      <c r="W84" s="51"/>
      <c r="X84" s="51"/>
      <c r="Y84" s="52"/>
      <c r="Z84" s="50"/>
    </row>
    <row r="85" spans="2:26" s="49" customFormat="1" x14ac:dyDescent="0.3">
      <c r="B85" s="46"/>
      <c r="C85" s="46"/>
      <c r="D85" s="78"/>
      <c r="E85" s="48"/>
      <c r="F85" s="78"/>
      <c r="G85" s="46"/>
      <c r="H85" s="46"/>
      <c r="I85" s="46"/>
      <c r="J85" s="46"/>
      <c r="K85" s="46"/>
      <c r="L85" s="46"/>
      <c r="M85" s="46"/>
      <c r="N85" s="46"/>
      <c r="O85" s="46"/>
      <c r="P85" s="46"/>
      <c r="Q85" s="46"/>
      <c r="R85" s="46"/>
      <c r="W85" s="51"/>
      <c r="X85" s="51"/>
      <c r="Y85" s="52"/>
      <c r="Z85" s="50"/>
    </row>
    <row r="86" spans="2:26" s="49" customFormat="1" x14ac:dyDescent="0.3">
      <c r="B86" s="46"/>
      <c r="C86" s="46"/>
      <c r="D86" s="78"/>
      <c r="E86" s="48"/>
      <c r="F86" s="78"/>
      <c r="G86" s="46"/>
      <c r="H86" s="46"/>
      <c r="I86" s="46"/>
      <c r="J86" s="46"/>
      <c r="K86" s="46"/>
      <c r="L86" s="46"/>
      <c r="M86" s="46"/>
      <c r="N86" s="46"/>
      <c r="O86" s="46"/>
      <c r="P86" s="46"/>
      <c r="Q86" s="46"/>
      <c r="R86" s="46"/>
      <c r="W86" s="51"/>
      <c r="X86" s="51"/>
      <c r="Y86" s="52"/>
      <c r="Z86" s="50"/>
    </row>
    <row r="87" spans="2:26" s="49" customFormat="1" x14ac:dyDescent="0.3">
      <c r="B87" s="46"/>
      <c r="C87" s="46"/>
      <c r="D87" s="78"/>
      <c r="E87" s="48"/>
      <c r="F87" s="78"/>
      <c r="G87" s="46"/>
      <c r="H87" s="46"/>
      <c r="I87" s="46"/>
      <c r="J87" s="46"/>
      <c r="K87" s="46"/>
      <c r="L87" s="46"/>
      <c r="M87" s="46"/>
      <c r="N87" s="46"/>
      <c r="O87" s="46"/>
      <c r="P87" s="46"/>
      <c r="Q87" s="46"/>
      <c r="R87" s="46"/>
      <c r="W87" s="51"/>
      <c r="X87" s="51"/>
      <c r="Y87" s="52"/>
      <c r="Z87" s="50"/>
    </row>
    <row r="88" spans="2:26" s="49" customFormat="1" x14ac:dyDescent="0.3">
      <c r="B88" s="46"/>
      <c r="C88" s="46"/>
      <c r="D88" s="78"/>
      <c r="E88" s="48"/>
      <c r="F88" s="78"/>
      <c r="G88" s="46"/>
      <c r="H88" s="46"/>
      <c r="I88" s="46"/>
      <c r="J88" s="46"/>
      <c r="K88" s="46"/>
      <c r="L88" s="46"/>
      <c r="M88" s="46"/>
      <c r="N88" s="46"/>
      <c r="O88" s="46"/>
      <c r="P88" s="46"/>
      <c r="Q88" s="46"/>
      <c r="R88" s="46"/>
      <c r="W88" s="51"/>
      <c r="X88" s="51"/>
      <c r="Y88" s="52"/>
      <c r="Z88" s="50"/>
    </row>
    <row r="89" spans="2:26" s="49" customFormat="1" x14ac:dyDescent="0.3">
      <c r="B89" s="46"/>
      <c r="C89" s="46"/>
      <c r="D89" s="78"/>
      <c r="E89" s="48"/>
      <c r="F89" s="78"/>
      <c r="G89" s="46"/>
      <c r="H89" s="46"/>
      <c r="I89" s="46"/>
      <c r="J89" s="46"/>
      <c r="K89" s="46"/>
      <c r="L89" s="46"/>
      <c r="M89" s="46"/>
      <c r="N89" s="46"/>
      <c r="O89" s="46"/>
      <c r="P89" s="46"/>
      <c r="Q89" s="46"/>
      <c r="R89" s="46"/>
      <c r="W89" s="51"/>
      <c r="X89" s="51"/>
      <c r="Y89" s="52"/>
      <c r="Z89" s="50"/>
    </row>
    <row r="90" spans="2:26" s="49" customFormat="1" x14ac:dyDescent="0.3">
      <c r="B90" s="46"/>
      <c r="C90" s="46"/>
      <c r="D90" s="78"/>
      <c r="E90" s="48"/>
      <c r="F90" s="78"/>
      <c r="G90" s="46"/>
      <c r="H90" s="46"/>
      <c r="I90" s="46"/>
      <c r="J90" s="46"/>
      <c r="K90" s="46"/>
      <c r="L90" s="46"/>
      <c r="M90" s="46"/>
      <c r="N90" s="46"/>
      <c r="O90" s="46"/>
      <c r="P90" s="46"/>
      <c r="Q90" s="46"/>
      <c r="R90" s="46"/>
      <c r="W90" s="51"/>
      <c r="X90" s="51"/>
      <c r="Y90" s="52"/>
      <c r="Z90" s="50"/>
    </row>
    <row r="91" spans="2:26" s="49" customFormat="1" x14ac:dyDescent="0.3">
      <c r="B91" s="46"/>
      <c r="C91" s="46"/>
      <c r="D91" s="78"/>
      <c r="E91" s="48"/>
      <c r="F91" s="78"/>
      <c r="G91" s="46"/>
      <c r="H91" s="46"/>
      <c r="I91" s="46"/>
      <c r="J91" s="46"/>
      <c r="K91" s="46"/>
      <c r="L91" s="46"/>
      <c r="M91" s="46"/>
      <c r="N91" s="46"/>
      <c r="O91" s="46"/>
      <c r="P91" s="46"/>
      <c r="Q91" s="46"/>
      <c r="R91" s="46"/>
      <c r="W91" s="51"/>
      <c r="X91" s="51"/>
      <c r="Y91" s="52"/>
      <c r="Z91" s="50"/>
    </row>
    <row r="92" spans="2:26" s="49" customFormat="1" x14ac:dyDescent="0.3">
      <c r="B92" s="46"/>
      <c r="C92" s="46"/>
      <c r="D92" s="78"/>
      <c r="E92" s="48"/>
      <c r="F92" s="78"/>
      <c r="G92" s="46"/>
      <c r="H92" s="46"/>
      <c r="I92" s="46"/>
      <c r="J92" s="46"/>
      <c r="K92" s="46"/>
      <c r="L92" s="46"/>
      <c r="M92" s="46"/>
      <c r="N92" s="46"/>
      <c r="O92" s="46"/>
      <c r="P92" s="46"/>
      <c r="Q92" s="46"/>
      <c r="R92" s="46"/>
      <c r="W92" s="51"/>
      <c r="X92" s="51"/>
      <c r="Y92" s="52"/>
      <c r="Z92" s="50"/>
    </row>
    <row r="93" spans="2:26" s="49" customFormat="1" x14ac:dyDescent="0.3">
      <c r="B93" s="46"/>
      <c r="C93" s="46"/>
      <c r="D93" s="78"/>
      <c r="E93" s="48"/>
      <c r="F93" s="78"/>
      <c r="G93" s="46"/>
      <c r="H93" s="46"/>
      <c r="I93" s="46"/>
      <c r="J93" s="46"/>
      <c r="K93" s="46"/>
      <c r="L93" s="46"/>
      <c r="M93" s="46"/>
      <c r="N93" s="46"/>
      <c r="O93" s="46"/>
      <c r="P93" s="46"/>
      <c r="Q93" s="46"/>
      <c r="R93" s="46"/>
      <c r="W93" s="51"/>
      <c r="X93" s="51"/>
      <c r="Y93" s="52"/>
      <c r="Z93" s="50"/>
    </row>
    <row r="94" spans="2:26" s="49" customFormat="1" x14ac:dyDescent="0.3">
      <c r="B94" s="46"/>
      <c r="C94" s="46"/>
      <c r="D94" s="78"/>
      <c r="E94" s="48"/>
      <c r="F94" s="78"/>
      <c r="G94" s="46"/>
      <c r="H94" s="46"/>
      <c r="I94" s="46"/>
      <c r="J94" s="46"/>
      <c r="K94" s="46"/>
      <c r="L94" s="46"/>
      <c r="M94" s="46"/>
      <c r="N94" s="46"/>
      <c r="O94" s="46"/>
      <c r="P94" s="46"/>
      <c r="Q94" s="46"/>
      <c r="R94" s="46"/>
      <c r="W94" s="51"/>
      <c r="X94" s="51"/>
      <c r="Y94" s="52"/>
      <c r="Z94" s="50"/>
    </row>
    <row r="95" spans="2:26" s="49" customFormat="1" x14ac:dyDescent="0.3">
      <c r="B95" s="46"/>
      <c r="C95" s="46"/>
      <c r="D95" s="78"/>
      <c r="E95" s="48"/>
      <c r="F95" s="78"/>
      <c r="G95" s="46"/>
      <c r="H95" s="46"/>
      <c r="I95" s="46"/>
      <c r="J95" s="46"/>
      <c r="K95" s="46"/>
      <c r="L95" s="46"/>
      <c r="M95" s="46"/>
      <c r="N95" s="46"/>
      <c r="O95" s="46"/>
      <c r="P95" s="46"/>
      <c r="Q95" s="46"/>
      <c r="R95" s="46"/>
      <c r="W95" s="51"/>
      <c r="X95" s="51"/>
      <c r="Y95" s="52"/>
      <c r="Z95" s="50"/>
    </row>
    <row r="96" spans="2:26" s="49" customFormat="1" x14ac:dyDescent="0.3">
      <c r="B96" s="46"/>
      <c r="C96" s="46"/>
      <c r="D96" s="78"/>
      <c r="E96" s="48"/>
      <c r="F96" s="78"/>
      <c r="G96" s="46"/>
      <c r="H96" s="46"/>
      <c r="I96" s="46"/>
      <c r="J96" s="46"/>
      <c r="K96" s="46"/>
      <c r="L96" s="46"/>
      <c r="M96" s="46"/>
      <c r="N96" s="46"/>
      <c r="O96" s="46"/>
      <c r="P96" s="46"/>
      <c r="Q96" s="46"/>
      <c r="R96" s="46"/>
      <c r="W96" s="51"/>
      <c r="X96" s="51"/>
      <c r="Y96" s="52"/>
      <c r="Z96" s="50"/>
    </row>
    <row r="97" spans="2:26" s="49" customFormat="1" x14ac:dyDescent="0.3">
      <c r="B97" s="46"/>
      <c r="C97" s="46"/>
      <c r="D97" s="78"/>
      <c r="E97" s="48"/>
      <c r="F97" s="78"/>
      <c r="G97" s="46"/>
      <c r="H97" s="46"/>
      <c r="I97" s="46"/>
      <c r="J97" s="46"/>
      <c r="K97" s="46"/>
      <c r="L97" s="46"/>
      <c r="M97" s="46"/>
      <c r="N97" s="46"/>
      <c r="O97" s="46"/>
      <c r="P97" s="46"/>
      <c r="Q97" s="46"/>
      <c r="R97" s="46"/>
      <c r="W97" s="51"/>
      <c r="X97" s="51"/>
      <c r="Y97" s="52"/>
      <c r="Z97" s="50"/>
    </row>
    <row r="98" spans="2:26" s="49" customFormat="1" x14ac:dyDescent="0.3">
      <c r="B98" s="46"/>
      <c r="C98" s="46"/>
      <c r="D98" s="78"/>
      <c r="E98" s="48"/>
      <c r="F98" s="78"/>
      <c r="G98" s="46"/>
      <c r="H98" s="46"/>
      <c r="I98" s="46"/>
      <c r="J98" s="46"/>
      <c r="K98" s="46"/>
      <c r="L98" s="46"/>
      <c r="M98" s="46"/>
      <c r="N98" s="46"/>
      <c r="O98" s="46"/>
      <c r="P98" s="46"/>
      <c r="Q98" s="46"/>
      <c r="R98" s="46"/>
      <c r="W98" s="51"/>
      <c r="X98" s="51"/>
      <c r="Y98" s="52"/>
      <c r="Z98" s="50"/>
    </row>
    <row r="99" spans="2:26" s="49" customFormat="1" x14ac:dyDescent="0.3">
      <c r="B99" s="46"/>
      <c r="C99" s="46"/>
      <c r="D99" s="78"/>
      <c r="E99" s="48"/>
      <c r="F99" s="78"/>
      <c r="G99" s="46"/>
      <c r="H99" s="46"/>
      <c r="I99" s="46"/>
      <c r="J99" s="46"/>
      <c r="K99" s="46"/>
      <c r="L99" s="46"/>
      <c r="M99" s="46"/>
      <c r="N99" s="46"/>
      <c r="O99" s="46"/>
      <c r="P99" s="46"/>
      <c r="Q99" s="46"/>
      <c r="R99" s="46"/>
      <c r="W99" s="51"/>
      <c r="X99" s="51"/>
      <c r="Y99" s="52"/>
      <c r="Z99" s="50"/>
    </row>
    <row r="100" spans="2:26" s="49" customFormat="1" x14ac:dyDescent="0.3">
      <c r="B100" s="46"/>
      <c r="C100" s="46"/>
      <c r="D100" s="78"/>
      <c r="E100" s="48"/>
      <c r="F100" s="78"/>
      <c r="G100" s="46"/>
      <c r="H100" s="46"/>
      <c r="I100" s="46"/>
      <c r="J100" s="46"/>
      <c r="K100" s="46"/>
      <c r="L100" s="46"/>
      <c r="M100" s="46"/>
      <c r="N100" s="46"/>
      <c r="O100" s="46"/>
      <c r="P100" s="46"/>
      <c r="Q100" s="46"/>
      <c r="R100" s="46"/>
      <c r="W100" s="51"/>
      <c r="X100" s="51"/>
      <c r="Y100" s="52"/>
      <c r="Z100" s="50"/>
    </row>
    <row r="101" spans="2:26" s="49" customFormat="1" x14ac:dyDescent="0.3">
      <c r="B101" s="46"/>
      <c r="C101" s="46"/>
      <c r="D101" s="78"/>
      <c r="E101" s="48"/>
      <c r="F101" s="78"/>
      <c r="G101" s="46"/>
      <c r="H101" s="46"/>
      <c r="I101" s="46"/>
      <c r="J101" s="46"/>
      <c r="K101" s="46"/>
      <c r="L101" s="46"/>
      <c r="M101" s="46"/>
      <c r="N101" s="46"/>
      <c r="O101" s="46"/>
      <c r="P101" s="46"/>
      <c r="Q101" s="46"/>
      <c r="R101" s="46"/>
      <c r="W101" s="51"/>
      <c r="X101" s="51"/>
      <c r="Y101" s="52"/>
      <c r="Z101" s="50"/>
    </row>
    <row r="102" spans="2:26" s="49" customFormat="1" x14ac:dyDescent="0.3">
      <c r="B102" s="46"/>
      <c r="C102" s="46"/>
      <c r="D102" s="78"/>
      <c r="E102" s="48"/>
      <c r="F102" s="78"/>
      <c r="G102" s="46"/>
      <c r="H102" s="46"/>
      <c r="I102" s="46"/>
      <c r="J102" s="46"/>
      <c r="K102" s="46"/>
      <c r="L102" s="46"/>
      <c r="M102" s="46"/>
      <c r="N102" s="46"/>
      <c r="O102" s="46"/>
      <c r="P102" s="46"/>
      <c r="Q102" s="46"/>
      <c r="R102" s="46"/>
      <c r="W102" s="51"/>
      <c r="X102" s="51"/>
      <c r="Y102" s="52"/>
      <c r="Z102" s="50"/>
    </row>
    <row r="103" spans="2:26" s="49" customFormat="1" x14ac:dyDescent="0.3">
      <c r="B103" s="46"/>
      <c r="C103" s="46"/>
      <c r="D103" s="78"/>
      <c r="E103" s="48"/>
      <c r="F103" s="78"/>
      <c r="G103" s="46"/>
      <c r="H103" s="46"/>
      <c r="I103" s="46"/>
      <c r="J103" s="46"/>
      <c r="K103" s="46"/>
      <c r="L103" s="46"/>
      <c r="M103" s="46"/>
      <c r="N103" s="46"/>
      <c r="O103" s="46"/>
      <c r="P103" s="46"/>
      <c r="Q103" s="46"/>
      <c r="R103" s="46"/>
      <c r="W103" s="51"/>
      <c r="X103" s="51"/>
      <c r="Y103" s="52"/>
      <c r="Z103" s="50"/>
    </row>
    <row r="104" spans="2:26" s="49" customFormat="1" x14ac:dyDescent="0.3">
      <c r="B104" s="46"/>
      <c r="C104" s="46"/>
      <c r="D104" s="78"/>
      <c r="E104" s="48"/>
      <c r="F104" s="78"/>
      <c r="G104" s="46"/>
      <c r="H104" s="46"/>
      <c r="I104" s="46"/>
      <c r="J104" s="46"/>
      <c r="K104" s="46"/>
      <c r="L104" s="46"/>
      <c r="M104" s="46"/>
      <c r="N104" s="46"/>
      <c r="O104" s="46"/>
      <c r="P104" s="46"/>
      <c r="Q104" s="46"/>
      <c r="R104" s="46"/>
      <c r="W104" s="51"/>
      <c r="X104" s="51"/>
      <c r="Y104" s="52"/>
      <c r="Z104" s="50"/>
    </row>
    <row r="105" spans="2:26" s="49" customFormat="1" x14ac:dyDescent="0.3">
      <c r="B105" s="46"/>
      <c r="C105" s="46"/>
      <c r="D105" s="78"/>
      <c r="E105" s="48"/>
      <c r="F105" s="78"/>
      <c r="G105" s="46"/>
      <c r="H105" s="46"/>
      <c r="I105" s="46"/>
      <c r="J105" s="46"/>
      <c r="K105" s="46"/>
      <c r="L105" s="46"/>
      <c r="M105" s="46"/>
      <c r="N105" s="46"/>
      <c r="O105" s="46"/>
      <c r="P105" s="46"/>
      <c r="Q105" s="46"/>
      <c r="R105" s="46"/>
      <c r="W105" s="51"/>
      <c r="X105" s="51"/>
      <c r="Y105" s="52"/>
      <c r="Z105" s="50"/>
    </row>
    <row r="106" spans="2:26" s="49" customFormat="1" x14ac:dyDescent="0.3">
      <c r="B106" s="46"/>
      <c r="C106" s="46"/>
      <c r="D106" s="78"/>
      <c r="E106" s="48"/>
      <c r="F106" s="78"/>
      <c r="G106" s="46"/>
      <c r="H106" s="46"/>
      <c r="I106" s="46"/>
      <c r="J106" s="46"/>
      <c r="K106" s="46"/>
      <c r="L106" s="46"/>
      <c r="M106" s="46"/>
      <c r="N106" s="46"/>
      <c r="O106" s="46"/>
      <c r="P106" s="46"/>
      <c r="Q106" s="46"/>
      <c r="R106" s="46"/>
      <c r="W106" s="51"/>
      <c r="X106" s="51"/>
      <c r="Y106" s="52"/>
      <c r="Z106" s="50"/>
    </row>
    <row r="107" spans="2:26" s="49" customFormat="1" x14ac:dyDescent="0.3">
      <c r="B107" s="46"/>
      <c r="C107" s="46"/>
      <c r="D107" s="78"/>
      <c r="E107" s="48"/>
      <c r="F107" s="78"/>
      <c r="G107" s="46"/>
      <c r="H107" s="46"/>
      <c r="I107" s="46"/>
      <c r="J107" s="46"/>
      <c r="K107" s="46"/>
      <c r="L107" s="46"/>
      <c r="M107" s="46"/>
      <c r="N107" s="46"/>
      <c r="O107" s="46"/>
      <c r="P107" s="46"/>
      <c r="Q107" s="46"/>
      <c r="R107" s="46"/>
      <c r="W107" s="51"/>
      <c r="X107" s="51"/>
      <c r="Y107" s="52"/>
      <c r="Z107" s="50"/>
    </row>
    <row r="108" spans="2:26" s="49" customFormat="1" x14ac:dyDescent="0.3">
      <c r="B108" s="46"/>
      <c r="C108" s="46"/>
      <c r="D108" s="78"/>
      <c r="E108" s="48"/>
      <c r="F108" s="78"/>
      <c r="G108" s="46"/>
      <c r="H108" s="46"/>
      <c r="I108" s="46"/>
      <c r="J108" s="46"/>
      <c r="K108" s="46"/>
      <c r="L108" s="46"/>
      <c r="M108" s="46"/>
      <c r="N108" s="46"/>
      <c r="O108" s="46"/>
      <c r="P108" s="46"/>
      <c r="Q108" s="46"/>
      <c r="R108" s="46"/>
      <c r="W108" s="51"/>
      <c r="X108" s="51"/>
      <c r="Y108" s="52"/>
      <c r="Z108" s="50"/>
    </row>
    <row r="109" spans="2:26" s="49" customFormat="1" x14ac:dyDescent="0.3">
      <c r="B109" s="46"/>
      <c r="C109" s="46"/>
      <c r="D109" s="78"/>
      <c r="E109" s="48"/>
      <c r="F109" s="78"/>
      <c r="G109" s="46"/>
      <c r="H109" s="46"/>
      <c r="I109" s="46"/>
      <c r="J109" s="46"/>
      <c r="K109" s="46"/>
      <c r="L109" s="46"/>
      <c r="M109" s="46"/>
      <c r="N109" s="46"/>
      <c r="O109" s="46"/>
      <c r="P109" s="46"/>
      <c r="Q109" s="46"/>
      <c r="R109" s="46"/>
      <c r="W109" s="51"/>
      <c r="X109" s="51"/>
      <c r="Y109" s="52"/>
      <c r="Z109" s="50"/>
    </row>
    <row r="110" spans="2:26" s="49" customFormat="1" x14ac:dyDescent="0.3">
      <c r="B110" s="46"/>
      <c r="C110" s="46"/>
      <c r="D110" s="78"/>
      <c r="E110" s="48"/>
      <c r="F110" s="78"/>
      <c r="G110" s="46"/>
      <c r="H110" s="46"/>
      <c r="I110" s="46"/>
      <c r="J110" s="46"/>
      <c r="K110" s="46"/>
      <c r="L110" s="46"/>
      <c r="M110" s="46"/>
      <c r="N110" s="46"/>
      <c r="O110" s="46"/>
      <c r="P110" s="46"/>
      <c r="Q110" s="46"/>
      <c r="R110" s="46"/>
      <c r="W110" s="51"/>
      <c r="X110" s="51"/>
      <c r="Y110" s="52"/>
      <c r="Z110" s="50"/>
    </row>
    <row r="111" spans="2:26" s="49" customFormat="1" x14ac:dyDescent="0.3">
      <c r="B111" s="46"/>
      <c r="C111" s="46"/>
      <c r="D111" s="78"/>
      <c r="E111" s="48"/>
      <c r="F111" s="78"/>
      <c r="G111" s="46"/>
      <c r="H111" s="46"/>
      <c r="I111" s="46"/>
      <c r="J111" s="46"/>
      <c r="K111" s="46"/>
      <c r="L111" s="46"/>
      <c r="M111" s="46"/>
      <c r="N111" s="46"/>
      <c r="O111" s="46"/>
      <c r="P111" s="46"/>
      <c r="Q111" s="46"/>
      <c r="R111" s="46"/>
      <c r="W111" s="51"/>
      <c r="X111" s="51"/>
      <c r="Y111" s="52"/>
      <c r="Z111" s="50"/>
    </row>
    <row r="112" spans="2:26" s="49" customFormat="1" x14ac:dyDescent="0.3">
      <c r="B112" s="46"/>
      <c r="C112" s="46"/>
      <c r="D112" s="78"/>
      <c r="E112" s="48"/>
      <c r="F112" s="78"/>
      <c r="G112" s="46"/>
      <c r="H112" s="46"/>
      <c r="I112" s="46"/>
      <c r="J112" s="46"/>
      <c r="K112" s="46"/>
      <c r="L112" s="46"/>
      <c r="M112" s="46"/>
      <c r="N112" s="46"/>
      <c r="O112" s="46"/>
      <c r="P112" s="46"/>
      <c r="Q112" s="46"/>
      <c r="R112" s="46"/>
      <c r="W112" s="51"/>
      <c r="X112" s="51"/>
      <c r="Y112" s="52"/>
      <c r="Z112" s="50"/>
    </row>
    <row r="113" spans="2:26" s="49" customFormat="1" x14ac:dyDescent="0.3">
      <c r="B113" s="46"/>
      <c r="C113" s="46"/>
      <c r="D113" s="78"/>
      <c r="E113" s="48"/>
      <c r="F113" s="78"/>
      <c r="G113" s="46"/>
      <c r="H113" s="46"/>
      <c r="I113" s="46"/>
      <c r="J113" s="46"/>
      <c r="K113" s="46"/>
      <c r="L113" s="46"/>
      <c r="M113" s="46"/>
      <c r="N113" s="46"/>
      <c r="O113" s="46"/>
      <c r="P113" s="46"/>
      <c r="Q113" s="46"/>
      <c r="R113" s="46"/>
      <c r="W113" s="51"/>
      <c r="X113" s="51"/>
      <c r="Y113" s="52"/>
      <c r="Z113" s="50"/>
    </row>
    <row r="114" spans="2:26" s="49" customFormat="1" x14ac:dyDescent="0.3">
      <c r="B114" s="46"/>
      <c r="C114" s="46"/>
      <c r="D114" s="78"/>
      <c r="E114" s="48"/>
      <c r="F114" s="78"/>
      <c r="G114" s="46"/>
      <c r="H114" s="46"/>
      <c r="I114" s="46"/>
      <c r="J114" s="46"/>
      <c r="K114" s="46"/>
      <c r="L114" s="46"/>
      <c r="M114" s="46"/>
      <c r="N114" s="46"/>
      <c r="O114" s="46"/>
      <c r="P114" s="46"/>
      <c r="Q114" s="46"/>
      <c r="R114" s="46"/>
      <c r="W114" s="51"/>
      <c r="X114" s="51"/>
      <c r="Y114" s="52"/>
      <c r="Z114" s="50"/>
    </row>
    <row r="115" spans="2:26" s="49" customFormat="1" x14ac:dyDescent="0.3">
      <c r="B115" s="46"/>
      <c r="C115" s="46"/>
      <c r="D115" s="78"/>
      <c r="E115" s="48"/>
      <c r="F115" s="78"/>
      <c r="G115" s="46"/>
      <c r="H115" s="46"/>
      <c r="I115" s="46"/>
      <c r="J115" s="46"/>
      <c r="K115" s="46"/>
      <c r="L115" s="46"/>
      <c r="M115" s="46"/>
      <c r="N115" s="46"/>
      <c r="O115" s="46"/>
      <c r="P115" s="46"/>
      <c r="Q115" s="46"/>
      <c r="R115" s="46"/>
      <c r="W115" s="51"/>
      <c r="X115" s="51"/>
      <c r="Y115" s="52"/>
      <c r="Z115" s="50"/>
    </row>
    <row r="116" spans="2:26" s="49" customFormat="1" x14ac:dyDescent="0.3">
      <c r="B116" s="46"/>
      <c r="C116" s="46"/>
      <c r="D116" s="78"/>
      <c r="E116" s="48"/>
      <c r="F116" s="78"/>
      <c r="G116" s="46"/>
      <c r="H116" s="46"/>
      <c r="I116" s="46"/>
      <c r="J116" s="46"/>
      <c r="K116" s="46"/>
      <c r="L116" s="46"/>
      <c r="M116" s="46"/>
      <c r="N116" s="46"/>
      <c r="O116" s="46"/>
      <c r="P116" s="46"/>
      <c r="Q116" s="46"/>
      <c r="R116" s="46"/>
      <c r="W116" s="51"/>
      <c r="X116" s="51"/>
      <c r="Y116" s="52"/>
      <c r="Z116" s="50"/>
    </row>
    <row r="117" spans="2:26" s="49" customFormat="1" x14ac:dyDescent="0.3">
      <c r="B117" s="46"/>
      <c r="C117" s="46"/>
      <c r="D117" s="78"/>
      <c r="E117" s="48"/>
      <c r="F117" s="78"/>
      <c r="G117" s="46"/>
      <c r="H117" s="46"/>
      <c r="I117" s="46"/>
      <c r="J117" s="46"/>
      <c r="K117" s="46"/>
      <c r="L117" s="46"/>
      <c r="M117" s="46"/>
      <c r="N117" s="46"/>
      <c r="O117" s="46"/>
      <c r="P117" s="46"/>
      <c r="Q117" s="46"/>
      <c r="R117" s="46"/>
      <c r="W117" s="51"/>
      <c r="X117" s="51"/>
      <c r="Y117" s="52"/>
      <c r="Z117" s="50"/>
    </row>
    <row r="118" spans="2:26" s="49" customFormat="1" x14ac:dyDescent="0.3">
      <c r="B118" s="46"/>
      <c r="C118" s="46"/>
      <c r="D118" s="78"/>
      <c r="E118" s="48"/>
      <c r="F118" s="78"/>
      <c r="G118" s="46"/>
      <c r="H118" s="46"/>
      <c r="I118" s="46"/>
      <c r="J118" s="46"/>
      <c r="K118" s="46"/>
      <c r="L118" s="46"/>
      <c r="M118" s="46"/>
      <c r="N118" s="46"/>
      <c r="O118" s="46"/>
      <c r="P118" s="46"/>
      <c r="Q118" s="46"/>
      <c r="R118" s="46"/>
      <c r="W118" s="51"/>
      <c r="X118" s="51"/>
      <c r="Y118" s="52"/>
      <c r="Z118" s="50"/>
    </row>
    <row r="119" spans="2:26" s="49" customFormat="1" x14ac:dyDescent="0.3">
      <c r="B119" s="46"/>
      <c r="C119" s="46"/>
      <c r="D119" s="78"/>
      <c r="E119" s="48"/>
      <c r="F119" s="78"/>
      <c r="G119" s="46"/>
      <c r="H119" s="46"/>
      <c r="I119" s="46"/>
      <c r="J119" s="46"/>
      <c r="K119" s="46"/>
      <c r="L119" s="46"/>
      <c r="M119" s="46"/>
      <c r="N119" s="46"/>
      <c r="O119" s="46"/>
      <c r="P119" s="46"/>
      <c r="Q119" s="46"/>
      <c r="R119" s="46"/>
      <c r="W119" s="51"/>
      <c r="X119" s="51"/>
      <c r="Y119" s="52"/>
      <c r="Z119" s="50"/>
    </row>
    <row r="120" spans="2:26" s="49" customFormat="1" x14ac:dyDescent="0.3">
      <c r="B120" s="46"/>
      <c r="C120" s="46"/>
      <c r="D120" s="78"/>
      <c r="E120" s="48"/>
      <c r="F120" s="78"/>
      <c r="G120" s="46"/>
      <c r="H120" s="46"/>
      <c r="I120" s="46"/>
      <c r="J120" s="46"/>
      <c r="K120" s="46"/>
      <c r="L120" s="46"/>
      <c r="M120" s="46"/>
      <c r="N120" s="46"/>
      <c r="O120" s="46"/>
      <c r="P120" s="46"/>
      <c r="Q120" s="46"/>
      <c r="R120" s="46"/>
      <c r="W120" s="51"/>
      <c r="X120" s="51"/>
      <c r="Y120" s="52"/>
      <c r="Z120" s="50"/>
    </row>
    <row r="121" spans="2:26" s="49" customFormat="1" x14ac:dyDescent="0.3">
      <c r="B121" s="46"/>
      <c r="C121" s="46"/>
      <c r="D121" s="78"/>
      <c r="E121" s="48"/>
      <c r="F121" s="78"/>
      <c r="G121" s="46"/>
      <c r="H121" s="46"/>
      <c r="I121" s="46"/>
      <c r="J121" s="46"/>
      <c r="K121" s="46"/>
      <c r="L121" s="46"/>
      <c r="M121" s="46"/>
      <c r="N121" s="46"/>
      <c r="O121" s="46"/>
      <c r="P121" s="46"/>
      <c r="Q121" s="46"/>
      <c r="R121" s="46"/>
      <c r="W121" s="51"/>
      <c r="X121" s="51"/>
      <c r="Y121" s="52"/>
      <c r="Z121" s="50"/>
    </row>
    <row r="122" spans="2:26" s="49" customFormat="1" x14ac:dyDescent="0.3">
      <c r="B122" s="46"/>
      <c r="C122" s="46"/>
      <c r="D122" s="78"/>
      <c r="E122" s="48"/>
      <c r="F122" s="78"/>
      <c r="G122" s="46"/>
      <c r="H122" s="46"/>
      <c r="I122" s="46"/>
      <c r="J122" s="46"/>
      <c r="K122" s="46"/>
      <c r="L122" s="46"/>
      <c r="M122" s="46"/>
      <c r="N122" s="46"/>
      <c r="O122" s="46"/>
      <c r="P122" s="46"/>
      <c r="Q122" s="46"/>
      <c r="R122" s="46"/>
      <c r="W122" s="51"/>
      <c r="X122" s="51"/>
      <c r="Y122" s="52"/>
      <c r="Z122" s="50"/>
    </row>
    <row r="123" spans="2:26" s="49" customFormat="1" x14ac:dyDescent="0.3">
      <c r="B123" s="46"/>
      <c r="C123" s="46"/>
      <c r="D123" s="78"/>
      <c r="E123" s="48"/>
      <c r="F123" s="78"/>
      <c r="G123" s="46"/>
      <c r="H123" s="46"/>
      <c r="I123" s="46"/>
      <c r="J123" s="46"/>
      <c r="K123" s="46"/>
      <c r="L123" s="46"/>
      <c r="M123" s="46"/>
      <c r="N123" s="46"/>
      <c r="O123" s="46"/>
      <c r="P123" s="46"/>
      <c r="Q123" s="46"/>
      <c r="R123" s="46"/>
      <c r="W123" s="51"/>
      <c r="X123" s="51"/>
      <c r="Y123" s="52"/>
      <c r="Z123" s="50"/>
    </row>
    <row r="124" spans="2:26" s="49" customFormat="1" x14ac:dyDescent="0.3">
      <c r="B124" s="46"/>
      <c r="C124" s="46"/>
      <c r="D124" s="78"/>
      <c r="E124" s="48"/>
      <c r="F124" s="78"/>
      <c r="G124" s="46"/>
      <c r="H124" s="46"/>
      <c r="I124" s="46"/>
      <c r="J124" s="46"/>
      <c r="K124" s="46"/>
      <c r="L124" s="46"/>
      <c r="M124" s="46"/>
      <c r="N124" s="46"/>
      <c r="O124" s="46"/>
      <c r="P124" s="46"/>
      <c r="Q124" s="46"/>
      <c r="R124" s="46"/>
      <c r="W124" s="51"/>
      <c r="X124" s="51"/>
      <c r="Y124" s="52"/>
      <c r="Z124" s="50"/>
    </row>
    <row r="125" spans="2:26" s="49" customFormat="1" x14ac:dyDescent="0.3">
      <c r="B125" s="46"/>
      <c r="C125" s="46"/>
      <c r="D125" s="78"/>
      <c r="E125" s="48"/>
      <c r="F125" s="78"/>
      <c r="G125" s="46"/>
      <c r="H125" s="46"/>
      <c r="I125" s="46"/>
      <c r="J125" s="46"/>
      <c r="K125" s="46"/>
      <c r="L125" s="46"/>
      <c r="M125" s="46"/>
      <c r="N125" s="46"/>
      <c r="O125" s="46"/>
      <c r="P125" s="46"/>
      <c r="Q125" s="46"/>
      <c r="R125" s="46"/>
      <c r="W125" s="51"/>
      <c r="X125" s="51"/>
      <c r="Y125" s="52"/>
      <c r="Z125" s="50"/>
    </row>
    <row r="126" spans="2:26" s="49" customFormat="1" x14ac:dyDescent="0.3">
      <c r="B126" s="46"/>
      <c r="C126" s="46"/>
      <c r="D126" s="78"/>
      <c r="E126" s="48"/>
      <c r="F126" s="78"/>
      <c r="G126" s="46"/>
      <c r="H126" s="46"/>
      <c r="I126" s="46"/>
      <c r="J126" s="46"/>
      <c r="K126" s="46"/>
      <c r="L126" s="46"/>
      <c r="M126" s="46"/>
      <c r="N126" s="46"/>
      <c r="O126" s="46"/>
      <c r="P126" s="46"/>
      <c r="Q126" s="46"/>
      <c r="R126" s="46"/>
      <c r="W126" s="51"/>
      <c r="X126" s="51"/>
      <c r="Y126" s="52"/>
      <c r="Z126" s="50"/>
    </row>
    <row r="127" spans="2:26" s="49" customFormat="1" x14ac:dyDescent="0.3">
      <c r="B127" s="46"/>
      <c r="C127" s="46"/>
      <c r="D127" s="78"/>
      <c r="E127" s="48"/>
      <c r="F127" s="78"/>
      <c r="G127" s="46"/>
      <c r="H127" s="46"/>
      <c r="I127" s="46"/>
      <c r="J127" s="46"/>
      <c r="K127" s="46"/>
      <c r="L127" s="46"/>
      <c r="M127" s="46"/>
      <c r="N127" s="46"/>
      <c r="O127" s="46"/>
      <c r="P127" s="46"/>
      <c r="Q127" s="46"/>
      <c r="R127" s="46"/>
      <c r="W127" s="51"/>
      <c r="X127" s="51"/>
      <c r="Y127" s="52"/>
      <c r="Z127" s="50"/>
    </row>
    <row r="128" spans="2:26" s="49" customFormat="1" x14ac:dyDescent="0.3">
      <c r="B128" s="46"/>
      <c r="C128" s="46"/>
      <c r="D128" s="78"/>
      <c r="E128" s="48"/>
      <c r="F128" s="78"/>
      <c r="G128" s="46"/>
      <c r="H128" s="46"/>
      <c r="I128" s="46"/>
      <c r="J128" s="46"/>
      <c r="K128" s="46"/>
      <c r="L128" s="46"/>
      <c r="M128" s="46"/>
      <c r="N128" s="46"/>
      <c r="O128" s="46"/>
      <c r="P128" s="46"/>
      <c r="Q128" s="46"/>
      <c r="R128" s="46"/>
      <c r="W128" s="51"/>
      <c r="X128" s="51"/>
      <c r="Y128" s="52"/>
      <c r="Z128" s="50"/>
    </row>
    <row r="129" spans="2:26" s="49" customFormat="1" x14ac:dyDescent="0.3">
      <c r="B129" s="46"/>
      <c r="C129" s="46"/>
      <c r="D129" s="78"/>
      <c r="E129" s="48"/>
      <c r="F129" s="78"/>
      <c r="G129" s="46"/>
      <c r="H129" s="46"/>
      <c r="I129" s="46"/>
      <c r="J129" s="46"/>
      <c r="K129" s="46"/>
      <c r="L129" s="46"/>
      <c r="M129" s="46"/>
      <c r="N129" s="46"/>
      <c r="O129" s="46"/>
      <c r="P129" s="46"/>
      <c r="Q129" s="46"/>
      <c r="R129" s="46"/>
      <c r="W129" s="51"/>
      <c r="X129" s="51"/>
      <c r="Y129" s="52"/>
      <c r="Z129" s="50"/>
    </row>
    <row r="130" spans="2:26" s="49" customFormat="1" x14ac:dyDescent="0.3">
      <c r="B130" s="46"/>
      <c r="C130" s="46"/>
      <c r="D130" s="78"/>
      <c r="E130" s="48"/>
      <c r="F130" s="78"/>
      <c r="G130" s="46"/>
      <c r="H130" s="46"/>
      <c r="I130" s="46"/>
      <c r="J130" s="46"/>
      <c r="K130" s="46"/>
      <c r="L130" s="46"/>
      <c r="M130" s="46"/>
      <c r="N130" s="46"/>
      <c r="O130" s="46"/>
      <c r="P130" s="46"/>
      <c r="Q130" s="46"/>
      <c r="R130" s="46"/>
      <c r="W130" s="51"/>
      <c r="X130" s="51"/>
      <c r="Y130" s="52"/>
      <c r="Z130" s="50"/>
    </row>
    <row r="131" spans="2:26" s="49" customFormat="1" x14ac:dyDescent="0.3">
      <c r="B131" s="46"/>
      <c r="C131" s="46"/>
      <c r="D131" s="78"/>
      <c r="E131" s="48"/>
      <c r="F131" s="78"/>
      <c r="G131" s="46"/>
      <c r="H131" s="46"/>
      <c r="I131" s="46"/>
      <c r="J131" s="46"/>
      <c r="K131" s="46"/>
      <c r="L131" s="46"/>
      <c r="M131" s="46"/>
      <c r="N131" s="46"/>
      <c r="O131" s="46"/>
      <c r="P131" s="46"/>
      <c r="Q131" s="46"/>
      <c r="R131" s="46"/>
      <c r="W131" s="51"/>
      <c r="X131" s="51"/>
      <c r="Y131" s="52"/>
      <c r="Z131" s="50"/>
    </row>
    <row r="132" spans="2:26" s="49" customFormat="1" x14ac:dyDescent="0.3">
      <c r="B132" s="46"/>
      <c r="C132" s="46"/>
      <c r="D132" s="78"/>
      <c r="E132" s="48"/>
      <c r="F132" s="78"/>
      <c r="G132" s="46"/>
      <c r="H132" s="46"/>
      <c r="I132" s="46"/>
      <c r="J132" s="46"/>
      <c r="K132" s="46"/>
      <c r="L132" s="46"/>
      <c r="M132" s="46"/>
      <c r="N132" s="46"/>
      <c r="O132" s="46"/>
      <c r="P132" s="46"/>
      <c r="Q132" s="46"/>
      <c r="R132" s="46"/>
      <c r="W132" s="51"/>
      <c r="X132" s="51"/>
      <c r="Y132" s="52"/>
      <c r="Z132" s="50"/>
    </row>
    <row r="133" spans="2:26" s="49" customFormat="1" x14ac:dyDescent="0.3">
      <c r="B133" s="46"/>
      <c r="C133" s="46"/>
      <c r="D133" s="78"/>
      <c r="E133" s="48"/>
      <c r="F133" s="78"/>
      <c r="G133" s="46"/>
      <c r="H133" s="46"/>
      <c r="I133" s="46"/>
      <c r="J133" s="46"/>
      <c r="K133" s="46"/>
      <c r="L133" s="46"/>
      <c r="M133" s="46"/>
      <c r="N133" s="46"/>
      <c r="O133" s="46"/>
      <c r="P133" s="46"/>
      <c r="Q133" s="46"/>
      <c r="R133" s="46"/>
      <c r="W133" s="51"/>
      <c r="X133" s="51"/>
      <c r="Y133" s="52"/>
      <c r="Z133" s="50"/>
    </row>
    <row r="134" spans="2:26" s="49" customFormat="1" x14ac:dyDescent="0.3">
      <c r="B134" s="46"/>
      <c r="C134" s="46"/>
      <c r="D134" s="78"/>
      <c r="E134" s="48"/>
      <c r="F134" s="78"/>
      <c r="G134" s="46"/>
      <c r="H134" s="46"/>
      <c r="I134" s="46"/>
      <c r="J134" s="46"/>
      <c r="K134" s="46"/>
      <c r="L134" s="46"/>
      <c r="M134" s="46"/>
      <c r="N134" s="46"/>
      <c r="O134" s="46"/>
      <c r="P134" s="46"/>
      <c r="Q134" s="46"/>
      <c r="R134" s="46"/>
      <c r="W134" s="51"/>
      <c r="X134" s="51"/>
      <c r="Y134" s="52"/>
      <c r="Z134" s="50"/>
    </row>
    <row r="135" spans="2:26" s="49" customFormat="1" x14ac:dyDescent="0.3">
      <c r="B135" s="46"/>
      <c r="C135" s="46"/>
      <c r="D135" s="78"/>
      <c r="E135" s="48"/>
      <c r="F135" s="78"/>
      <c r="G135" s="46"/>
      <c r="H135" s="46"/>
      <c r="I135" s="46"/>
      <c r="J135" s="46"/>
      <c r="K135" s="46"/>
      <c r="L135" s="46"/>
      <c r="M135" s="46"/>
      <c r="N135" s="46"/>
      <c r="O135" s="46"/>
      <c r="P135" s="46"/>
      <c r="Q135" s="46"/>
      <c r="R135" s="46"/>
      <c r="W135" s="51"/>
      <c r="X135" s="51"/>
      <c r="Y135" s="52"/>
      <c r="Z135" s="50"/>
    </row>
    <row r="136" spans="2:26" s="49" customFormat="1" x14ac:dyDescent="0.3">
      <c r="B136" s="46"/>
      <c r="C136" s="46"/>
      <c r="D136" s="78"/>
      <c r="E136" s="48"/>
      <c r="F136" s="78"/>
      <c r="G136" s="46"/>
      <c r="H136" s="46"/>
      <c r="I136" s="46"/>
      <c r="J136" s="46"/>
      <c r="K136" s="46"/>
      <c r="L136" s="46"/>
      <c r="M136" s="46"/>
      <c r="N136" s="46"/>
      <c r="O136" s="46"/>
      <c r="P136" s="46"/>
      <c r="Q136" s="46"/>
      <c r="R136" s="46"/>
      <c r="W136" s="51"/>
      <c r="X136" s="51"/>
      <c r="Y136" s="52"/>
      <c r="Z136" s="50"/>
    </row>
    <row r="137" spans="2:26" s="49" customFormat="1" x14ac:dyDescent="0.3">
      <c r="B137" s="46"/>
      <c r="C137" s="46"/>
      <c r="D137" s="78"/>
      <c r="E137" s="48"/>
      <c r="F137" s="78"/>
      <c r="G137" s="46"/>
      <c r="H137" s="46"/>
      <c r="I137" s="46"/>
      <c r="J137" s="46"/>
      <c r="K137" s="46"/>
      <c r="L137" s="46"/>
      <c r="M137" s="46"/>
      <c r="N137" s="46"/>
      <c r="O137" s="46"/>
      <c r="P137" s="46"/>
      <c r="Q137" s="46"/>
      <c r="R137" s="46"/>
      <c r="W137" s="51"/>
      <c r="X137" s="51"/>
      <c r="Y137" s="52"/>
      <c r="Z137" s="50"/>
    </row>
    <row r="138" spans="2:26" s="49" customFormat="1" x14ac:dyDescent="0.3">
      <c r="B138" s="46"/>
      <c r="C138" s="46"/>
      <c r="D138" s="78"/>
      <c r="E138" s="48"/>
      <c r="F138" s="78"/>
      <c r="G138" s="46"/>
      <c r="H138" s="46"/>
      <c r="I138" s="46"/>
      <c r="J138" s="46"/>
      <c r="K138" s="46"/>
      <c r="L138" s="46"/>
      <c r="M138" s="46"/>
      <c r="N138" s="46"/>
      <c r="O138" s="46"/>
      <c r="P138" s="46"/>
      <c r="Q138" s="46"/>
      <c r="R138" s="46"/>
      <c r="W138" s="51"/>
      <c r="X138" s="51"/>
      <c r="Y138" s="52"/>
      <c r="Z138" s="50"/>
    </row>
    <row r="139" spans="2:26" s="49" customFormat="1" x14ac:dyDescent="0.3">
      <c r="B139" s="46"/>
      <c r="C139" s="46"/>
      <c r="D139" s="78"/>
      <c r="E139" s="48"/>
      <c r="F139" s="78"/>
      <c r="G139" s="46"/>
      <c r="H139" s="46"/>
      <c r="I139" s="46"/>
      <c r="J139" s="46"/>
      <c r="K139" s="46"/>
      <c r="L139" s="46"/>
      <c r="M139" s="46"/>
      <c r="N139" s="46"/>
      <c r="O139" s="46"/>
      <c r="P139" s="46"/>
      <c r="Q139" s="46"/>
      <c r="R139" s="46"/>
      <c r="W139" s="51"/>
      <c r="X139" s="51"/>
      <c r="Y139" s="52"/>
      <c r="Z139" s="50"/>
    </row>
    <row r="140" spans="2:26" s="49" customFormat="1" x14ac:dyDescent="0.3">
      <c r="B140" s="46"/>
      <c r="C140" s="46"/>
      <c r="D140" s="78"/>
      <c r="E140" s="48"/>
      <c r="F140" s="78"/>
      <c r="G140" s="46"/>
      <c r="H140" s="46"/>
      <c r="I140" s="46"/>
      <c r="J140" s="46"/>
      <c r="K140" s="46"/>
      <c r="L140" s="46"/>
      <c r="M140" s="46"/>
      <c r="N140" s="46"/>
      <c r="O140" s="46"/>
      <c r="P140" s="46"/>
      <c r="Q140" s="46"/>
      <c r="R140" s="46"/>
      <c r="W140" s="51"/>
      <c r="X140" s="51"/>
      <c r="Y140" s="52"/>
      <c r="Z140" s="50"/>
    </row>
    <row r="141" spans="2:26" s="49" customFormat="1" x14ac:dyDescent="0.3">
      <c r="B141" s="46"/>
      <c r="C141" s="46"/>
      <c r="D141" s="78"/>
      <c r="E141" s="48"/>
      <c r="F141" s="78"/>
      <c r="G141" s="46"/>
      <c r="H141" s="46"/>
      <c r="I141" s="46"/>
      <c r="J141" s="46"/>
      <c r="K141" s="46"/>
      <c r="L141" s="46"/>
      <c r="M141" s="46"/>
      <c r="N141" s="46"/>
      <c r="O141" s="46"/>
      <c r="P141" s="46"/>
      <c r="Q141" s="46"/>
      <c r="R141" s="46"/>
      <c r="W141" s="51"/>
      <c r="X141" s="51"/>
      <c r="Y141" s="52"/>
      <c r="Z141" s="50"/>
    </row>
    <row r="142" spans="2:26" s="49" customFormat="1" x14ac:dyDescent="0.3">
      <c r="B142" s="46"/>
      <c r="C142" s="46"/>
      <c r="D142" s="78"/>
      <c r="E142" s="48"/>
      <c r="F142" s="78"/>
      <c r="G142" s="46"/>
      <c r="H142" s="46"/>
      <c r="I142" s="46"/>
      <c r="J142" s="46"/>
      <c r="K142" s="46"/>
      <c r="L142" s="46"/>
      <c r="M142" s="46"/>
      <c r="N142" s="46"/>
      <c r="O142" s="46"/>
      <c r="P142" s="46"/>
      <c r="Q142" s="46"/>
      <c r="R142" s="46"/>
      <c r="W142" s="51"/>
      <c r="X142" s="51"/>
      <c r="Y142" s="52"/>
      <c r="Z142" s="50"/>
    </row>
    <row r="143" spans="2:26" s="49" customFormat="1" x14ac:dyDescent="0.3">
      <c r="B143" s="46"/>
      <c r="C143" s="46"/>
      <c r="D143" s="78"/>
      <c r="E143" s="48"/>
      <c r="F143" s="78"/>
      <c r="G143" s="46"/>
      <c r="H143" s="46"/>
      <c r="I143" s="46"/>
      <c r="J143" s="46"/>
      <c r="K143" s="46"/>
      <c r="L143" s="46"/>
      <c r="M143" s="46"/>
      <c r="N143" s="46"/>
      <c r="O143" s="46"/>
      <c r="P143" s="46"/>
      <c r="Q143" s="46"/>
      <c r="R143" s="46"/>
      <c r="W143" s="51"/>
      <c r="X143" s="51"/>
      <c r="Y143" s="52"/>
      <c r="Z143" s="50"/>
    </row>
    <row r="144" spans="2:26" s="49" customFormat="1" x14ac:dyDescent="0.3">
      <c r="B144" s="46"/>
      <c r="C144" s="46"/>
      <c r="D144" s="78"/>
      <c r="E144" s="48"/>
      <c r="F144" s="78"/>
      <c r="G144" s="46"/>
      <c r="H144" s="46"/>
      <c r="I144" s="46"/>
      <c r="J144" s="46"/>
      <c r="K144" s="46"/>
      <c r="L144" s="46"/>
      <c r="M144" s="46"/>
      <c r="N144" s="46"/>
      <c r="O144" s="46"/>
      <c r="P144" s="46"/>
      <c r="Q144" s="46"/>
      <c r="R144" s="46"/>
      <c r="W144" s="51"/>
      <c r="X144" s="51"/>
      <c r="Y144" s="52"/>
      <c r="Z144" s="50"/>
    </row>
    <row r="145" spans="2:26" s="49" customFormat="1" x14ac:dyDescent="0.3">
      <c r="B145" s="46"/>
      <c r="C145" s="46"/>
      <c r="D145" s="78"/>
      <c r="E145" s="48"/>
      <c r="F145" s="78"/>
      <c r="G145" s="46"/>
      <c r="H145" s="46"/>
      <c r="I145" s="46"/>
      <c r="J145" s="46"/>
      <c r="K145" s="46"/>
      <c r="L145" s="46"/>
      <c r="M145" s="46"/>
      <c r="N145" s="46"/>
      <c r="O145" s="46"/>
      <c r="P145" s="46"/>
      <c r="Q145" s="46"/>
      <c r="R145" s="46"/>
      <c r="W145" s="51"/>
      <c r="X145" s="51"/>
      <c r="Y145" s="52"/>
      <c r="Z145" s="50"/>
    </row>
    <row r="146" spans="2:26" s="49" customFormat="1" x14ac:dyDescent="0.3">
      <c r="B146" s="46"/>
      <c r="C146" s="46"/>
      <c r="D146" s="78"/>
      <c r="E146" s="48"/>
      <c r="F146" s="78"/>
      <c r="G146" s="46"/>
      <c r="H146" s="46"/>
      <c r="I146" s="46"/>
      <c r="J146" s="46"/>
      <c r="K146" s="46"/>
      <c r="L146" s="46"/>
      <c r="M146" s="46"/>
      <c r="N146" s="46"/>
      <c r="O146" s="46"/>
      <c r="P146" s="46"/>
      <c r="Q146" s="46"/>
      <c r="R146" s="46"/>
      <c r="W146" s="51"/>
      <c r="X146" s="51"/>
      <c r="Y146" s="52"/>
      <c r="Z146" s="50"/>
    </row>
    <row r="147" spans="2:26" s="49" customFormat="1" x14ac:dyDescent="0.3">
      <c r="B147" s="46"/>
      <c r="C147" s="46"/>
      <c r="D147" s="78"/>
      <c r="E147" s="48"/>
      <c r="F147" s="78"/>
      <c r="G147" s="46"/>
      <c r="H147" s="46"/>
      <c r="I147" s="46"/>
      <c r="J147" s="46"/>
      <c r="K147" s="46"/>
      <c r="L147" s="46"/>
      <c r="M147" s="46"/>
      <c r="N147" s="46"/>
      <c r="O147" s="46"/>
      <c r="P147" s="46"/>
      <c r="Q147" s="46"/>
      <c r="R147" s="46"/>
      <c r="W147" s="51"/>
      <c r="X147" s="51"/>
      <c r="Y147" s="52"/>
      <c r="Z147" s="50"/>
    </row>
    <row r="148" spans="2:26" s="49" customFormat="1" x14ac:dyDescent="0.3">
      <c r="B148" s="46"/>
      <c r="C148" s="46"/>
      <c r="D148" s="78"/>
      <c r="E148" s="48"/>
      <c r="F148" s="78"/>
      <c r="G148" s="46"/>
      <c r="H148" s="46"/>
      <c r="I148" s="46"/>
      <c r="J148" s="46"/>
      <c r="K148" s="46"/>
      <c r="L148" s="46"/>
      <c r="M148" s="46"/>
      <c r="N148" s="46"/>
      <c r="O148" s="46"/>
      <c r="P148" s="46"/>
      <c r="Q148" s="46"/>
      <c r="R148" s="46"/>
      <c r="W148" s="51"/>
      <c r="X148" s="51"/>
      <c r="Y148" s="52"/>
      <c r="Z148" s="50"/>
    </row>
    <row r="149" spans="2:26" s="49" customFormat="1" x14ac:dyDescent="0.3">
      <c r="B149" s="46"/>
      <c r="C149" s="46"/>
      <c r="D149" s="78"/>
      <c r="E149" s="48"/>
      <c r="F149" s="78"/>
      <c r="G149" s="46"/>
      <c r="H149" s="46"/>
      <c r="I149" s="46"/>
      <c r="J149" s="46"/>
      <c r="K149" s="46"/>
      <c r="L149" s="46"/>
      <c r="M149" s="46"/>
      <c r="N149" s="46"/>
      <c r="O149" s="46"/>
      <c r="P149" s="46"/>
      <c r="Q149" s="46"/>
      <c r="R149" s="46"/>
      <c r="W149" s="51"/>
      <c r="X149" s="51"/>
      <c r="Y149" s="52"/>
      <c r="Z149" s="50"/>
    </row>
    <row r="150" spans="2:26" s="49" customFormat="1" x14ac:dyDescent="0.3">
      <c r="B150" s="46"/>
      <c r="C150" s="46"/>
      <c r="D150" s="78"/>
      <c r="E150" s="48"/>
      <c r="F150" s="78"/>
      <c r="G150" s="46"/>
      <c r="H150" s="46"/>
      <c r="I150" s="46"/>
      <c r="J150" s="46"/>
      <c r="K150" s="46"/>
      <c r="L150" s="46"/>
      <c r="M150" s="46"/>
      <c r="N150" s="46"/>
      <c r="O150" s="46"/>
      <c r="P150" s="46"/>
      <c r="Q150" s="46"/>
      <c r="R150" s="46"/>
      <c r="W150" s="51"/>
      <c r="X150" s="51"/>
      <c r="Y150" s="52"/>
      <c r="Z150" s="50"/>
    </row>
    <row r="151" spans="2:26" s="49" customFormat="1" x14ac:dyDescent="0.3">
      <c r="B151" s="46"/>
      <c r="C151" s="46"/>
      <c r="D151" s="78"/>
      <c r="E151" s="48"/>
      <c r="F151" s="78"/>
      <c r="G151" s="46"/>
      <c r="H151" s="46"/>
      <c r="I151" s="46"/>
      <c r="J151" s="46"/>
      <c r="K151" s="46"/>
      <c r="L151" s="46"/>
      <c r="M151" s="46"/>
      <c r="N151" s="46"/>
      <c r="O151" s="46"/>
      <c r="P151" s="46"/>
      <c r="Q151" s="46"/>
      <c r="R151" s="46"/>
      <c r="W151" s="51"/>
      <c r="X151" s="51"/>
      <c r="Y151" s="52"/>
      <c r="Z151" s="50"/>
    </row>
    <row r="152" spans="2:26" s="49" customFormat="1" x14ac:dyDescent="0.3">
      <c r="B152" s="46"/>
      <c r="C152" s="46"/>
      <c r="D152" s="78"/>
      <c r="E152" s="48"/>
      <c r="F152" s="78"/>
      <c r="G152" s="46"/>
      <c r="H152" s="46"/>
      <c r="I152" s="46"/>
      <c r="J152" s="46"/>
      <c r="K152" s="46"/>
      <c r="L152" s="46"/>
      <c r="M152" s="46"/>
      <c r="N152" s="46"/>
      <c r="O152" s="46"/>
      <c r="P152" s="46"/>
      <c r="Q152" s="46"/>
      <c r="R152" s="46"/>
      <c r="W152" s="51"/>
      <c r="X152" s="51"/>
      <c r="Y152" s="52"/>
      <c r="Z152" s="50"/>
    </row>
    <row r="153" spans="2:26" s="49" customFormat="1" x14ac:dyDescent="0.3">
      <c r="B153" s="46"/>
      <c r="C153" s="46"/>
      <c r="D153" s="78"/>
      <c r="E153" s="48"/>
      <c r="F153" s="78"/>
      <c r="G153" s="46"/>
      <c r="H153" s="46"/>
      <c r="I153" s="46"/>
      <c r="J153" s="46"/>
      <c r="K153" s="46"/>
      <c r="L153" s="46"/>
      <c r="M153" s="46"/>
      <c r="N153" s="46"/>
      <c r="O153" s="46"/>
      <c r="P153" s="46"/>
      <c r="Q153" s="46"/>
      <c r="R153" s="46"/>
      <c r="W153" s="51"/>
      <c r="X153" s="51"/>
      <c r="Y153" s="52"/>
      <c r="Z153" s="50"/>
    </row>
    <row r="154" spans="2:26" s="49" customFormat="1" x14ac:dyDescent="0.3">
      <c r="B154" s="46"/>
      <c r="C154" s="46"/>
      <c r="D154" s="78"/>
      <c r="E154" s="48"/>
      <c r="F154" s="78"/>
      <c r="G154" s="46"/>
      <c r="H154" s="46"/>
      <c r="I154" s="46"/>
      <c r="J154" s="46"/>
      <c r="K154" s="46"/>
      <c r="L154" s="46"/>
      <c r="M154" s="46"/>
      <c r="N154" s="46"/>
      <c r="O154" s="46"/>
      <c r="P154" s="46"/>
      <c r="Q154" s="46"/>
      <c r="R154" s="46"/>
      <c r="W154" s="51"/>
      <c r="X154" s="51"/>
      <c r="Y154" s="52"/>
      <c r="Z154" s="50"/>
    </row>
    <row r="155" spans="2:26" s="49" customFormat="1" x14ac:dyDescent="0.3">
      <c r="B155" s="46"/>
      <c r="C155" s="46"/>
      <c r="D155" s="78"/>
      <c r="E155" s="48"/>
      <c r="F155" s="78"/>
      <c r="G155" s="46"/>
      <c r="H155" s="46"/>
      <c r="I155" s="46"/>
      <c r="J155" s="46"/>
      <c r="K155" s="46"/>
      <c r="L155" s="46"/>
      <c r="M155" s="46"/>
      <c r="N155" s="46"/>
      <c r="O155" s="46"/>
      <c r="P155" s="46"/>
      <c r="Q155" s="46"/>
      <c r="R155" s="46"/>
      <c r="W155" s="51"/>
      <c r="X155" s="51"/>
      <c r="Y155" s="52"/>
      <c r="Z155" s="50"/>
    </row>
    <row r="156" spans="2:26" s="49" customFormat="1" x14ac:dyDescent="0.3">
      <c r="B156" s="46"/>
      <c r="C156" s="46"/>
      <c r="D156" s="78"/>
      <c r="E156" s="48"/>
      <c r="F156" s="78"/>
      <c r="G156" s="46"/>
      <c r="H156" s="46"/>
      <c r="I156" s="46"/>
      <c r="J156" s="46"/>
      <c r="K156" s="46"/>
      <c r="L156" s="46"/>
      <c r="M156" s="46"/>
      <c r="N156" s="46"/>
      <c r="O156" s="46"/>
      <c r="P156" s="46"/>
      <c r="Q156" s="46"/>
      <c r="R156" s="46"/>
      <c r="W156" s="51"/>
      <c r="X156" s="51"/>
      <c r="Y156" s="52"/>
      <c r="Z156" s="50"/>
    </row>
    <row r="157" spans="2:26" s="49" customFormat="1" x14ac:dyDescent="0.3">
      <c r="B157" s="46"/>
      <c r="C157" s="46"/>
      <c r="D157" s="78"/>
      <c r="E157" s="48"/>
      <c r="F157" s="78"/>
      <c r="G157" s="46"/>
      <c r="H157" s="46"/>
      <c r="I157" s="46"/>
      <c r="J157" s="46"/>
      <c r="K157" s="46"/>
      <c r="L157" s="46"/>
      <c r="M157" s="46"/>
      <c r="N157" s="46"/>
      <c r="O157" s="46"/>
      <c r="P157" s="46"/>
      <c r="Q157" s="46"/>
      <c r="R157" s="46"/>
      <c r="W157" s="51"/>
      <c r="X157" s="51"/>
      <c r="Y157" s="52"/>
      <c r="Z157" s="50"/>
    </row>
    <row r="158" spans="2:26" s="49" customFormat="1" x14ac:dyDescent="0.3">
      <c r="B158" s="46"/>
      <c r="C158" s="46"/>
      <c r="D158" s="78"/>
      <c r="E158" s="48"/>
      <c r="F158" s="78"/>
      <c r="G158" s="46"/>
      <c r="H158" s="46"/>
      <c r="I158" s="46"/>
      <c r="J158" s="46"/>
      <c r="K158" s="46"/>
      <c r="L158" s="46"/>
      <c r="M158" s="46"/>
      <c r="N158" s="46"/>
      <c r="O158" s="46"/>
      <c r="P158" s="46"/>
      <c r="Q158" s="46"/>
      <c r="R158" s="46"/>
      <c r="W158" s="51"/>
      <c r="X158" s="51"/>
      <c r="Y158" s="52"/>
      <c r="Z158" s="50"/>
    </row>
    <row r="159" spans="2:26" s="49" customFormat="1" x14ac:dyDescent="0.3">
      <c r="B159" s="46"/>
      <c r="C159" s="46"/>
      <c r="D159" s="78"/>
      <c r="E159" s="48"/>
      <c r="F159" s="78"/>
      <c r="G159" s="46"/>
      <c r="H159" s="46"/>
      <c r="I159" s="46"/>
      <c r="J159" s="46"/>
      <c r="K159" s="46"/>
      <c r="L159" s="46"/>
      <c r="M159" s="46"/>
      <c r="N159" s="46"/>
      <c r="O159" s="46"/>
      <c r="P159" s="46"/>
      <c r="Q159" s="46"/>
      <c r="R159" s="46"/>
      <c r="W159" s="51"/>
      <c r="X159" s="51"/>
      <c r="Y159" s="52"/>
      <c r="Z159" s="50"/>
    </row>
    <row r="160" spans="2:26" s="49" customFormat="1" x14ac:dyDescent="0.3">
      <c r="B160" s="46"/>
      <c r="C160" s="46"/>
      <c r="D160" s="78"/>
      <c r="E160" s="48"/>
      <c r="F160" s="78"/>
      <c r="G160" s="46"/>
      <c r="H160" s="46"/>
      <c r="I160" s="46"/>
      <c r="J160" s="46"/>
      <c r="K160" s="46"/>
      <c r="L160" s="46"/>
      <c r="M160" s="46"/>
      <c r="N160" s="46"/>
      <c r="O160" s="46"/>
      <c r="P160" s="46"/>
      <c r="Q160" s="46"/>
      <c r="R160" s="46"/>
      <c r="W160" s="51"/>
      <c r="X160" s="51"/>
      <c r="Y160" s="52"/>
      <c r="Z160" s="50"/>
    </row>
    <row r="161" spans="2:26" s="49" customFormat="1" x14ac:dyDescent="0.3">
      <c r="B161" s="46"/>
      <c r="C161" s="46"/>
      <c r="D161" s="78"/>
      <c r="E161" s="48"/>
      <c r="F161" s="78"/>
      <c r="G161" s="46"/>
      <c r="H161" s="46"/>
      <c r="I161" s="46"/>
      <c r="J161" s="46"/>
      <c r="K161" s="46"/>
      <c r="L161" s="46"/>
      <c r="M161" s="46"/>
      <c r="N161" s="46"/>
      <c r="O161" s="46"/>
      <c r="P161" s="46"/>
      <c r="Q161" s="46"/>
      <c r="R161" s="46"/>
      <c r="W161" s="51"/>
      <c r="X161" s="51"/>
      <c r="Y161" s="52"/>
      <c r="Z161" s="50"/>
    </row>
    <row r="162" spans="2:26" s="49" customFormat="1" x14ac:dyDescent="0.3">
      <c r="B162" s="46"/>
      <c r="C162" s="46"/>
      <c r="D162" s="78"/>
      <c r="E162" s="48"/>
      <c r="F162" s="78"/>
      <c r="G162" s="46"/>
      <c r="H162" s="46"/>
      <c r="I162" s="46"/>
      <c r="J162" s="46"/>
      <c r="K162" s="46"/>
      <c r="L162" s="46"/>
      <c r="M162" s="46"/>
      <c r="N162" s="46"/>
      <c r="O162" s="46"/>
      <c r="P162" s="46"/>
      <c r="Q162" s="46"/>
      <c r="R162" s="46"/>
      <c r="W162" s="51"/>
      <c r="X162" s="51"/>
      <c r="Y162" s="52"/>
      <c r="Z162" s="50"/>
    </row>
    <row r="163" spans="2:26" s="49" customFormat="1" x14ac:dyDescent="0.3">
      <c r="B163" s="46"/>
      <c r="C163" s="46"/>
      <c r="D163" s="78"/>
      <c r="E163" s="48"/>
      <c r="F163" s="78"/>
      <c r="G163" s="46"/>
      <c r="H163" s="46"/>
      <c r="I163" s="46"/>
      <c r="J163" s="46"/>
      <c r="K163" s="46"/>
      <c r="L163" s="46"/>
      <c r="M163" s="46"/>
      <c r="N163" s="46"/>
      <c r="O163" s="46"/>
      <c r="P163" s="46"/>
      <c r="Q163" s="46"/>
      <c r="R163" s="46"/>
      <c r="W163" s="51"/>
      <c r="X163" s="51"/>
      <c r="Y163" s="52"/>
      <c r="Z163" s="50"/>
    </row>
    <row r="164" spans="2:26" s="49" customFormat="1" x14ac:dyDescent="0.3">
      <c r="B164" s="46"/>
      <c r="C164" s="46"/>
      <c r="D164" s="78"/>
      <c r="E164" s="48"/>
      <c r="F164" s="78"/>
      <c r="G164" s="46"/>
      <c r="H164" s="46"/>
      <c r="I164" s="46"/>
      <c r="J164" s="46"/>
      <c r="K164" s="46"/>
      <c r="L164" s="46"/>
      <c r="M164" s="46"/>
      <c r="N164" s="46"/>
      <c r="O164" s="46"/>
      <c r="P164" s="46"/>
      <c r="Q164" s="46"/>
      <c r="R164" s="46"/>
      <c r="W164" s="51"/>
      <c r="X164" s="51"/>
      <c r="Y164" s="52"/>
      <c r="Z164" s="50"/>
    </row>
    <row r="165" spans="2:26" s="49" customFormat="1" x14ac:dyDescent="0.3">
      <c r="B165" s="46"/>
      <c r="C165" s="46"/>
      <c r="D165" s="78"/>
      <c r="E165" s="48"/>
      <c r="F165" s="78"/>
      <c r="G165" s="46"/>
      <c r="H165" s="46"/>
      <c r="I165" s="46"/>
      <c r="J165" s="46"/>
      <c r="K165" s="46"/>
      <c r="L165" s="46"/>
      <c r="M165" s="46"/>
      <c r="N165" s="46"/>
      <c r="O165" s="46"/>
      <c r="P165" s="46"/>
      <c r="Q165" s="46"/>
      <c r="R165" s="46"/>
      <c r="W165" s="51"/>
      <c r="X165" s="51"/>
      <c r="Y165" s="52"/>
      <c r="Z165" s="50"/>
    </row>
    <row r="166" spans="2:26" s="49" customFormat="1" x14ac:dyDescent="0.3">
      <c r="B166" s="46"/>
      <c r="C166" s="46"/>
      <c r="D166" s="78"/>
      <c r="E166" s="48"/>
      <c r="F166" s="78"/>
      <c r="G166" s="46"/>
      <c r="H166" s="46"/>
      <c r="I166" s="46"/>
      <c r="J166" s="46"/>
      <c r="K166" s="46"/>
      <c r="L166" s="46"/>
      <c r="M166" s="46"/>
      <c r="N166" s="46"/>
      <c r="O166" s="46"/>
      <c r="P166" s="46"/>
      <c r="Q166" s="46"/>
      <c r="R166" s="46"/>
      <c r="W166" s="51"/>
      <c r="X166" s="51"/>
      <c r="Y166" s="52"/>
      <c r="Z166" s="50"/>
    </row>
    <row r="167" spans="2:26" s="49" customFormat="1" x14ac:dyDescent="0.3">
      <c r="B167" s="46"/>
      <c r="C167" s="46"/>
      <c r="D167" s="78"/>
      <c r="E167" s="48"/>
      <c r="F167" s="78"/>
      <c r="G167" s="46"/>
      <c r="H167" s="46"/>
      <c r="I167" s="46"/>
      <c r="J167" s="46"/>
      <c r="K167" s="46"/>
      <c r="L167" s="46"/>
      <c r="M167" s="46"/>
      <c r="N167" s="46"/>
      <c r="O167" s="46"/>
      <c r="P167" s="46"/>
      <c r="Q167" s="46"/>
      <c r="R167" s="46"/>
      <c r="W167" s="51"/>
      <c r="X167" s="51"/>
      <c r="Y167" s="52"/>
      <c r="Z167" s="50"/>
    </row>
    <row r="168" spans="2:26" s="49" customFormat="1" x14ac:dyDescent="0.3">
      <c r="B168" s="46"/>
      <c r="C168" s="46"/>
      <c r="D168" s="78"/>
      <c r="E168" s="48"/>
      <c r="F168" s="78"/>
      <c r="G168" s="46"/>
      <c r="H168" s="46"/>
      <c r="I168" s="46"/>
      <c r="J168" s="46"/>
      <c r="K168" s="46"/>
      <c r="L168" s="46"/>
      <c r="M168" s="46"/>
      <c r="N168" s="46"/>
      <c r="O168" s="46"/>
      <c r="P168" s="46"/>
      <c r="Q168" s="46"/>
      <c r="R168" s="46"/>
      <c r="W168" s="51"/>
      <c r="X168" s="51"/>
      <c r="Y168" s="52"/>
      <c r="Z168" s="50"/>
    </row>
    <row r="169" spans="2:26" s="49" customFormat="1" x14ac:dyDescent="0.3">
      <c r="B169" s="46"/>
      <c r="C169" s="46"/>
      <c r="D169" s="78"/>
      <c r="E169" s="48"/>
      <c r="F169" s="78"/>
      <c r="G169" s="46"/>
      <c r="H169" s="46"/>
      <c r="I169" s="46"/>
      <c r="J169" s="46"/>
      <c r="K169" s="46"/>
      <c r="L169" s="46"/>
      <c r="M169" s="46"/>
      <c r="N169" s="46"/>
      <c r="O169" s="46"/>
      <c r="P169" s="46"/>
      <c r="Q169" s="46"/>
      <c r="R169" s="46"/>
      <c r="W169" s="51"/>
      <c r="X169" s="51"/>
      <c r="Y169" s="52"/>
      <c r="Z169" s="50"/>
    </row>
    <row r="170" spans="2:26" s="49" customFormat="1" x14ac:dyDescent="0.3">
      <c r="B170" s="46"/>
      <c r="C170" s="46"/>
      <c r="D170" s="78"/>
      <c r="E170" s="48"/>
      <c r="F170" s="78"/>
      <c r="G170" s="46"/>
      <c r="H170" s="46"/>
      <c r="I170" s="46"/>
      <c r="J170" s="46"/>
      <c r="K170" s="46"/>
      <c r="L170" s="46"/>
      <c r="M170" s="46"/>
      <c r="N170" s="46"/>
      <c r="O170" s="46"/>
      <c r="P170" s="46"/>
      <c r="Q170" s="46"/>
      <c r="R170" s="46"/>
      <c r="W170" s="51"/>
      <c r="X170" s="51"/>
      <c r="Y170" s="52"/>
      <c r="Z170" s="50"/>
    </row>
    <row r="171" spans="2:26" s="49" customFormat="1" x14ac:dyDescent="0.3">
      <c r="B171" s="46"/>
      <c r="C171" s="46"/>
      <c r="D171" s="78"/>
      <c r="E171" s="48"/>
      <c r="F171" s="78"/>
      <c r="G171" s="46"/>
      <c r="H171" s="46"/>
      <c r="I171" s="46"/>
      <c r="J171" s="46"/>
      <c r="K171" s="46"/>
      <c r="L171" s="46"/>
      <c r="M171" s="46"/>
      <c r="N171" s="46"/>
      <c r="O171" s="46"/>
      <c r="P171" s="46"/>
      <c r="Q171" s="46"/>
      <c r="R171" s="46"/>
      <c r="W171" s="51"/>
      <c r="X171" s="51"/>
      <c r="Y171" s="52"/>
      <c r="Z171" s="50"/>
    </row>
    <row r="172" spans="2:26" s="49" customFormat="1" x14ac:dyDescent="0.3">
      <c r="B172" s="46"/>
      <c r="C172" s="46"/>
      <c r="D172" s="78"/>
      <c r="E172" s="48"/>
      <c r="F172" s="78"/>
      <c r="G172" s="46"/>
      <c r="H172" s="46"/>
      <c r="I172" s="46"/>
      <c r="J172" s="46"/>
      <c r="K172" s="46"/>
      <c r="L172" s="46"/>
      <c r="M172" s="46"/>
      <c r="N172" s="46"/>
      <c r="O172" s="46"/>
      <c r="P172" s="46"/>
      <c r="Q172" s="46"/>
      <c r="R172" s="46"/>
      <c r="W172" s="51"/>
      <c r="X172" s="51"/>
      <c r="Y172" s="52"/>
      <c r="Z172" s="50"/>
    </row>
    <row r="173" spans="2:26" s="49" customFormat="1" x14ac:dyDescent="0.3">
      <c r="B173" s="46"/>
      <c r="C173" s="46"/>
      <c r="D173" s="78"/>
      <c r="E173" s="48"/>
      <c r="F173" s="78"/>
      <c r="G173" s="46"/>
      <c r="H173" s="46"/>
      <c r="I173" s="46"/>
      <c r="J173" s="46"/>
      <c r="K173" s="46"/>
      <c r="L173" s="46"/>
      <c r="M173" s="46"/>
      <c r="N173" s="46"/>
      <c r="O173" s="46"/>
      <c r="P173" s="46"/>
      <c r="Q173" s="46"/>
      <c r="R173" s="46"/>
      <c r="W173" s="51"/>
      <c r="X173" s="51"/>
      <c r="Y173" s="52"/>
      <c r="Z173" s="50"/>
    </row>
    <row r="174" spans="2:26" s="49" customFormat="1" x14ac:dyDescent="0.3">
      <c r="B174" s="46"/>
      <c r="C174" s="46"/>
      <c r="D174" s="78"/>
      <c r="E174" s="48"/>
      <c r="F174" s="78"/>
      <c r="G174" s="46"/>
      <c r="H174" s="46"/>
      <c r="I174" s="46"/>
      <c r="J174" s="46"/>
      <c r="K174" s="46"/>
      <c r="L174" s="46"/>
      <c r="M174" s="46"/>
      <c r="N174" s="46"/>
      <c r="O174" s="46"/>
      <c r="P174" s="46"/>
      <c r="Q174" s="46"/>
      <c r="R174" s="46"/>
      <c r="W174" s="51"/>
      <c r="X174" s="51"/>
      <c r="Y174" s="52"/>
      <c r="Z174" s="50"/>
    </row>
    <row r="175" spans="2:26" s="49" customFormat="1" x14ac:dyDescent="0.3">
      <c r="B175" s="46"/>
      <c r="C175" s="46"/>
      <c r="D175" s="78"/>
      <c r="E175" s="48"/>
      <c r="F175" s="78"/>
      <c r="G175" s="46"/>
      <c r="H175" s="46"/>
      <c r="I175" s="46"/>
      <c r="J175" s="46"/>
      <c r="K175" s="46"/>
      <c r="L175" s="46"/>
      <c r="M175" s="46"/>
      <c r="N175" s="46"/>
      <c r="O175" s="46"/>
      <c r="P175" s="46"/>
      <c r="Q175" s="46"/>
      <c r="R175" s="46"/>
      <c r="W175" s="51"/>
      <c r="X175" s="51"/>
      <c r="Y175" s="52"/>
      <c r="Z175" s="50"/>
    </row>
    <row r="176" spans="2:26" s="49" customFormat="1" x14ac:dyDescent="0.3">
      <c r="B176" s="46"/>
      <c r="C176" s="46"/>
      <c r="D176" s="78"/>
      <c r="E176" s="48"/>
      <c r="F176" s="78"/>
      <c r="G176" s="46"/>
      <c r="H176" s="46"/>
      <c r="I176" s="46"/>
      <c r="J176" s="46"/>
      <c r="K176" s="46"/>
      <c r="L176" s="46"/>
      <c r="M176" s="46"/>
      <c r="N176" s="46"/>
      <c r="O176" s="46"/>
      <c r="P176" s="46"/>
      <c r="Q176" s="46"/>
      <c r="R176" s="46"/>
      <c r="W176" s="51"/>
      <c r="X176" s="51"/>
      <c r="Y176" s="52"/>
      <c r="Z176" s="50"/>
    </row>
    <row r="177" spans="2:26" s="49" customFormat="1" x14ac:dyDescent="0.3">
      <c r="B177" s="46"/>
      <c r="C177" s="46"/>
      <c r="D177" s="78"/>
      <c r="E177" s="48"/>
      <c r="F177" s="78"/>
      <c r="G177" s="46"/>
      <c r="H177" s="46"/>
      <c r="I177" s="46"/>
      <c r="J177" s="46"/>
      <c r="K177" s="46"/>
      <c r="L177" s="46"/>
      <c r="M177" s="46"/>
      <c r="N177" s="46"/>
      <c r="O177" s="46"/>
      <c r="P177" s="46"/>
      <c r="Q177" s="46"/>
      <c r="R177" s="46"/>
      <c r="W177" s="51"/>
      <c r="X177" s="51"/>
      <c r="Y177" s="52"/>
      <c r="Z177" s="50"/>
    </row>
    <row r="178" spans="2:26" s="49" customFormat="1" x14ac:dyDescent="0.3">
      <c r="B178" s="46"/>
      <c r="C178" s="46"/>
      <c r="D178" s="78"/>
      <c r="E178" s="48"/>
      <c r="F178" s="78"/>
      <c r="G178" s="46"/>
      <c r="H178" s="46"/>
      <c r="I178" s="46"/>
      <c r="J178" s="46"/>
      <c r="K178" s="46"/>
      <c r="L178" s="46"/>
      <c r="M178" s="46"/>
      <c r="N178" s="46"/>
      <c r="O178" s="46"/>
      <c r="P178" s="46"/>
      <c r="Q178" s="46"/>
      <c r="R178" s="46"/>
      <c r="W178" s="51"/>
      <c r="X178" s="51"/>
      <c r="Y178" s="52"/>
      <c r="Z178" s="50"/>
    </row>
    <row r="179" spans="2:26" s="49" customFormat="1" x14ac:dyDescent="0.3">
      <c r="B179" s="46"/>
      <c r="C179" s="46"/>
      <c r="D179" s="78"/>
      <c r="E179" s="48"/>
      <c r="F179" s="78"/>
      <c r="G179" s="46"/>
      <c r="H179" s="46"/>
      <c r="I179" s="46"/>
      <c r="J179" s="46"/>
      <c r="K179" s="46"/>
      <c r="L179" s="46"/>
      <c r="M179" s="46"/>
      <c r="N179" s="46"/>
      <c r="O179" s="46"/>
      <c r="P179" s="46"/>
      <c r="Q179" s="46"/>
      <c r="R179" s="46"/>
      <c r="W179" s="51"/>
      <c r="X179" s="51"/>
      <c r="Y179" s="52"/>
      <c r="Z179" s="50"/>
    </row>
    <row r="180" spans="2:26" s="49" customFormat="1" x14ac:dyDescent="0.3">
      <c r="B180" s="46"/>
      <c r="C180" s="46"/>
      <c r="D180" s="78"/>
      <c r="E180" s="48"/>
      <c r="F180" s="78"/>
      <c r="G180" s="46"/>
      <c r="H180" s="46"/>
      <c r="I180" s="46"/>
      <c r="J180" s="46"/>
      <c r="K180" s="46"/>
      <c r="L180" s="46"/>
      <c r="M180" s="46"/>
      <c r="N180" s="46"/>
      <c r="O180" s="46"/>
      <c r="P180" s="46"/>
      <c r="Q180" s="46"/>
      <c r="R180" s="46"/>
      <c r="W180" s="51"/>
      <c r="X180" s="51"/>
      <c r="Y180" s="52"/>
      <c r="Z180" s="50"/>
    </row>
    <row r="181" spans="2:26" s="49" customFormat="1" x14ac:dyDescent="0.3">
      <c r="B181" s="46"/>
      <c r="C181" s="46"/>
      <c r="D181" s="78"/>
      <c r="E181" s="48"/>
      <c r="F181" s="78"/>
      <c r="G181" s="46"/>
      <c r="H181" s="46"/>
      <c r="I181" s="46"/>
      <c r="J181" s="46"/>
      <c r="K181" s="46"/>
      <c r="L181" s="46"/>
      <c r="M181" s="46"/>
      <c r="N181" s="46"/>
      <c r="O181" s="46"/>
      <c r="P181" s="46"/>
      <c r="Q181" s="46"/>
      <c r="R181" s="46"/>
      <c r="W181" s="51"/>
      <c r="X181" s="51"/>
      <c r="Y181" s="52"/>
      <c r="Z181" s="50"/>
    </row>
    <row r="182" spans="2:26" s="49" customFormat="1" x14ac:dyDescent="0.3">
      <c r="B182" s="46"/>
      <c r="C182" s="46"/>
      <c r="D182" s="78"/>
      <c r="E182" s="48"/>
      <c r="F182" s="78"/>
      <c r="G182" s="46"/>
      <c r="H182" s="46"/>
      <c r="I182" s="46"/>
      <c r="J182" s="46"/>
      <c r="K182" s="46"/>
      <c r="L182" s="46"/>
      <c r="M182" s="46"/>
      <c r="N182" s="46"/>
      <c r="O182" s="46"/>
      <c r="P182" s="46"/>
      <c r="Q182" s="46"/>
      <c r="R182" s="46"/>
      <c r="W182" s="51"/>
      <c r="X182" s="51"/>
      <c r="Y182" s="52"/>
      <c r="Z182" s="50"/>
    </row>
    <row r="183" spans="2:26" s="49" customFormat="1" x14ac:dyDescent="0.3">
      <c r="B183" s="46"/>
      <c r="C183" s="46"/>
      <c r="D183" s="78"/>
      <c r="E183" s="48"/>
      <c r="F183" s="78"/>
      <c r="G183" s="46"/>
      <c r="H183" s="46"/>
      <c r="I183" s="46"/>
      <c r="J183" s="46"/>
      <c r="K183" s="46"/>
      <c r="L183" s="46"/>
      <c r="M183" s="46"/>
      <c r="N183" s="46"/>
      <c r="O183" s="46"/>
      <c r="P183" s="46"/>
      <c r="Q183" s="46"/>
      <c r="R183" s="46"/>
      <c r="W183" s="51"/>
      <c r="X183" s="51"/>
      <c r="Y183" s="52"/>
      <c r="Z183" s="50"/>
    </row>
    <row r="184" spans="2:26" s="49" customFormat="1" x14ac:dyDescent="0.3">
      <c r="B184" s="46"/>
      <c r="C184" s="46"/>
      <c r="D184" s="78"/>
      <c r="E184" s="48"/>
      <c r="F184" s="78"/>
      <c r="G184" s="46"/>
      <c r="H184" s="46"/>
      <c r="I184" s="46"/>
      <c r="J184" s="46"/>
      <c r="K184" s="46"/>
      <c r="L184" s="46"/>
      <c r="M184" s="46"/>
      <c r="N184" s="46"/>
      <c r="O184" s="46"/>
      <c r="P184" s="46"/>
      <c r="Q184" s="46"/>
      <c r="R184" s="46"/>
      <c r="W184" s="51"/>
      <c r="X184" s="51"/>
      <c r="Y184" s="52"/>
      <c r="Z184" s="50"/>
    </row>
    <row r="185" spans="2:26" s="49" customFormat="1" x14ac:dyDescent="0.3">
      <c r="B185" s="46"/>
      <c r="C185" s="46"/>
      <c r="D185" s="78"/>
      <c r="E185" s="48"/>
      <c r="F185" s="78"/>
      <c r="G185" s="46"/>
      <c r="H185" s="46"/>
      <c r="I185" s="46"/>
      <c r="J185" s="46"/>
      <c r="K185" s="46"/>
      <c r="L185" s="46"/>
      <c r="M185" s="46"/>
      <c r="N185" s="46"/>
      <c r="O185" s="46"/>
      <c r="P185" s="46"/>
      <c r="Q185" s="46"/>
      <c r="R185" s="46"/>
      <c r="W185" s="51"/>
      <c r="X185" s="51"/>
      <c r="Y185" s="52"/>
      <c r="Z185" s="50"/>
    </row>
    <row r="186" spans="2:26" s="49" customFormat="1" x14ac:dyDescent="0.3">
      <c r="B186" s="46"/>
      <c r="C186" s="46"/>
      <c r="D186" s="78"/>
      <c r="E186" s="48"/>
      <c r="F186" s="78"/>
      <c r="G186" s="46"/>
      <c r="H186" s="46"/>
      <c r="I186" s="46"/>
      <c r="J186" s="46"/>
      <c r="K186" s="46"/>
      <c r="L186" s="46"/>
      <c r="M186" s="46"/>
      <c r="N186" s="46"/>
      <c r="O186" s="46"/>
      <c r="P186" s="46"/>
      <c r="Q186" s="46"/>
      <c r="R186" s="46"/>
      <c r="W186" s="51"/>
      <c r="X186" s="51"/>
      <c r="Y186" s="52"/>
      <c r="Z186" s="50"/>
    </row>
    <row r="187" spans="2:26" s="49" customFormat="1" x14ac:dyDescent="0.3">
      <c r="B187" s="46"/>
      <c r="C187" s="46"/>
      <c r="D187" s="78"/>
      <c r="E187" s="48"/>
      <c r="F187" s="78"/>
      <c r="G187" s="46"/>
      <c r="H187" s="46"/>
      <c r="I187" s="46"/>
      <c r="J187" s="46"/>
      <c r="K187" s="46"/>
      <c r="L187" s="46"/>
      <c r="M187" s="46"/>
      <c r="N187" s="46"/>
      <c r="O187" s="46"/>
      <c r="P187" s="46"/>
      <c r="Q187" s="46"/>
      <c r="R187" s="46"/>
      <c r="W187" s="51"/>
      <c r="X187" s="51"/>
      <c r="Y187" s="52"/>
      <c r="Z187" s="50"/>
    </row>
  </sheetData>
  <autoFilter ref="A2:AE60" xr:uid="{00000000-0009-0000-0000-000004000000}"/>
  <mergeCells count="1">
    <mergeCell ref="AF1:AH1"/>
  </mergeCells>
  <conditionalFormatting sqref="I3:I55">
    <cfRule type="cellIs" dxfId="23" priority="11" operator="equal">
      <formula>"OK"</formula>
    </cfRule>
    <cfRule type="cellIs" dxfId="22" priority="12" operator="equal">
      <formula>"DIFIERE"</formula>
    </cfRule>
  </conditionalFormatting>
  <conditionalFormatting sqref="C3:C55">
    <cfRule type="cellIs" dxfId="21" priority="10" operator="equal">
      <formula>"COD. REPETIDO"</formula>
    </cfRule>
  </conditionalFormatting>
  <conditionalFormatting sqref="I58:I59">
    <cfRule type="cellIs" dxfId="20" priority="8" operator="equal">
      <formula>"OK"</formula>
    </cfRule>
    <cfRule type="cellIs" dxfId="19" priority="9" operator="equal">
      <formula>"DIFIERE"</formula>
    </cfRule>
  </conditionalFormatting>
  <conditionalFormatting sqref="C58:C59">
    <cfRule type="cellIs" dxfId="18" priority="7" operator="equal">
      <formula>"COD. REPETIDO"</formula>
    </cfRule>
  </conditionalFormatting>
  <conditionalFormatting sqref="I56">
    <cfRule type="cellIs" dxfId="17" priority="5" operator="equal">
      <formula>"OK"</formula>
    </cfRule>
    <cfRule type="cellIs" dxfId="16" priority="6" operator="equal">
      <formula>"DIFIERE"</formula>
    </cfRule>
  </conditionalFormatting>
  <conditionalFormatting sqref="C56">
    <cfRule type="cellIs" dxfId="15" priority="4" operator="equal">
      <formula>"COD. REPETIDO"</formula>
    </cfRule>
  </conditionalFormatting>
  <conditionalFormatting sqref="I57">
    <cfRule type="cellIs" dxfId="14" priority="2" operator="equal">
      <formula>"OK"</formula>
    </cfRule>
    <cfRule type="cellIs" dxfId="13" priority="3" operator="equal">
      <formula>"DIFIERE"</formula>
    </cfRule>
  </conditionalFormatting>
  <conditionalFormatting sqref="C57">
    <cfRule type="cellIs" dxfId="12" priority="1" operator="equal">
      <formula>"COD. REPETIDO"</formula>
    </cfRule>
  </conditionalFormatting>
  <pageMargins left="0.7" right="0.7" top="0.75" bottom="0.75" header="0.3" footer="0.3"/>
  <pageSetup paperSize="142"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tint="-0.249977111117893"/>
  </sheetPr>
  <dimension ref="A1:AJ318"/>
  <sheetViews>
    <sheetView zoomScaleNormal="100" workbookViewId="0">
      <selection activeCell="AJ3" sqref="AJ3"/>
    </sheetView>
  </sheetViews>
  <sheetFormatPr baseColWidth="10" defaultRowHeight="16.5" x14ac:dyDescent="0.3"/>
  <cols>
    <col min="1" max="1" width="11.42578125" style="9"/>
    <col min="2" max="2" width="12.140625" style="3" hidden="1" customWidth="1"/>
    <col min="3" max="3" width="0" style="3" hidden="1" customWidth="1"/>
    <col min="4" max="4" width="53.42578125" style="130" customWidth="1"/>
    <col min="5" max="5" width="21.7109375" style="5" customWidth="1"/>
    <col min="6" max="6" width="27.5703125" style="130" hidden="1" customWidth="1"/>
    <col min="7" max="7" width="11.42578125" style="3" hidden="1" customWidth="1"/>
    <col min="8" max="8" width="12.140625" style="3" hidden="1" customWidth="1"/>
    <col min="9" max="9" width="13.5703125" style="3" hidden="1" customWidth="1"/>
    <col min="10" max="10" width="11.42578125" style="3" hidden="1" customWidth="1"/>
    <col min="11" max="13" width="9.28515625" style="3" hidden="1" customWidth="1"/>
    <col min="14" max="14" width="9.7109375" style="3" hidden="1" customWidth="1"/>
    <col min="15" max="15" width="9.28515625" style="3" hidden="1" customWidth="1"/>
    <col min="16" max="16" width="9.7109375" style="3" hidden="1" customWidth="1"/>
    <col min="17" max="17" width="9.28515625" style="3" hidden="1" customWidth="1"/>
    <col min="18" max="18" width="11.28515625" style="3" hidden="1" customWidth="1"/>
    <col min="19" max="19" width="26.85546875" style="9" hidden="1" customWidth="1"/>
    <col min="20" max="20" width="26.85546875" style="148" hidden="1" customWidth="1"/>
    <col min="21" max="21" width="26.85546875" style="9" hidden="1" customWidth="1"/>
    <col min="22" max="22" width="16.5703125" style="30" hidden="1" customWidth="1"/>
    <col min="23" max="23" width="17.28515625" style="58" hidden="1" customWidth="1"/>
    <col min="24" max="24" width="16.7109375" style="30" hidden="1" customWidth="1"/>
    <col min="25" max="25" width="16.5703125" style="30" hidden="1" customWidth="1"/>
    <col min="26" max="26" width="17" style="29" hidden="1" customWidth="1"/>
    <col min="27" max="28" width="17" style="30" hidden="1" customWidth="1"/>
    <col min="29" max="29" width="18" style="29" hidden="1" customWidth="1"/>
    <col min="30" max="30" width="28.42578125" style="22" hidden="1" customWidth="1"/>
    <col min="31" max="31" width="28" style="22" hidden="1" customWidth="1"/>
    <col min="32" max="32" width="0" style="9" hidden="1" customWidth="1"/>
    <col min="33" max="33" width="12.5703125" style="22" hidden="1" customWidth="1"/>
    <col min="34" max="16384" width="11.42578125" style="9"/>
  </cols>
  <sheetData>
    <row r="1" spans="1:36" ht="49.5" x14ac:dyDescent="0.3">
      <c r="T1" s="6" t="s">
        <v>0</v>
      </c>
      <c r="U1" s="7" t="s">
        <v>1</v>
      </c>
      <c r="V1" s="6" t="s">
        <v>2</v>
      </c>
      <c r="W1" s="7" t="s">
        <v>125</v>
      </c>
      <c r="X1" s="6" t="s">
        <v>4</v>
      </c>
      <c r="Y1" s="6" t="s">
        <v>449</v>
      </c>
      <c r="Z1" s="8" t="s">
        <v>450</v>
      </c>
      <c r="AA1" s="6" t="s">
        <v>451</v>
      </c>
      <c r="AB1" s="6" t="s">
        <v>452</v>
      </c>
      <c r="AC1" s="8" t="s">
        <v>6</v>
      </c>
      <c r="AD1" s="7" t="s">
        <v>7</v>
      </c>
      <c r="AE1" s="7" t="s">
        <v>8</v>
      </c>
      <c r="AG1" s="7" t="s">
        <v>9</v>
      </c>
      <c r="AH1" s="176" t="s">
        <v>9</v>
      </c>
      <c r="AI1" s="175"/>
      <c r="AJ1" s="175"/>
    </row>
    <row r="2" spans="1:36" ht="66" x14ac:dyDescent="0.3">
      <c r="A2" s="17" t="s">
        <v>10</v>
      </c>
      <c r="B2" s="17" t="s">
        <v>11</v>
      </c>
      <c r="C2" s="17" t="s">
        <v>12</v>
      </c>
      <c r="D2" s="17" t="s">
        <v>13</v>
      </c>
      <c r="E2" s="17" t="s">
        <v>14</v>
      </c>
      <c r="F2" s="17" t="s">
        <v>15</v>
      </c>
      <c r="G2" s="60" t="s">
        <v>126</v>
      </c>
      <c r="H2" s="60" t="s">
        <v>127</v>
      </c>
      <c r="I2" s="60" t="s">
        <v>128</v>
      </c>
      <c r="J2" s="88" t="s">
        <v>129</v>
      </c>
      <c r="K2" s="66" t="s">
        <v>130</v>
      </c>
      <c r="L2" s="66" t="s">
        <v>131</v>
      </c>
      <c r="M2" s="66" t="s">
        <v>132</v>
      </c>
      <c r="N2" s="66" t="s">
        <v>133</v>
      </c>
      <c r="O2" s="66" t="s">
        <v>134</v>
      </c>
      <c r="P2" s="66" t="s">
        <v>135</v>
      </c>
      <c r="Q2" s="66" t="s">
        <v>136</v>
      </c>
      <c r="R2" s="66" t="s">
        <v>137</v>
      </c>
      <c r="S2" s="66" t="s">
        <v>138</v>
      </c>
      <c r="T2" s="68" t="s">
        <v>16</v>
      </c>
      <c r="U2" s="67" t="s">
        <v>16</v>
      </c>
      <c r="V2" s="68" t="s">
        <v>16</v>
      </c>
      <c r="W2" s="67" t="s">
        <v>16</v>
      </c>
      <c r="X2" s="68" t="s">
        <v>16</v>
      </c>
      <c r="Y2" s="68" t="s">
        <v>16</v>
      </c>
      <c r="Z2" s="20" t="s">
        <v>16</v>
      </c>
      <c r="AA2" s="68" t="s">
        <v>16</v>
      </c>
      <c r="AB2" s="68" t="s">
        <v>16</v>
      </c>
      <c r="AC2" s="8" t="s">
        <v>16</v>
      </c>
      <c r="AD2" s="7" t="s">
        <v>16</v>
      </c>
      <c r="AE2" s="7" t="s">
        <v>16</v>
      </c>
      <c r="AG2" s="7" t="s">
        <v>172</v>
      </c>
      <c r="AH2" s="90" t="s">
        <v>16</v>
      </c>
      <c r="AI2" s="111" t="s">
        <v>173</v>
      </c>
      <c r="AJ2" s="111" t="s">
        <v>19</v>
      </c>
    </row>
    <row r="3" spans="1:36" ht="33" x14ac:dyDescent="0.3">
      <c r="A3" s="22">
        <v>1</v>
      </c>
      <c r="B3" s="24">
        <v>1042003463</v>
      </c>
      <c r="C3" s="24" t="s">
        <v>20</v>
      </c>
      <c r="D3" s="117" t="s">
        <v>453</v>
      </c>
      <c r="E3" s="26" t="s">
        <v>22</v>
      </c>
      <c r="F3" s="114" t="s">
        <v>453</v>
      </c>
      <c r="G3" s="26" t="e">
        <v>#N/A</v>
      </c>
      <c r="H3" s="26" t="e">
        <v>#N/A</v>
      </c>
      <c r="I3" s="26" t="s">
        <v>20</v>
      </c>
      <c r="J3" s="70">
        <v>1</v>
      </c>
      <c r="K3" s="71">
        <v>0</v>
      </c>
      <c r="L3" s="71">
        <v>0</v>
      </c>
      <c r="M3" s="71">
        <v>0</v>
      </c>
      <c r="N3" s="71">
        <v>0</v>
      </c>
      <c r="O3" s="71">
        <v>0</v>
      </c>
      <c r="P3" s="71">
        <v>0</v>
      </c>
      <c r="Q3" s="71">
        <v>0</v>
      </c>
      <c r="R3" s="71">
        <v>0</v>
      </c>
      <c r="S3" s="134"/>
      <c r="T3" s="134" t="s">
        <v>176</v>
      </c>
      <c r="U3" s="134" t="s">
        <v>176</v>
      </c>
      <c r="V3" s="30" t="s">
        <v>25</v>
      </c>
      <c r="W3" s="58" t="s">
        <v>25</v>
      </c>
      <c r="X3" s="30" t="s">
        <v>25</v>
      </c>
      <c r="Y3" s="30" t="s">
        <v>25</v>
      </c>
      <c r="Z3" s="29" t="s">
        <v>454</v>
      </c>
      <c r="AA3" s="30">
        <v>142</v>
      </c>
      <c r="AB3" s="30" t="s">
        <v>25</v>
      </c>
      <c r="AC3" s="29" t="s">
        <v>24</v>
      </c>
      <c r="AD3" s="29" t="s">
        <v>455</v>
      </c>
      <c r="AE3" s="22" t="s">
        <v>176</v>
      </c>
      <c r="AG3" s="30">
        <f>MIN(T3:AE3)</f>
        <v>142</v>
      </c>
      <c r="AH3" s="147">
        <v>142</v>
      </c>
      <c r="AI3" s="30">
        <v>26.98</v>
      </c>
      <c r="AJ3" s="30">
        <v>168.98</v>
      </c>
    </row>
    <row r="4" spans="1:36" ht="33" x14ac:dyDescent="0.3">
      <c r="A4" s="22">
        <v>2</v>
      </c>
      <c r="B4" s="24">
        <v>1042003215</v>
      </c>
      <c r="C4" s="24" t="s">
        <v>20</v>
      </c>
      <c r="D4" s="117" t="s">
        <v>456</v>
      </c>
      <c r="E4" s="26" t="s">
        <v>22</v>
      </c>
      <c r="F4" s="114" t="s">
        <v>457</v>
      </c>
      <c r="G4" s="26" t="e">
        <v>#N/A</v>
      </c>
      <c r="H4" s="26" t="e">
        <v>#N/A</v>
      </c>
      <c r="I4" s="26" t="s">
        <v>20</v>
      </c>
      <c r="J4" s="70">
        <v>1</v>
      </c>
      <c r="K4" s="71">
        <v>0</v>
      </c>
      <c r="L4" s="71">
        <v>0</v>
      </c>
      <c r="M4" s="71">
        <v>0</v>
      </c>
      <c r="N4" s="71">
        <v>0</v>
      </c>
      <c r="O4" s="71">
        <v>0</v>
      </c>
      <c r="P4" s="71">
        <v>0</v>
      </c>
      <c r="Q4" s="71">
        <v>0</v>
      </c>
      <c r="R4" s="71">
        <v>0</v>
      </c>
      <c r="S4" s="134"/>
      <c r="T4" s="134" t="s">
        <v>176</v>
      </c>
      <c r="U4" s="134" t="s">
        <v>176</v>
      </c>
      <c r="V4" s="30" t="s">
        <v>25</v>
      </c>
      <c r="W4" s="58" t="s">
        <v>25</v>
      </c>
      <c r="X4" s="30" t="s">
        <v>25</v>
      </c>
      <c r="Y4" s="30" t="s">
        <v>25</v>
      </c>
      <c r="Z4" s="29" t="s">
        <v>454</v>
      </c>
      <c r="AA4" s="30">
        <v>2088</v>
      </c>
      <c r="AB4" s="30" t="s">
        <v>25</v>
      </c>
      <c r="AC4" s="29" t="s">
        <v>24</v>
      </c>
      <c r="AD4" s="29" t="s">
        <v>455</v>
      </c>
      <c r="AE4" s="22" t="s">
        <v>176</v>
      </c>
      <c r="AG4" s="30">
        <f t="shared" ref="AG4:AG67" si="0">MIN(T4:AE4)</f>
        <v>2088</v>
      </c>
      <c r="AH4" s="147">
        <v>2088</v>
      </c>
      <c r="AI4" s="30">
        <v>396.72</v>
      </c>
      <c r="AJ4" s="30">
        <v>2484.7200000000003</v>
      </c>
    </row>
    <row r="5" spans="1:36" ht="33" x14ac:dyDescent="0.3">
      <c r="A5" s="22">
        <v>3</v>
      </c>
      <c r="B5" s="24">
        <v>1042003216</v>
      </c>
      <c r="C5" s="24" t="s">
        <v>20</v>
      </c>
      <c r="D5" s="117" t="s">
        <v>458</v>
      </c>
      <c r="E5" s="26" t="s">
        <v>22</v>
      </c>
      <c r="F5" s="114" t="s">
        <v>459</v>
      </c>
      <c r="G5" s="26" t="e">
        <v>#N/A</v>
      </c>
      <c r="H5" s="26" t="e">
        <v>#N/A</v>
      </c>
      <c r="I5" s="26" t="s">
        <v>20</v>
      </c>
      <c r="J5" s="70">
        <v>1</v>
      </c>
      <c r="K5" s="71">
        <v>0</v>
      </c>
      <c r="L5" s="71">
        <v>0</v>
      </c>
      <c r="M5" s="71">
        <v>0</v>
      </c>
      <c r="N5" s="71">
        <v>0</v>
      </c>
      <c r="O5" s="71">
        <v>0</v>
      </c>
      <c r="P5" s="71">
        <v>0</v>
      </c>
      <c r="Q5" s="71">
        <v>0</v>
      </c>
      <c r="R5" s="71">
        <v>0</v>
      </c>
      <c r="S5" s="134"/>
      <c r="T5" s="134" t="s">
        <v>176</v>
      </c>
      <c r="U5" s="134" t="s">
        <v>176</v>
      </c>
      <c r="V5" s="30">
        <v>3357</v>
      </c>
      <c r="W5" s="58" t="s">
        <v>25</v>
      </c>
      <c r="X5" s="30" t="s">
        <v>25</v>
      </c>
      <c r="Y5" s="30" t="s">
        <v>25</v>
      </c>
      <c r="Z5" s="29" t="s">
        <v>454</v>
      </c>
      <c r="AA5" s="30" t="s">
        <v>25</v>
      </c>
      <c r="AB5" s="30" t="s">
        <v>25</v>
      </c>
      <c r="AC5" s="29" t="s">
        <v>24</v>
      </c>
      <c r="AD5" s="29"/>
      <c r="AE5" s="22" t="s">
        <v>176</v>
      </c>
      <c r="AG5" s="30">
        <f t="shared" si="0"/>
        <v>3357</v>
      </c>
      <c r="AH5" s="147">
        <v>3357</v>
      </c>
      <c r="AI5" s="30">
        <v>637.83000000000004</v>
      </c>
      <c r="AJ5" s="30">
        <v>3994.83</v>
      </c>
    </row>
    <row r="6" spans="1:36" ht="33" x14ac:dyDescent="0.3">
      <c r="A6" s="22">
        <v>4</v>
      </c>
      <c r="B6" s="24">
        <v>1042003192</v>
      </c>
      <c r="C6" s="24" t="s">
        <v>20</v>
      </c>
      <c r="D6" s="117" t="s">
        <v>460</v>
      </c>
      <c r="E6" s="26" t="s">
        <v>22</v>
      </c>
      <c r="F6" s="114" t="s">
        <v>460</v>
      </c>
      <c r="G6" s="26" t="e">
        <v>#N/A</v>
      </c>
      <c r="H6" s="26" t="e">
        <v>#N/A</v>
      </c>
      <c r="I6" s="26" t="s">
        <v>20</v>
      </c>
      <c r="J6" s="70">
        <v>1</v>
      </c>
      <c r="K6" s="71">
        <v>0</v>
      </c>
      <c r="L6" s="71">
        <v>0</v>
      </c>
      <c r="M6" s="71">
        <v>0</v>
      </c>
      <c r="N6" s="71">
        <v>0</v>
      </c>
      <c r="O6" s="71">
        <v>0</v>
      </c>
      <c r="P6" s="71">
        <v>0</v>
      </c>
      <c r="Q6" s="71">
        <v>0</v>
      </c>
      <c r="R6" s="71">
        <v>0</v>
      </c>
      <c r="S6" s="134"/>
      <c r="T6" s="134" t="s">
        <v>176</v>
      </c>
      <c r="U6" s="134" t="s">
        <v>176</v>
      </c>
      <c r="V6" s="30" t="s">
        <v>25</v>
      </c>
      <c r="W6" s="58" t="s">
        <v>25</v>
      </c>
      <c r="X6" s="30" t="s">
        <v>25</v>
      </c>
      <c r="Y6" s="30" t="s">
        <v>25</v>
      </c>
      <c r="Z6" s="29" t="s">
        <v>454</v>
      </c>
      <c r="AA6" s="30" t="s">
        <v>25</v>
      </c>
      <c r="AB6" s="30">
        <v>567</v>
      </c>
      <c r="AC6" s="29" t="s">
        <v>24</v>
      </c>
      <c r="AD6" s="29" t="s">
        <v>455</v>
      </c>
      <c r="AE6" s="22" t="s">
        <v>176</v>
      </c>
      <c r="AG6" s="30">
        <f t="shared" si="0"/>
        <v>567</v>
      </c>
      <c r="AH6" s="147">
        <v>567</v>
      </c>
      <c r="AI6" s="30">
        <v>107.73</v>
      </c>
      <c r="AJ6" s="30">
        <v>674.73</v>
      </c>
    </row>
    <row r="7" spans="1:36" ht="33" x14ac:dyDescent="0.3">
      <c r="A7" s="22">
        <v>5</v>
      </c>
      <c r="B7" s="24">
        <v>1042003465</v>
      </c>
      <c r="C7" s="24" t="s">
        <v>20</v>
      </c>
      <c r="D7" s="117" t="s">
        <v>461</v>
      </c>
      <c r="E7" s="26" t="s">
        <v>22</v>
      </c>
      <c r="F7" s="114" t="s">
        <v>461</v>
      </c>
      <c r="G7" s="26" t="e">
        <v>#N/A</v>
      </c>
      <c r="H7" s="26" t="e">
        <v>#N/A</v>
      </c>
      <c r="I7" s="26" t="s">
        <v>20</v>
      </c>
      <c r="J7" s="70">
        <v>1</v>
      </c>
      <c r="K7" s="71">
        <v>0</v>
      </c>
      <c r="L7" s="71">
        <v>0</v>
      </c>
      <c r="M7" s="71">
        <v>0</v>
      </c>
      <c r="N7" s="71">
        <v>0</v>
      </c>
      <c r="O7" s="71">
        <v>0</v>
      </c>
      <c r="P7" s="71">
        <v>0</v>
      </c>
      <c r="Q7" s="71">
        <v>0</v>
      </c>
      <c r="R7" s="71">
        <v>0</v>
      </c>
      <c r="S7" s="134"/>
      <c r="T7" s="134" t="s">
        <v>176</v>
      </c>
      <c r="U7" s="134" t="s">
        <v>176</v>
      </c>
      <c r="V7" s="30" t="s">
        <v>25</v>
      </c>
      <c r="W7" s="58" t="s">
        <v>25</v>
      </c>
      <c r="X7" s="30" t="s">
        <v>25</v>
      </c>
      <c r="Y7" s="30" t="s">
        <v>25</v>
      </c>
      <c r="Z7" s="29" t="s">
        <v>454</v>
      </c>
      <c r="AA7" s="30" t="s">
        <v>25</v>
      </c>
      <c r="AB7" s="30" t="s">
        <v>25</v>
      </c>
      <c r="AC7" s="29" t="s">
        <v>24</v>
      </c>
      <c r="AD7" s="29">
        <v>1348</v>
      </c>
      <c r="AE7" s="22" t="s">
        <v>176</v>
      </c>
      <c r="AG7" s="30">
        <f t="shared" si="0"/>
        <v>1348</v>
      </c>
      <c r="AH7" s="147">
        <v>1348</v>
      </c>
      <c r="AI7" s="30">
        <v>256.12</v>
      </c>
      <c r="AJ7" s="30">
        <v>1604.12</v>
      </c>
    </row>
    <row r="8" spans="1:36" ht="33" x14ac:dyDescent="0.3">
      <c r="A8" s="22">
        <v>6</v>
      </c>
      <c r="B8" s="24">
        <v>1042003466</v>
      </c>
      <c r="C8" s="24" t="s">
        <v>20</v>
      </c>
      <c r="D8" s="117" t="s">
        <v>462</v>
      </c>
      <c r="E8" s="26" t="s">
        <v>22</v>
      </c>
      <c r="F8" s="114" t="s">
        <v>462</v>
      </c>
      <c r="G8" s="26" t="e">
        <v>#N/A</v>
      </c>
      <c r="H8" s="26" t="e">
        <v>#N/A</v>
      </c>
      <c r="I8" s="26" t="s">
        <v>20</v>
      </c>
      <c r="J8" s="70">
        <v>1</v>
      </c>
      <c r="K8" s="71">
        <v>0</v>
      </c>
      <c r="L8" s="71">
        <v>0</v>
      </c>
      <c r="M8" s="71">
        <v>0</v>
      </c>
      <c r="N8" s="71">
        <v>0</v>
      </c>
      <c r="O8" s="71">
        <v>0</v>
      </c>
      <c r="P8" s="71">
        <v>0</v>
      </c>
      <c r="Q8" s="71">
        <v>0</v>
      </c>
      <c r="R8" s="71">
        <v>0</v>
      </c>
      <c r="S8" s="134"/>
      <c r="T8" s="134" t="s">
        <v>176</v>
      </c>
      <c r="U8" s="134" t="s">
        <v>176</v>
      </c>
      <c r="V8" s="30" t="s">
        <v>25</v>
      </c>
      <c r="W8" s="58" t="s">
        <v>25</v>
      </c>
      <c r="X8" s="30" t="s">
        <v>25</v>
      </c>
      <c r="Y8" s="30" t="s">
        <v>25</v>
      </c>
      <c r="Z8" s="29" t="s">
        <v>454</v>
      </c>
      <c r="AA8" s="30">
        <v>379</v>
      </c>
      <c r="AB8" s="30" t="s">
        <v>25</v>
      </c>
      <c r="AC8" s="29" t="s">
        <v>24</v>
      </c>
      <c r="AD8" s="29" t="s">
        <v>455</v>
      </c>
      <c r="AE8" s="22" t="s">
        <v>176</v>
      </c>
      <c r="AG8" s="30">
        <f t="shared" si="0"/>
        <v>379</v>
      </c>
      <c r="AH8" s="147">
        <v>379</v>
      </c>
      <c r="AI8" s="30">
        <v>72.010000000000005</v>
      </c>
      <c r="AJ8" s="30">
        <v>451.01</v>
      </c>
    </row>
    <row r="9" spans="1:36" ht="33" x14ac:dyDescent="0.3">
      <c r="A9" s="22">
        <v>7</v>
      </c>
      <c r="B9" s="24">
        <v>1042003195</v>
      </c>
      <c r="C9" s="24" t="s">
        <v>20</v>
      </c>
      <c r="D9" s="117" t="s">
        <v>463</v>
      </c>
      <c r="E9" s="26" t="s">
        <v>22</v>
      </c>
      <c r="F9" s="114" t="s">
        <v>463</v>
      </c>
      <c r="G9" s="26" t="e">
        <v>#N/A</v>
      </c>
      <c r="H9" s="26" t="e">
        <v>#N/A</v>
      </c>
      <c r="I9" s="26" t="s">
        <v>20</v>
      </c>
      <c r="J9" s="70">
        <v>1</v>
      </c>
      <c r="K9" s="71">
        <v>0</v>
      </c>
      <c r="L9" s="71">
        <v>0</v>
      </c>
      <c r="M9" s="71">
        <v>0</v>
      </c>
      <c r="N9" s="71">
        <v>0</v>
      </c>
      <c r="O9" s="71">
        <v>0</v>
      </c>
      <c r="P9" s="71">
        <v>0</v>
      </c>
      <c r="Q9" s="71">
        <v>0</v>
      </c>
      <c r="R9" s="71">
        <v>0</v>
      </c>
      <c r="S9" s="134"/>
      <c r="T9" s="134" t="s">
        <v>176</v>
      </c>
      <c r="U9" s="134" t="s">
        <v>176</v>
      </c>
      <c r="V9" s="30">
        <v>1188</v>
      </c>
      <c r="W9" s="58" t="s">
        <v>25</v>
      </c>
      <c r="X9" s="30" t="s">
        <v>25</v>
      </c>
      <c r="Y9" s="30" t="s">
        <v>25</v>
      </c>
      <c r="Z9" s="29" t="s">
        <v>454</v>
      </c>
      <c r="AA9" s="30" t="s">
        <v>25</v>
      </c>
      <c r="AB9" s="30" t="s">
        <v>25</v>
      </c>
      <c r="AC9" s="29" t="s">
        <v>24</v>
      </c>
      <c r="AD9" s="29" t="s">
        <v>455</v>
      </c>
      <c r="AE9" s="22" t="s">
        <v>176</v>
      </c>
      <c r="AG9" s="30">
        <f t="shared" si="0"/>
        <v>1188</v>
      </c>
      <c r="AH9" s="147">
        <v>1188</v>
      </c>
      <c r="AI9" s="30">
        <v>225.72</v>
      </c>
      <c r="AJ9" s="30">
        <v>1413.72</v>
      </c>
    </row>
    <row r="10" spans="1:36" ht="33" x14ac:dyDescent="0.3">
      <c r="A10" s="22">
        <v>8</v>
      </c>
      <c r="B10" s="24">
        <v>1042003196</v>
      </c>
      <c r="C10" s="24" t="s">
        <v>20</v>
      </c>
      <c r="D10" s="117" t="s">
        <v>464</v>
      </c>
      <c r="E10" s="26" t="s">
        <v>22</v>
      </c>
      <c r="F10" s="114" t="s">
        <v>465</v>
      </c>
      <c r="G10" s="26" t="e">
        <v>#N/A</v>
      </c>
      <c r="H10" s="26" t="e">
        <v>#N/A</v>
      </c>
      <c r="I10" s="26" t="s">
        <v>20</v>
      </c>
      <c r="J10" s="70">
        <v>1</v>
      </c>
      <c r="K10" s="71">
        <v>0</v>
      </c>
      <c r="L10" s="71">
        <v>0</v>
      </c>
      <c r="M10" s="71">
        <v>0</v>
      </c>
      <c r="N10" s="71">
        <v>0</v>
      </c>
      <c r="O10" s="71">
        <v>0</v>
      </c>
      <c r="P10" s="71">
        <v>0</v>
      </c>
      <c r="Q10" s="71">
        <v>0</v>
      </c>
      <c r="R10" s="71">
        <v>0</v>
      </c>
      <c r="S10" s="134"/>
      <c r="T10" s="134" t="s">
        <v>176</v>
      </c>
      <c r="U10" s="134" t="s">
        <v>176</v>
      </c>
      <c r="V10" s="30">
        <v>1188</v>
      </c>
      <c r="W10" s="58" t="s">
        <v>25</v>
      </c>
      <c r="X10" s="30" t="s">
        <v>25</v>
      </c>
      <c r="Y10" s="30" t="s">
        <v>25</v>
      </c>
      <c r="Z10" s="29" t="s">
        <v>454</v>
      </c>
      <c r="AA10" s="30" t="s">
        <v>25</v>
      </c>
      <c r="AB10" s="30" t="s">
        <v>25</v>
      </c>
      <c r="AC10" s="29" t="s">
        <v>24</v>
      </c>
      <c r="AD10" s="29" t="s">
        <v>455</v>
      </c>
      <c r="AE10" s="22" t="s">
        <v>176</v>
      </c>
      <c r="AG10" s="30">
        <f t="shared" si="0"/>
        <v>1188</v>
      </c>
      <c r="AH10" s="147">
        <v>1188</v>
      </c>
      <c r="AI10" s="30">
        <v>225.72</v>
      </c>
      <c r="AJ10" s="30">
        <v>1413.72</v>
      </c>
    </row>
    <row r="11" spans="1:36" ht="33" x14ac:dyDescent="0.3">
      <c r="A11" s="22">
        <v>9</v>
      </c>
      <c r="B11" s="24">
        <v>1042003197</v>
      </c>
      <c r="C11" s="24" t="s">
        <v>20</v>
      </c>
      <c r="D11" s="117" t="s">
        <v>466</v>
      </c>
      <c r="E11" s="26" t="s">
        <v>22</v>
      </c>
      <c r="F11" s="114" t="s">
        <v>466</v>
      </c>
      <c r="G11" s="26" t="e">
        <v>#N/A</v>
      </c>
      <c r="H11" s="26" t="e">
        <v>#N/A</v>
      </c>
      <c r="I11" s="26" t="s">
        <v>20</v>
      </c>
      <c r="J11" s="70">
        <v>1</v>
      </c>
      <c r="K11" s="71">
        <v>0</v>
      </c>
      <c r="L11" s="71">
        <v>0</v>
      </c>
      <c r="M11" s="71">
        <v>0</v>
      </c>
      <c r="N11" s="71">
        <v>0</v>
      </c>
      <c r="O11" s="71">
        <v>0</v>
      </c>
      <c r="P11" s="71">
        <v>0</v>
      </c>
      <c r="Q11" s="71">
        <v>0</v>
      </c>
      <c r="R11" s="71">
        <v>0</v>
      </c>
      <c r="S11" s="134"/>
      <c r="T11" s="134" t="s">
        <v>176</v>
      </c>
      <c r="U11" s="134" t="s">
        <v>176</v>
      </c>
      <c r="V11" s="30">
        <v>476</v>
      </c>
      <c r="W11" s="58" t="s">
        <v>25</v>
      </c>
      <c r="X11" s="30" t="s">
        <v>25</v>
      </c>
      <c r="Y11" s="30" t="s">
        <v>25</v>
      </c>
      <c r="Z11" s="29" t="s">
        <v>454</v>
      </c>
      <c r="AA11" s="30" t="s">
        <v>25</v>
      </c>
      <c r="AB11" s="30" t="s">
        <v>25</v>
      </c>
      <c r="AC11" s="29" t="s">
        <v>24</v>
      </c>
      <c r="AD11" s="29">
        <v>518</v>
      </c>
      <c r="AE11" s="22" t="s">
        <v>176</v>
      </c>
      <c r="AG11" s="30">
        <f t="shared" si="0"/>
        <v>476</v>
      </c>
      <c r="AH11" s="147">
        <v>497</v>
      </c>
      <c r="AI11" s="30">
        <v>94.43</v>
      </c>
      <c r="AJ11" s="30">
        <v>591.43000000000006</v>
      </c>
    </row>
    <row r="12" spans="1:36" ht="33" x14ac:dyDescent="0.3">
      <c r="A12" s="22">
        <v>10</v>
      </c>
      <c r="B12" s="24">
        <v>1042003199</v>
      </c>
      <c r="C12" s="24" t="s">
        <v>20</v>
      </c>
      <c r="D12" s="117" t="s">
        <v>467</v>
      </c>
      <c r="E12" s="26" t="s">
        <v>22</v>
      </c>
      <c r="F12" s="114" t="s">
        <v>468</v>
      </c>
      <c r="G12" s="26" t="e">
        <v>#N/A</v>
      </c>
      <c r="H12" s="26" t="e">
        <v>#N/A</v>
      </c>
      <c r="I12" s="26" t="s">
        <v>20</v>
      </c>
      <c r="J12" s="70">
        <v>1</v>
      </c>
      <c r="K12" s="71">
        <v>0</v>
      </c>
      <c r="L12" s="71">
        <v>0</v>
      </c>
      <c r="M12" s="71">
        <v>0</v>
      </c>
      <c r="N12" s="71">
        <v>0</v>
      </c>
      <c r="O12" s="71">
        <v>0</v>
      </c>
      <c r="P12" s="71">
        <v>0</v>
      </c>
      <c r="Q12" s="71">
        <v>0</v>
      </c>
      <c r="R12" s="71">
        <v>0</v>
      </c>
      <c r="S12" s="134"/>
      <c r="T12" s="134" t="s">
        <v>176</v>
      </c>
      <c r="U12" s="134" t="s">
        <v>176</v>
      </c>
      <c r="V12" s="30">
        <v>476</v>
      </c>
      <c r="W12" s="58" t="s">
        <v>25</v>
      </c>
      <c r="X12" s="30" t="s">
        <v>25</v>
      </c>
      <c r="Y12" s="30" t="s">
        <v>25</v>
      </c>
      <c r="Z12" s="29" t="s">
        <v>454</v>
      </c>
      <c r="AA12" s="30" t="s">
        <v>25</v>
      </c>
      <c r="AB12" s="30" t="s">
        <v>25</v>
      </c>
      <c r="AC12" s="29" t="s">
        <v>24</v>
      </c>
      <c r="AD12" s="29" t="s">
        <v>455</v>
      </c>
      <c r="AE12" s="22" t="s">
        <v>176</v>
      </c>
      <c r="AG12" s="30">
        <f t="shared" si="0"/>
        <v>476</v>
      </c>
      <c r="AH12" s="147">
        <v>476</v>
      </c>
      <c r="AI12" s="30">
        <v>90.44</v>
      </c>
      <c r="AJ12" s="30">
        <v>566.44000000000005</v>
      </c>
    </row>
    <row r="13" spans="1:36" ht="33" x14ac:dyDescent="0.3">
      <c r="A13" s="22">
        <v>11</v>
      </c>
      <c r="B13" s="24">
        <v>1042003200</v>
      </c>
      <c r="C13" s="24" t="s">
        <v>20</v>
      </c>
      <c r="D13" s="117" t="s">
        <v>469</v>
      </c>
      <c r="E13" s="26" t="s">
        <v>22</v>
      </c>
      <c r="F13" s="114" t="s">
        <v>469</v>
      </c>
      <c r="G13" s="26" t="e">
        <v>#N/A</v>
      </c>
      <c r="H13" s="26" t="e">
        <v>#N/A</v>
      </c>
      <c r="I13" s="26" t="s">
        <v>20</v>
      </c>
      <c r="J13" s="70">
        <v>1</v>
      </c>
      <c r="K13" s="71">
        <v>0</v>
      </c>
      <c r="L13" s="71">
        <v>0</v>
      </c>
      <c r="M13" s="71">
        <v>0</v>
      </c>
      <c r="N13" s="71">
        <v>0</v>
      </c>
      <c r="O13" s="71">
        <v>0</v>
      </c>
      <c r="P13" s="71">
        <v>0</v>
      </c>
      <c r="Q13" s="71">
        <v>0</v>
      </c>
      <c r="R13" s="71">
        <v>0</v>
      </c>
      <c r="S13" s="134"/>
      <c r="T13" s="134" t="s">
        <v>176</v>
      </c>
      <c r="U13" s="134" t="s">
        <v>176</v>
      </c>
      <c r="V13" s="30" t="s">
        <v>25</v>
      </c>
      <c r="W13" s="58" t="s">
        <v>25</v>
      </c>
      <c r="X13" s="30" t="s">
        <v>25</v>
      </c>
      <c r="Y13" s="30" t="s">
        <v>25</v>
      </c>
      <c r="Z13" s="29" t="s">
        <v>454</v>
      </c>
      <c r="AA13" s="30" t="s">
        <v>25</v>
      </c>
      <c r="AB13" s="30">
        <v>227</v>
      </c>
      <c r="AC13" s="29" t="s">
        <v>24</v>
      </c>
      <c r="AD13" s="29" t="s">
        <v>455</v>
      </c>
      <c r="AE13" s="22" t="s">
        <v>176</v>
      </c>
      <c r="AG13" s="30">
        <f t="shared" si="0"/>
        <v>227</v>
      </c>
      <c r="AH13" s="147">
        <v>227</v>
      </c>
      <c r="AI13" s="30">
        <v>43.13</v>
      </c>
      <c r="AJ13" s="30">
        <v>270.13</v>
      </c>
    </row>
    <row r="14" spans="1:36" ht="33" x14ac:dyDescent="0.3">
      <c r="A14" s="22">
        <v>12</v>
      </c>
      <c r="B14" s="24">
        <v>1042003468</v>
      </c>
      <c r="C14" s="24" t="s">
        <v>20</v>
      </c>
      <c r="D14" s="117" t="s">
        <v>470</v>
      </c>
      <c r="E14" s="26" t="s">
        <v>22</v>
      </c>
      <c r="F14" s="114" t="s">
        <v>470</v>
      </c>
      <c r="G14" s="26" t="e">
        <v>#N/A</v>
      </c>
      <c r="H14" s="26" t="e">
        <v>#N/A</v>
      </c>
      <c r="I14" s="26" t="s">
        <v>20</v>
      </c>
      <c r="J14" s="70">
        <v>1</v>
      </c>
      <c r="K14" s="71">
        <v>0</v>
      </c>
      <c r="L14" s="71">
        <v>0</v>
      </c>
      <c r="M14" s="71">
        <v>0</v>
      </c>
      <c r="N14" s="71">
        <v>0</v>
      </c>
      <c r="O14" s="71">
        <v>0</v>
      </c>
      <c r="P14" s="71">
        <v>0</v>
      </c>
      <c r="Q14" s="71">
        <v>0</v>
      </c>
      <c r="R14" s="71">
        <v>0</v>
      </c>
      <c r="S14" s="134"/>
      <c r="T14" s="134" t="s">
        <v>176</v>
      </c>
      <c r="U14" s="134" t="s">
        <v>176</v>
      </c>
      <c r="V14" s="30" t="s">
        <v>25</v>
      </c>
      <c r="W14" s="58" t="s">
        <v>25</v>
      </c>
      <c r="X14" s="30" t="s">
        <v>25</v>
      </c>
      <c r="Y14" s="30" t="s">
        <v>25</v>
      </c>
      <c r="Z14" s="29" t="s">
        <v>454</v>
      </c>
      <c r="AA14" s="30">
        <v>142</v>
      </c>
      <c r="AB14" s="30" t="s">
        <v>25</v>
      </c>
      <c r="AC14" s="29" t="s">
        <v>24</v>
      </c>
      <c r="AD14" s="29" t="s">
        <v>455</v>
      </c>
      <c r="AE14" s="22" t="s">
        <v>176</v>
      </c>
      <c r="AG14" s="30">
        <f t="shared" si="0"/>
        <v>142</v>
      </c>
      <c r="AH14" s="147">
        <v>142</v>
      </c>
      <c r="AI14" s="30">
        <v>26.98</v>
      </c>
      <c r="AJ14" s="30">
        <v>168.98</v>
      </c>
    </row>
    <row r="15" spans="1:36" ht="33" x14ac:dyDescent="0.3">
      <c r="A15" s="22">
        <v>13</v>
      </c>
      <c r="B15" s="24">
        <v>1042003203</v>
      </c>
      <c r="C15" s="24" t="s">
        <v>20</v>
      </c>
      <c r="D15" s="117" t="s">
        <v>471</v>
      </c>
      <c r="E15" s="26" t="s">
        <v>22</v>
      </c>
      <c r="F15" s="114" t="s">
        <v>471</v>
      </c>
      <c r="G15" s="26" t="e">
        <v>#N/A</v>
      </c>
      <c r="H15" s="26" t="e">
        <v>#N/A</v>
      </c>
      <c r="I15" s="26" t="s">
        <v>20</v>
      </c>
      <c r="J15" s="70">
        <v>1</v>
      </c>
      <c r="K15" s="71">
        <v>0</v>
      </c>
      <c r="L15" s="71">
        <v>0</v>
      </c>
      <c r="M15" s="71">
        <v>0</v>
      </c>
      <c r="N15" s="71">
        <v>0</v>
      </c>
      <c r="O15" s="71">
        <v>0</v>
      </c>
      <c r="P15" s="71">
        <v>0</v>
      </c>
      <c r="Q15" s="71">
        <v>0</v>
      </c>
      <c r="R15" s="71">
        <v>0</v>
      </c>
      <c r="S15" s="134"/>
      <c r="T15" s="134" t="s">
        <v>176</v>
      </c>
      <c r="U15" s="134" t="s">
        <v>176</v>
      </c>
      <c r="V15" s="30">
        <v>476</v>
      </c>
      <c r="W15" s="58" t="s">
        <v>25</v>
      </c>
      <c r="X15" s="30" t="s">
        <v>25</v>
      </c>
      <c r="Y15" s="30" t="s">
        <v>25</v>
      </c>
      <c r="Z15" s="29" t="s">
        <v>454</v>
      </c>
      <c r="AA15" s="30" t="s">
        <v>25</v>
      </c>
      <c r="AB15" s="30" t="s">
        <v>25</v>
      </c>
      <c r="AC15" s="29" t="s">
        <v>24</v>
      </c>
      <c r="AD15" s="29">
        <v>518</v>
      </c>
      <c r="AE15" s="22" t="s">
        <v>176</v>
      </c>
      <c r="AG15" s="30">
        <f t="shared" si="0"/>
        <v>476</v>
      </c>
      <c r="AH15" s="147">
        <v>497</v>
      </c>
      <c r="AI15" s="30">
        <v>94.43</v>
      </c>
      <c r="AJ15" s="30">
        <v>591.43000000000006</v>
      </c>
    </row>
    <row r="16" spans="1:36" ht="33" x14ac:dyDescent="0.3">
      <c r="A16" s="22">
        <v>14</v>
      </c>
      <c r="B16" s="24">
        <v>1042003204</v>
      </c>
      <c r="C16" s="24" t="s">
        <v>20</v>
      </c>
      <c r="D16" s="117" t="s">
        <v>472</v>
      </c>
      <c r="E16" s="26" t="s">
        <v>22</v>
      </c>
      <c r="F16" s="114" t="s">
        <v>472</v>
      </c>
      <c r="G16" s="26" t="e">
        <v>#N/A</v>
      </c>
      <c r="H16" s="26" t="e">
        <v>#N/A</v>
      </c>
      <c r="I16" s="26" t="s">
        <v>20</v>
      </c>
      <c r="J16" s="70">
        <v>1</v>
      </c>
      <c r="K16" s="71">
        <v>0</v>
      </c>
      <c r="L16" s="71">
        <v>0</v>
      </c>
      <c r="M16" s="71">
        <v>0</v>
      </c>
      <c r="N16" s="71">
        <v>0</v>
      </c>
      <c r="O16" s="71">
        <v>0</v>
      </c>
      <c r="P16" s="71">
        <v>0</v>
      </c>
      <c r="Q16" s="71">
        <v>0</v>
      </c>
      <c r="R16" s="71">
        <v>0</v>
      </c>
      <c r="S16" s="134"/>
      <c r="T16" s="134" t="s">
        <v>176</v>
      </c>
      <c r="U16" s="134" t="s">
        <v>176</v>
      </c>
      <c r="V16" s="30">
        <v>476</v>
      </c>
      <c r="W16" s="58" t="s">
        <v>25</v>
      </c>
      <c r="X16" s="30" t="s">
        <v>25</v>
      </c>
      <c r="Y16" s="30" t="s">
        <v>25</v>
      </c>
      <c r="Z16" s="29" t="s">
        <v>454</v>
      </c>
      <c r="AA16" s="30" t="s">
        <v>25</v>
      </c>
      <c r="AB16" s="30" t="s">
        <v>25</v>
      </c>
      <c r="AC16" s="29" t="s">
        <v>24</v>
      </c>
      <c r="AD16" s="29" t="s">
        <v>455</v>
      </c>
      <c r="AE16" s="22" t="s">
        <v>176</v>
      </c>
      <c r="AG16" s="30">
        <f t="shared" si="0"/>
        <v>476</v>
      </c>
      <c r="AH16" s="147">
        <v>476</v>
      </c>
      <c r="AI16" s="30">
        <v>90.44</v>
      </c>
      <c r="AJ16" s="30">
        <v>566.44000000000005</v>
      </c>
    </row>
    <row r="17" spans="1:36" ht="33" x14ac:dyDescent="0.3">
      <c r="A17" s="22">
        <v>15</v>
      </c>
      <c r="B17" s="24">
        <v>1042003209</v>
      </c>
      <c r="C17" s="24" t="s">
        <v>20</v>
      </c>
      <c r="D17" s="117" t="s">
        <v>473</v>
      </c>
      <c r="E17" s="26" t="s">
        <v>22</v>
      </c>
      <c r="F17" s="114" t="s">
        <v>473</v>
      </c>
      <c r="G17" s="26" t="e">
        <v>#N/A</v>
      </c>
      <c r="H17" s="26" t="e">
        <v>#N/A</v>
      </c>
      <c r="I17" s="26" t="s">
        <v>20</v>
      </c>
      <c r="J17" s="70">
        <v>1</v>
      </c>
      <c r="K17" s="71">
        <v>0</v>
      </c>
      <c r="L17" s="71">
        <v>0</v>
      </c>
      <c r="M17" s="71">
        <v>0</v>
      </c>
      <c r="N17" s="71">
        <v>0</v>
      </c>
      <c r="O17" s="71">
        <v>0</v>
      </c>
      <c r="P17" s="71">
        <v>0</v>
      </c>
      <c r="Q17" s="71">
        <v>0</v>
      </c>
      <c r="R17" s="71">
        <v>0</v>
      </c>
      <c r="S17" s="134"/>
      <c r="T17" s="134" t="s">
        <v>176</v>
      </c>
      <c r="U17" s="134" t="s">
        <v>176</v>
      </c>
      <c r="V17" s="30">
        <v>3357</v>
      </c>
      <c r="W17" s="58" t="s">
        <v>25</v>
      </c>
      <c r="X17" s="30" t="s">
        <v>25</v>
      </c>
      <c r="Y17" s="30" t="s">
        <v>25</v>
      </c>
      <c r="Z17" s="29" t="s">
        <v>454</v>
      </c>
      <c r="AA17" s="30" t="s">
        <v>25</v>
      </c>
      <c r="AB17" s="30" t="s">
        <v>25</v>
      </c>
      <c r="AC17" s="29" t="s">
        <v>24</v>
      </c>
      <c r="AD17" s="29" t="s">
        <v>455</v>
      </c>
      <c r="AE17" s="22" t="s">
        <v>176</v>
      </c>
      <c r="AG17" s="30">
        <f t="shared" si="0"/>
        <v>3357</v>
      </c>
      <c r="AH17" s="147">
        <v>3357</v>
      </c>
      <c r="AI17" s="30">
        <v>637.83000000000004</v>
      </c>
      <c r="AJ17" s="30">
        <v>3994.83</v>
      </c>
    </row>
    <row r="18" spans="1:36" ht="33" x14ac:dyDescent="0.3">
      <c r="A18" s="22">
        <v>16</v>
      </c>
      <c r="B18" s="24">
        <v>1042003211</v>
      </c>
      <c r="C18" s="24" t="s">
        <v>20</v>
      </c>
      <c r="D18" s="117" t="s">
        <v>474</v>
      </c>
      <c r="E18" s="26" t="s">
        <v>22</v>
      </c>
      <c r="F18" s="114" t="s">
        <v>474</v>
      </c>
      <c r="G18" s="26" t="e">
        <v>#N/A</v>
      </c>
      <c r="H18" s="26" t="e">
        <v>#N/A</v>
      </c>
      <c r="I18" s="26" t="s">
        <v>20</v>
      </c>
      <c r="J18" s="70">
        <v>1</v>
      </c>
      <c r="K18" s="71">
        <v>0</v>
      </c>
      <c r="L18" s="71">
        <v>0</v>
      </c>
      <c r="M18" s="71">
        <v>0</v>
      </c>
      <c r="N18" s="71">
        <v>0</v>
      </c>
      <c r="O18" s="71">
        <v>0</v>
      </c>
      <c r="P18" s="71">
        <v>0</v>
      </c>
      <c r="Q18" s="71">
        <v>0</v>
      </c>
      <c r="R18" s="71">
        <v>0</v>
      </c>
      <c r="S18" s="134"/>
      <c r="T18" s="134" t="s">
        <v>176</v>
      </c>
      <c r="U18" s="134" t="s">
        <v>176</v>
      </c>
      <c r="V18" s="30">
        <v>3357</v>
      </c>
      <c r="W18" s="58" t="s">
        <v>25</v>
      </c>
      <c r="X18" s="30" t="s">
        <v>25</v>
      </c>
      <c r="Y18" s="30" t="s">
        <v>25</v>
      </c>
      <c r="Z18" s="29" t="s">
        <v>454</v>
      </c>
      <c r="AA18" s="30" t="s">
        <v>25</v>
      </c>
      <c r="AB18" s="30" t="s">
        <v>25</v>
      </c>
      <c r="AC18" s="29" t="s">
        <v>24</v>
      </c>
      <c r="AD18" s="29">
        <v>518</v>
      </c>
      <c r="AE18" s="22" t="s">
        <v>176</v>
      </c>
      <c r="AG18" s="30">
        <f t="shared" si="0"/>
        <v>518</v>
      </c>
      <c r="AH18" s="147">
        <v>1937.5</v>
      </c>
      <c r="AI18" s="30">
        <v>368.125</v>
      </c>
      <c r="AJ18" s="30">
        <v>2305.625</v>
      </c>
    </row>
    <row r="19" spans="1:36" ht="33" x14ac:dyDescent="0.3">
      <c r="A19" s="22">
        <v>17</v>
      </c>
      <c r="B19" s="24">
        <v>1042003212</v>
      </c>
      <c r="C19" s="24" t="s">
        <v>20</v>
      </c>
      <c r="D19" s="117" t="s">
        <v>475</v>
      </c>
      <c r="E19" s="26" t="s">
        <v>22</v>
      </c>
      <c r="F19" s="114" t="s">
        <v>475</v>
      </c>
      <c r="G19" s="26" t="e">
        <v>#N/A</v>
      </c>
      <c r="H19" s="26" t="e">
        <v>#N/A</v>
      </c>
      <c r="I19" s="26" t="s">
        <v>20</v>
      </c>
      <c r="J19" s="70">
        <v>1</v>
      </c>
      <c r="K19" s="71">
        <v>0</v>
      </c>
      <c r="L19" s="71">
        <v>0</v>
      </c>
      <c r="M19" s="71">
        <v>0</v>
      </c>
      <c r="N19" s="71">
        <v>0</v>
      </c>
      <c r="O19" s="71">
        <v>0</v>
      </c>
      <c r="P19" s="71">
        <v>0</v>
      </c>
      <c r="Q19" s="71">
        <v>0</v>
      </c>
      <c r="R19" s="71">
        <v>0</v>
      </c>
      <c r="S19" s="134"/>
      <c r="T19" s="134" t="s">
        <v>176</v>
      </c>
      <c r="U19" s="134" t="s">
        <v>176</v>
      </c>
      <c r="V19" s="30" t="s">
        <v>25</v>
      </c>
      <c r="W19" s="58" t="s">
        <v>25</v>
      </c>
      <c r="X19" s="30" t="s">
        <v>25</v>
      </c>
      <c r="Y19" s="30" t="s">
        <v>25</v>
      </c>
      <c r="Z19" s="29" t="s">
        <v>454</v>
      </c>
      <c r="AA19" s="30" t="s">
        <v>25</v>
      </c>
      <c r="AB19" s="30">
        <v>2608</v>
      </c>
      <c r="AC19" s="29" t="s">
        <v>24</v>
      </c>
      <c r="AD19" s="29" t="s">
        <v>455</v>
      </c>
      <c r="AE19" s="22" t="s">
        <v>176</v>
      </c>
      <c r="AG19" s="30">
        <f t="shared" si="0"/>
        <v>2608</v>
      </c>
      <c r="AH19" s="147">
        <v>2608</v>
      </c>
      <c r="AI19" s="30">
        <v>495.52</v>
      </c>
      <c r="AJ19" s="30">
        <v>3103.52</v>
      </c>
    </row>
    <row r="20" spans="1:36" ht="33" x14ac:dyDescent="0.3">
      <c r="A20" s="22">
        <v>18</v>
      </c>
      <c r="B20" s="24">
        <v>1042003213</v>
      </c>
      <c r="C20" s="24" t="s">
        <v>20</v>
      </c>
      <c r="D20" s="117" t="s">
        <v>476</v>
      </c>
      <c r="E20" s="26" t="s">
        <v>22</v>
      </c>
      <c r="F20" s="114" t="s">
        <v>476</v>
      </c>
      <c r="G20" s="26" t="e">
        <v>#N/A</v>
      </c>
      <c r="H20" s="26" t="e">
        <v>#N/A</v>
      </c>
      <c r="I20" s="26" t="s">
        <v>20</v>
      </c>
      <c r="J20" s="70">
        <v>1</v>
      </c>
      <c r="K20" s="71">
        <v>0</v>
      </c>
      <c r="L20" s="71">
        <v>0</v>
      </c>
      <c r="M20" s="71">
        <v>0</v>
      </c>
      <c r="N20" s="71">
        <v>0</v>
      </c>
      <c r="O20" s="71">
        <v>0</v>
      </c>
      <c r="P20" s="71">
        <v>0</v>
      </c>
      <c r="Q20" s="71">
        <v>0</v>
      </c>
      <c r="R20" s="71">
        <v>0</v>
      </c>
      <c r="S20" s="134"/>
      <c r="T20" s="134" t="s">
        <v>176</v>
      </c>
      <c r="U20" s="134" t="s">
        <v>176</v>
      </c>
      <c r="V20" s="30" t="s">
        <v>25</v>
      </c>
      <c r="W20" s="58" t="s">
        <v>25</v>
      </c>
      <c r="X20" s="30" t="s">
        <v>25</v>
      </c>
      <c r="Y20" s="30" t="s">
        <v>25</v>
      </c>
      <c r="Z20" s="29" t="s">
        <v>454</v>
      </c>
      <c r="AA20" s="30" t="s">
        <v>25</v>
      </c>
      <c r="AB20" s="30" t="s">
        <v>25</v>
      </c>
      <c r="AC20" s="29" t="s">
        <v>24</v>
      </c>
      <c r="AD20" s="29">
        <v>3939</v>
      </c>
      <c r="AE20" s="22" t="s">
        <v>176</v>
      </c>
      <c r="AG20" s="30">
        <f t="shared" si="0"/>
        <v>3939</v>
      </c>
      <c r="AH20" s="147">
        <v>3939</v>
      </c>
      <c r="AI20" s="30">
        <v>748.41</v>
      </c>
      <c r="AJ20" s="30">
        <v>4687.41</v>
      </c>
    </row>
    <row r="21" spans="1:36" ht="33" x14ac:dyDescent="0.3">
      <c r="A21" s="22">
        <v>19</v>
      </c>
      <c r="B21" s="24">
        <v>1042003224</v>
      </c>
      <c r="C21" s="24" t="s">
        <v>20</v>
      </c>
      <c r="D21" s="117" t="s">
        <v>477</v>
      </c>
      <c r="E21" s="26" t="s">
        <v>22</v>
      </c>
      <c r="F21" s="114" t="s">
        <v>477</v>
      </c>
      <c r="G21" s="26" t="e">
        <v>#N/A</v>
      </c>
      <c r="H21" s="26" t="e">
        <v>#N/A</v>
      </c>
      <c r="I21" s="26" t="s">
        <v>20</v>
      </c>
      <c r="J21" s="70">
        <v>1</v>
      </c>
      <c r="K21" s="71">
        <v>0</v>
      </c>
      <c r="L21" s="71">
        <v>0</v>
      </c>
      <c r="M21" s="71">
        <v>0</v>
      </c>
      <c r="N21" s="71">
        <v>0</v>
      </c>
      <c r="O21" s="71">
        <v>0</v>
      </c>
      <c r="P21" s="71">
        <v>0</v>
      </c>
      <c r="Q21" s="71">
        <v>0</v>
      </c>
      <c r="R21" s="71">
        <v>0</v>
      </c>
      <c r="S21" s="134"/>
      <c r="T21" s="134" t="s">
        <v>176</v>
      </c>
      <c r="U21" s="134" t="s">
        <v>176</v>
      </c>
      <c r="V21" s="30" t="s">
        <v>25</v>
      </c>
      <c r="W21" s="58" t="s">
        <v>25</v>
      </c>
      <c r="X21" s="30" t="s">
        <v>25</v>
      </c>
      <c r="Y21" s="30" t="s">
        <v>25</v>
      </c>
      <c r="Z21" s="29" t="s">
        <v>454</v>
      </c>
      <c r="AA21" s="30" t="s">
        <v>25</v>
      </c>
      <c r="AB21" s="30" t="s">
        <v>25</v>
      </c>
      <c r="AC21" s="29" t="s">
        <v>24</v>
      </c>
      <c r="AD21" s="29">
        <v>6740</v>
      </c>
      <c r="AE21" s="22" t="s">
        <v>176</v>
      </c>
      <c r="AG21" s="30">
        <f t="shared" si="0"/>
        <v>6740</v>
      </c>
      <c r="AH21" s="147">
        <v>6740</v>
      </c>
      <c r="AI21" s="30">
        <v>1280.5999999999999</v>
      </c>
      <c r="AJ21" s="30">
        <v>8020.6</v>
      </c>
    </row>
    <row r="22" spans="1:36" ht="33" x14ac:dyDescent="0.3">
      <c r="A22" s="22">
        <v>20</v>
      </c>
      <c r="B22" s="24">
        <v>1042003227</v>
      </c>
      <c r="C22" s="24" t="s">
        <v>20</v>
      </c>
      <c r="D22" s="117" t="s">
        <v>478</v>
      </c>
      <c r="E22" s="26" t="s">
        <v>22</v>
      </c>
      <c r="F22" s="114" t="s">
        <v>478</v>
      </c>
      <c r="G22" s="26" t="e">
        <v>#N/A</v>
      </c>
      <c r="H22" s="26" t="e">
        <v>#N/A</v>
      </c>
      <c r="I22" s="26" t="s">
        <v>20</v>
      </c>
      <c r="J22" s="70">
        <v>1</v>
      </c>
      <c r="K22" s="71">
        <v>0</v>
      </c>
      <c r="L22" s="71">
        <v>0</v>
      </c>
      <c r="M22" s="71">
        <v>0</v>
      </c>
      <c r="N22" s="71">
        <v>0</v>
      </c>
      <c r="O22" s="71">
        <v>0</v>
      </c>
      <c r="P22" s="71">
        <v>0</v>
      </c>
      <c r="Q22" s="71">
        <v>0</v>
      </c>
      <c r="R22" s="71">
        <v>0</v>
      </c>
      <c r="S22" s="134"/>
      <c r="T22" s="134" t="s">
        <v>176</v>
      </c>
      <c r="U22" s="134" t="s">
        <v>176</v>
      </c>
      <c r="V22" s="30" t="s">
        <v>25</v>
      </c>
      <c r="W22" s="58" t="s">
        <v>25</v>
      </c>
      <c r="X22" s="30" t="s">
        <v>25</v>
      </c>
      <c r="Y22" s="30" t="s">
        <v>25</v>
      </c>
      <c r="Z22" s="29" t="s">
        <v>454</v>
      </c>
      <c r="AA22" s="30">
        <v>3036</v>
      </c>
      <c r="AB22" s="30" t="s">
        <v>25</v>
      </c>
      <c r="AC22" s="29" t="s">
        <v>24</v>
      </c>
      <c r="AD22" s="29" t="s">
        <v>455</v>
      </c>
      <c r="AE22" s="22" t="s">
        <v>176</v>
      </c>
      <c r="AG22" s="30">
        <f t="shared" si="0"/>
        <v>3036</v>
      </c>
      <c r="AH22" s="147">
        <v>3036</v>
      </c>
      <c r="AI22" s="30">
        <v>576.84</v>
      </c>
      <c r="AJ22" s="30">
        <v>3612.84</v>
      </c>
    </row>
    <row r="23" spans="1:36" ht="33" x14ac:dyDescent="0.3">
      <c r="A23" s="22">
        <v>21</v>
      </c>
      <c r="B23" s="24">
        <v>1042003229</v>
      </c>
      <c r="C23" s="24" t="s">
        <v>20</v>
      </c>
      <c r="D23" s="117" t="s">
        <v>479</v>
      </c>
      <c r="E23" s="26" t="s">
        <v>22</v>
      </c>
      <c r="F23" s="114" t="s">
        <v>479</v>
      </c>
      <c r="G23" s="26" t="e">
        <v>#N/A</v>
      </c>
      <c r="H23" s="26" t="e">
        <v>#N/A</v>
      </c>
      <c r="I23" s="26" t="s">
        <v>20</v>
      </c>
      <c r="J23" s="70">
        <v>1</v>
      </c>
      <c r="K23" s="71">
        <v>0</v>
      </c>
      <c r="L23" s="71">
        <v>0</v>
      </c>
      <c r="M23" s="71">
        <v>0</v>
      </c>
      <c r="N23" s="71">
        <v>0</v>
      </c>
      <c r="O23" s="71">
        <v>0</v>
      </c>
      <c r="P23" s="71">
        <v>0</v>
      </c>
      <c r="Q23" s="71">
        <v>0</v>
      </c>
      <c r="R23" s="71">
        <v>0</v>
      </c>
      <c r="S23" s="134"/>
      <c r="T23" s="134" t="s">
        <v>176</v>
      </c>
      <c r="U23" s="134" t="s">
        <v>176</v>
      </c>
      <c r="V23" s="30">
        <v>4867</v>
      </c>
      <c r="W23" s="58" t="s">
        <v>25</v>
      </c>
      <c r="X23" s="30" t="s">
        <v>25</v>
      </c>
      <c r="Y23" s="30" t="s">
        <v>25</v>
      </c>
      <c r="Z23" s="29" t="s">
        <v>454</v>
      </c>
      <c r="AA23" s="30" t="s">
        <v>25</v>
      </c>
      <c r="AB23" s="30" t="s">
        <v>25</v>
      </c>
      <c r="AC23" s="29" t="s">
        <v>24</v>
      </c>
      <c r="AD23" s="29" t="s">
        <v>455</v>
      </c>
      <c r="AE23" s="22" t="s">
        <v>176</v>
      </c>
      <c r="AG23" s="30">
        <f t="shared" si="0"/>
        <v>4867</v>
      </c>
      <c r="AH23" s="147">
        <v>4867</v>
      </c>
      <c r="AI23" s="30">
        <v>924.73</v>
      </c>
      <c r="AJ23" s="30">
        <v>5791.73</v>
      </c>
    </row>
    <row r="24" spans="1:36" ht="33" x14ac:dyDescent="0.3">
      <c r="A24" s="22">
        <v>22</v>
      </c>
      <c r="B24" s="24">
        <v>1042003233</v>
      </c>
      <c r="C24" s="24" t="s">
        <v>20</v>
      </c>
      <c r="D24" s="117" t="s">
        <v>480</v>
      </c>
      <c r="E24" s="26" t="s">
        <v>22</v>
      </c>
      <c r="F24" s="114" t="s">
        <v>480</v>
      </c>
      <c r="G24" s="26" t="e">
        <v>#N/A</v>
      </c>
      <c r="H24" s="26" t="e">
        <v>#N/A</v>
      </c>
      <c r="I24" s="26" t="s">
        <v>20</v>
      </c>
      <c r="J24" s="70">
        <v>1</v>
      </c>
      <c r="K24" s="71">
        <v>0</v>
      </c>
      <c r="L24" s="71">
        <v>0</v>
      </c>
      <c r="M24" s="71">
        <v>0</v>
      </c>
      <c r="N24" s="71">
        <v>0</v>
      </c>
      <c r="O24" s="71">
        <v>0</v>
      </c>
      <c r="P24" s="71">
        <v>0</v>
      </c>
      <c r="Q24" s="71">
        <v>0</v>
      </c>
      <c r="R24" s="71">
        <v>0</v>
      </c>
      <c r="S24" s="134"/>
      <c r="T24" s="134" t="s">
        <v>176</v>
      </c>
      <c r="U24" s="134" t="s">
        <v>176</v>
      </c>
      <c r="V24" s="30" t="s">
        <v>25</v>
      </c>
      <c r="W24" s="58" t="s">
        <v>25</v>
      </c>
      <c r="X24" s="30" t="s">
        <v>25</v>
      </c>
      <c r="Y24" s="30" t="s">
        <v>25</v>
      </c>
      <c r="Z24" s="29" t="s">
        <v>454</v>
      </c>
      <c r="AA24" s="30" t="s">
        <v>25</v>
      </c>
      <c r="AB24" s="30" t="s">
        <v>25</v>
      </c>
      <c r="AC24" s="29" t="s">
        <v>24</v>
      </c>
      <c r="AD24" s="29">
        <v>829</v>
      </c>
      <c r="AE24" s="22" t="s">
        <v>176</v>
      </c>
      <c r="AG24" s="30">
        <f t="shared" si="0"/>
        <v>829</v>
      </c>
      <c r="AH24" s="147">
        <v>829</v>
      </c>
      <c r="AI24" s="30">
        <v>157.51</v>
      </c>
      <c r="AJ24" s="30">
        <v>986.51</v>
      </c>
    </row>
    <row r="25" spans="1:36" ht="33" x14ac:dyDescent="0.3">
      <c r="A25" s="22">
        <v>23</v>
      </c>
      <c r="B25" s="24">
        <v>1042003235</v>
      </c>
      <c r="C25" s="24" t="s">
        <v>20</v>
      </c>
      <c r="D25" s="117" t="s">
        <v>481</v>
      </c>
      <c r="E25" s="26" t="s">
        <v>22</v>
      </c>
      <c r="F25" s="114" t="s">
        <v>481</v>
      </c>
      <c r="G25" s="26" t="e">
        <v>#N/A</v>
      </c>
      <c r="H25" s="26" t="e">
        <v>#N/A</v>
      </c>
      <c r="I25" s="26" t="s">
        <v>20</v>
      </c>
      <c r="J25" s="70">
        <v>1</v>
      </c>
      <c r="K25" s="71">
        <v>0</v>
      </c>
      <c r="L25" s="71">
        <v>0</v>
      </c>
      <c r="M25" s="71">
        <v>0</v>
      </c>
      <c r="N25" s="71">
        <v>0</v>
      </c>
      <c r="O25" s="71">
        <v>0</v>
      </c>
      <c r="P25" s="71">
        <v>0</v>
      </c>
      <c r="Q25" s="71">
        <v>0</v>
      </c>
      <c r="R25" s="71">
        <v>0</v>
      </c>
      <c r="S25" s="134"/>
      <c r="T25" s="134" t="s">
        <v>176</v>
      </c>
      <c r="U25" s="134" t="s">
        <v>176</v>
      </c>
      <c r="V25" s="30" t="s">
        <v>25</v>
      </c>
      <c r="W25" s="58" t="s">
        <v>25</v>
      </c>
      <c r="X25" s="30" t="s">
        <v>25</v>
      </c>
      <c r="Y25" s="30" t="s">
        <v>25</v>
      </c>
      <c r="Z25" s="29" t="s">
        <v>454</v>
      </c>
      <c r="AA25" s="30" t="s">
        <v>25</v>
      </c>
      <c r="AB25" s="30">
        <v>340</v>
      </c>
      <c r="AC25" s="29" t="s">
        <v>24</v>
      </c>
      <c r="AD25" s="29">
        <v>829</v>
      </c>
      <c r="AE25" s="22" t="s">
        <v>176</v>
      </c>
      <c r="AG25" s="30">
        <f t="shared" si="0"/>
        <v>340</v>
      </c>
      <c r="AH25" s="147">
        <v>584.5</v>
      </c>
      <c r="AI25" s="30">
        <v>111.05500000000001</v>
      </c>
      <c r="AJ25" s="30">
        <v>695.55500000000006</v>
      </c>
    </row>
    <row r="26" spans="1:36" ht="33" x14ac:dyDescent="0.3">
      <c r="A26" s="22">
        <v>24</v>
      </c>
      <c r="B26" s="24">
        <v>1042003236</v>
      </c>
      <c r="C26" s="24" t="s">
        <v>20</v>
      </c>
      <c r="D26" s="117" t="s">
        <v>482</v>
      </c>
      <c r="E26" s="26" t="s">
        <v>22</v>
      </c>
      <c r="F26" s="114" t="s">
        <v>483</v>
      </c>
      <c r="G26" s="26" t="e">
        <v>#N/A</v>
      </c>
      <c r="H26" s="26" t="e">
        <v>#N/A</v>
      </c>
      <c r="I26" s="26" t="s">
        <v>20</v>
      </c>
      <c r="J26" s="70">
        <v>1</v>
      </c>
      <c r="K26" s="71">
        <v>0</v>
      </c>
      <c r="L26" s="71">
        <v>0</v>
      </c>
      <c r="M26" s="71">
        <v>0</v>
      </c>
      <c r="N26" s="71">
        <v>0</v>
      </c>
      <c r="O26" s="71">
        <v>0</v>
      </c>
      <c r="P26" s="71">
        <v>0</v>
      </c>
      <c r="Q26" s="71">
        <v>0</v>
      </c>
      <c r="R26" s="71">
        <v>0</v>
      </c>
      <c r="S26" s="134"/>
      <c r="T26" s="134" t="s">
        <v>176</v>
      </c>
      <c r="U26" s="134" t="s">
        <v>176</v>
      </c>
      <c r="V26" s="30">
        <v>633</v>
      </c>
      <c r="W26" s="58" t="s">
        <v>25</v>
      </c>
      <c r="X26" s="30" t="s">
        <v>25</v>
      </c>
      <c r="Y26" s="30" t="s">
        <v>25</v>
      </c>
      <c r="Z26" s="29" t="s">
        <v>454</v>
      </c>
      <c r="AA26" s="30" t="s">
        <v>25</v>
      </c>
      <c r="AB26" s="30" t="s">
        <v>25</v>
      </c>
      <c r="AC26" s="29" t="s">
        <v>24</v>
      </c>
      <c r="AD26" s="29" t="s">
        <v>455</v>
      </c>
      <c r="AE26" s="22" t="s">
        <v>176</v>
      </c>
      <c r="AG26" s="30">
        <f t="shared" si="0"/>
        <v>633</v>
      </c>
      <c r="AH26" s="147">
        <v>633</v>
      </c>
      <c r="AI26" s="30">
        <v>120.27</v>
      </c>
      <c r="AJ26" s="30">
        <v>753.27</v>
      </c>
    </row>
    <row r="27" spans="1:36" x14ac:dyDescent="0.3">
      <c r="A27" s="22">
        <v>25</v>
      </c>
      <c r="B27" s="24">
        <v>1121020311</v>
      </c>
      <c r="C27" s="24" t="s">
        <v>20</v>
      </c>
      <c r="D27" s="117" t="s">
        <v>484</v>
      </c>
      <c r="E27" s="26" t="s">
        <v>175</v>
      </c>
      <c r="F27" s="114" t="s">
        <v>484</v>
      </c>
      <c r="G27" s="26" t="e">
        <v>#N/A</v>
      </c>
      <c r="H27" s="26" t="e">
        <v>#N/A</v>
      </c>
      <c r="I27" s="26" t="s">
        <v>20</v>
      </c>
      <c r="J27" s="70">
        <v>282476.63</v>
      </c>
      <c r="K27" s="71">
        <v>10</v>
      </c>
      <c r="L27" s="71">
        <v>30</v>
      </c>
      <c r="M27" s="71">
        <v>0</v>
      </c>
      <c r="N27" s="71">
        <v>0</v>
      </c>
      <c r="O27" s="71">
        <v>1</v>
      </c>
      <c r="P27" s="71">
        <v>8.3333333333333329E-2</v>
      </c>
      <c r="Q27" s="71">
        <v>0</v>
      </c>
      <c r="R27" s="71">
        <v>0</v>
      </c>
      <c r="S27" s="134"/>
      <c r="T27" s="134" t="s">
        <v>176</v>
      </c>
      <c r="U27" s="134" t="s">
        <v>176</v>
      </c>
      <c r="V27" s="30" t="s">
        <v>25</v>
      </c>
      <c r="W27" s="58" t="s">
        <v>25</v>
      </c>
      <c r="X27" s="30">
        <v>2863</v>
      </c>
      <c r="Y27" s="30" t="s">
        <v>25</v>
      </c>
      <c r="Z27" s="29" t="s">
        <v>454</v>
      </c>
      <c r="AA27" s="30" t="s">
        <v>25</v>
      </c>
      <c r="AB27" s="30" t="s">
        <v>25</v>
      </c>
      <c r="AC27" s="29" t="s">
        <v>24</v>
      </c>
      <c r="AD27" s="29" t="s">
        <v>455</v>
      </c>
      <c r="AE27" s="22" t="s">
        <v>176</v>
      </c>
      <c r="AG27" s="30">
        <f t="shared" si="0"/>
        <v>2863</v>
      </c>
      <c r="AH27" s="147">
        <v>2863</v>
      </c>
      <c r="AI27" s="30">
        <v>543.97</v>
      </c>
      <c r="AJ27" s="30">
        <v>3406.9700000000003</v>
      </c>
    </row>
    <row r="28" spans="1:36" x14ac:dyDescent="0.3">
      <c r="A28" s="22">
        <v>26</v>
      </c>
      <c r="B28" s="24">
        <v>1121020042</v>
      </c>
      <c r="C28" s="24" t="s">
        <v>20</v>
      </c>
      <c r="D28" s="117" t="s">
        <v>485</v>
      </c>
      <c r="E28" s="26" t="s">
        <v>175</v>
      </c>
      <c r="F28" s="114" t="s">
        <v>485</v>
      </c>
      <c r="G28" s="26" t="e">
        <v>#N/A</v>
      </c>
      <c r="H28" s="26" t="e">
        <v>#N/A</v>
      </c>
      <c r="I28" s="26" t="s">
        <v>20</v>
      </c>
      <c r="J28" s="70">
        <v>1</v>
      </c>
      <c r="K28" s="71">
        <v>0</v>
      </c>
      <c r="L28" s="71">
        <v>0</v>
      </c>
      <c r="M28" s="71">
        <v>0</v>
      </c>
      <c r="N28" s="71">
        <v>0</v>
      </c>
      <c r="O28" s="71">
        <v>0</v>
      </c>
      <c r="P28" s="71">
        <v>0</v>
      </c>
      <c r="Q28" s="71">
        <v>0</v>
      </c>
      <c r="R28" s="71">
        <v>0</v>
      </c>
      <c r="S28" s="134"/>
      <c r="T28" s="134" t="s">
        <v>176</v>
      </c>
      <c r="U28" s="134" t="s">
        <v>176</v>
      </c>
      <c r="V28" s="30" t="s">
        <v>25</v>
      </c>
      <c r="W28" s="58" t="s">
        <v>25</v>
      </c>
      <c r="X28" s="30">
        <v>725</v>
      </c>
      <c r="Y28" s="30" t="s">
        <v>25</v>
      </c>
      <c r="Z28" s="29" t="s">
        <v>454</v>
      </c>
      <c r="AA28" s="30" t="s">
        <v>25</v>
      </c>
      <c r="AB28" s="30" t="s">
        <v>25</v>
      </c>
      <c r="AC28" s="29" t="s">
        <v>24</v>
      </c>
      <c r="AD28" s="29" t="s">
        <v>24</v>
      </c>
      <c r="AE28" s="22" t="s">
        <v>176</v>
      </c>
      <c r="AG28" s="30">
        <f t="shared" si="0"/>
        <v>725</v>
      </c>
      <c r="AH28" s="147">
        <v>725</v>
      </c>
      <c r="AI28" s="30">
        <v>137.75</v>
      </c>
      <c r="AJ28" s="30">
        <v>862.75</v>
      </c>
    </row>
    <row r="29" spans="1:36" x14ac:dyDescent="0.3">
      <c r="A29" s="22">
        <v>27</v>
      </c>
      <c r="B29" s="24">
        <v>1121020044</v>
      </c>
      <c r="C29" s="24" t="s">
        <v>20</v>
      </c>
      <c r="D29" s="117" t="s">
        <v>486</v>
      </c>
      <c r="E29" s="26" t="s">
        <v>175</v>
      </c>
      <c r="F29" s="114" t="s">
        <v>486</v>
      </c>
      <c r="G29" s="26" t="e">
        <v>#N/A</v>
      </c>
      <c r="H29" s="26" t="e">
        <v>#N/A</v>
      </c>
      <c r="I29" s="26" t="s">
        <v>20</v>
      </c>
      <c r="J29" s="70">
        <v>1</v>
      </c>
      <c r="K29" s="71">
        <v>0</v>
      </c>
      <c r="L29" s="71">
        <v>0</v>
      </c>
      <c r="M29" s="71">
        <v>0</v>
      </c>
      <c r="N29" s="71">
        <v>0</v>
      </c>
      <c r="O29" s="71">
        <v>0</v>
      </c>
      <c r="P29" s="71">
        <v>0</v>
      </c>
      <c r="Q29" s="71">
        <v>0</v>
      </c>
      <c r="R29" s="71">
        <v>0</v>
      </c>
      <c r="S29" s="134"/>
      <c r="T29" s="134" t="s">
        <v>176</v>
      </c>
      <c r="U29" s="134" t="s">
        <v>176</v>
      </c>
      <c r="V29" s="30" t="s">
        <v>25</v>
      </c>
      <c r="W29" s="58" t="s">
        <v>25</v>
      </c>
      <c r="X29" s="30">
        <v>2602</v>
      </c>
      <c r="Y29" s="30" t="s">
        <v>25</v>
      </c>
      <c r="Z29" s="29" t="s">
        <v>454</v>
      </c>
      <c r="AA29" s="30" t="s">
        <v>25</v>
      </c>
      <c r="AB29" s="30" t="s">
        <v>25</v>
      </c>
      <c r="AC29" s="29" t="s">
        <v>24</v>
      </c>
      <c r="AD29" s="29" t="s">
        <v>24</v>
      </c>
      <c r="AE29" s="22" t="s">
        <v>176</v>
      </c>
      <c r="AG29" s="30">
        <f t="shared" si="0"/>
        <v>2602</v>
      </c>
      <c r="AH29" s="147">
        <v>2602</v>
      </c>
      <c r="AI29" s="30">
        <v>494.38</v>
      </c>
      <c r="AJ29" s="30">
        <v>3096.38</v>
      </c>
    </row>
    <row r="30" spans="1:36" x14ac:dyDescent="0.3">
      <c r="A30" s="22">
        <v>28</v>
      </c>
      <c r="B30" s="24">
        <v>1121020364</v>
      </c>
      <c r="C30" s="24" t="s">
        <v>20</v>
      </c>
      <c r="D30" s="117" t="s">
        <v>487</v>
      </c>
      <c r="E30" s="26" t="s">
        <v>175</v>
      </c>
      <c r="F30" s="114" t="s">
        <v>487</v>
      </c>
      <c r="G30" s="26" t="e">
        <v>#N/A</v>
      </c>
      <c r="H30" s="26" t="e">
        <v>#N/A</v>
      </c>
      <c r="I30" s="26" t="s">
        <v>20</v>
      </c>
      <c r="J30" s="70">
        <v>76212.5</v>
      </c>
      <c r="K30" s="71">
        <v>0</v>
      </c>
      <c r="L30" s="71">
        <v>39</v>
      </c>
      <c r="M30" s="71">
        <v>0</v>
      </c>
      <c r="N30" s="71">
        <v>0</v>
      </c>
      <c r="O30" s="71">
        <v>0</v>
      </c>
      <c r="P30" s="71">
        <v>0</v>
      </c>
      <c r="Q30" s="71">
        <v>0</v>
      </c>
      <c r="R30" s="71">
        <v>0</v>
      </c>
      <c r="S30" s="134"/>
      <c r="T30" s="134" t="s">
        <v>176</v>
      </c>
      <c r="U30" s="134" t="s">
        <v>176</v>
      </c>
      <c r="V30" s="30" t="s">
        <v>25</v>
      </c>
      <c r="W30" s="58" t="s">
        <v>25</v>
      </c>
      <c r="X30" s="30">
        <v>1070</v>
      </c>
      <c r="Y30" s="30" t="s">
        <v>25</v>
      </c>
      <c r="Z30" s="29" t="s">
        <v>454</v>
      </c>
      <c r="AA30" s="30" t="s">
        <v>25</v>
      </c>
      <c r="AB30" s="30" t="s">
        <v>25</v>
      </c>
      <c r="AC30" s="29" t="s">
        <v>24</v>
      </c>
      <c r="AD30" s="29" t="s">
        <v>24</v>
      </c>
      <c r="AE30" s="22" t="s">
        <v>176</v>
      </c>
      <c r="AG30" s="30">
        <f t="shared" si="0"/>
        <v>1070</v>
      </c>
      <c r="AH30" s="147">
        <v>1070</v>
      </c>
      <c r="AI30" s="30">
        <v>203.3</v>
      </c>
      <c r="AJ30" s="30">
        <v>1273.3</v>
      </c>
    </row>
    <row r="31" spans="1:36" x14ac:dyDescent="0.3">
      <c r="A31" s="22">
        <v>29</v>
      </c>
      <c r="B31" s="24">
        <v>1121020310</v>
      </c>
      <c r="C31" s="24" t="s">
        <v>20</v>
      </c>
      <c r="D31" s="117" t="s">
        <v>206</v>
      </c>
      <c r="E31" s="26" t="s">
        <v>66</v>
      </c>
      <c r="F31" s="114" t="s">
        <v>206</v>
      </c>
      <c r="G31" s="26" t="e">
        <v>#N/A</v>
      </c>
      <c r="H31" s="26" t="e">
        <v>#N/A</v>
      </c>
      <c r="I31" s="26" t="s">
        <v>20</v>
      </c>
      <c r="J31" s="70">
        <v>3829.05</v>
      </c>
      <c r="K31" s="71">
        <v>10</v>
      </c>
      <c r="L31" s="71">
        <v>10</v>
      </c>
      <c r="M31" s="71">
        <v>23</v>
      </c>
      <c r="N31" s="71">
        <v>1.9166666666666667</v>
      </c>
      <c r="O31" s="71">
        <v>10</v>
      </c>
      <c r="P31" s="71">
        <v>0.83333333333333337</v>
      </c>
      <c r="Q31" s="71">
        <v>0</v>
      </c>
      <c r="R31" s="71">
        <v>0</v>
      </c>
      <c r="S31" s="134"/>
      <c r="T31" s="134" t="s">
        <v>176</v>
      </c>
      <c r="U31" s="134" t="s">
        <v>176</v>
      </c>
      <c r="V31" s="30" t="s">
        <v>25</v>
      </c>
      <c r="W31" s="58" t="s">
        <v>25</v>
      </c>
      <c r="X31" s="30" t="s">
        <v>25</v>
      </c>
      <c r="Y31" s="30" t="s">
        <v>25</v>
      </c>
      <c r="Z31" s="29" t="s">
        <v>454</v>
      </c>
      <c r="AA31" s="30" t="s">
        <v>25</v>
      </c>
      <c r="AB31" s="30" t="s">
        <v>25</v>
      </c>
      <c r="AC31" s="29" t="s">
        <v>24</v>
      </c>
      <c r="AD31" s="29">
        <v>4309</v>
      </c>
      <c r="AE31" s="22" t="s">
        <v>176</v>
      </c>
      <c r="AG31" s="30">
        <f t="shared" si="0"/>
        <v>4309</v>
      </c>
      <c r="AH31" s="147">
        <v>4309</v>
      </c>
      <c r="AI31" s="30">
        <v>818.71</v>
      </c>
      <c r="AJ31" s="30">
        <v>5127.71</v>
      </c>
    </row>
    <row r="32" spans="1:36" x14ac:dyDescent="0.3">
      <c r="A32" s="22">
        <v>30</v>
      </c>
      <c r="B32" s="24">
        <v>1121020045</v>
      </c>
      <c r="C32" s="24" t="s">
        <v>20</v>
      </c>
      <c r="D32" s="117" t="s">
        <v>488</v>
      </c>
      <c r="E32" s="26" t="s">
        <v>217</v>
      </c>
      <c r="F32" s="114" t="s">
        <v>488</v>
      </c>
      <c r="G32" s="26" t="e">
        <v>#N/A</v>
      </c>
      <c r="H32" s="26" t="e">
        <v>#N/A</v>
      </c>
      <c r="I32" s="26" t="s">
        <v>20</v>
      </c>
      <c r="J32" s="70">
        <v>1</v>
      </c>
      <c r="K32" s="71">
        <v>0</v>
      </c>
      <c r="L32" s="71">
        <v>0</v>
      </c>
      <c r="M32" s="71">
        <v>0</v>
      </c>
      <c r="N32" s="71">
        <v>0</v>
      </c>
      <c r="O32" s="71">
        <v>0</v>
      </c>
      <c r="P32" s="71">
        <v>0</v>
      </c>
      <c r="Q32" s="71">
        <v>0</v>
      </c>
      <c r="R32" s="71">
        <v>0</v>
      </c>
      <c r="S32" s="134"/>
      <c r="T32" s="134" t="s">
        <v>176</v>
      </c>
      <c r="U32" s="134" t="s">
        <v>176</v>
      </c>
      <c r="V32" s="30" t="s">
        <v>25</v>
      </c>
      <c r="W32" s="58" t="s">
        <v>25</v>
      </c>
      <c r="X32" s="30">
        <v>6913</v>
      </c>
      <c r="Y32" s="30" t="s">
        <v>25</v>
      </c>
      <c r="Z32" s="29" t="s">
        <v>454</v>
      </c>
      <c r="AA32" s="30" t="s">
        <v>25</v>
      </c>
      <c r="AB32" s="30" t="s">
        <v>25</v>
      </c>
      <c r="AC32" s="29" t="s">
        <v>24</v>
      </c>
      <c r="AD32" s="29" t="s">
        <v>24</v>
      </c>
      <c r="AE32" s="22" t="s">
        <v>176</v>
      </c>
      <c r="AG32" s="30">
        <f t="shared" si="0"/>
        <v>6913</v>
      </c>
      <c r="AH32" s="147">
        <v>6913</v>
      </c>
      <c r="AI32" s="30">
        <v>1313.47</v>
      </c>
      <c r="AJ32" s="30">
        <v>8226.4699999999993</v>
      </c>
    </row>
    <row r="33" spans="1:36" x14ac:dyDescent="0.3">
      <c r="A33" s="22">
        <v>31</v>
      </c>
      <c r="B33" s="24">
        <v>1121020312</v>
      </c>
      <c r="C33" s="24" t="s">
        <v>20</v>
      </c>
      <c r="D33" s="117" t="s">
        <v>489</v>
      </c>
      <c r="E33" s="26" t="s">
        <v>175</v>
      </c>
      <c r="F33" s="114" t="s">
        <v>489</v>
      </c>
      <c r="G33" s="26" t="e">
        <v>#N/A</v>
      </c>
      <c r="H33" s="26" t="e">
        <v>#N/A</v>
      </c>
      <c r="I33" s="26" t="s">
        <v>20</v>
      </c>
      <c r="J33" s="70">
        <v>1120</v>
      </c>
      <c r="K33" s="71">
        <v>0</v>
      </c>
      <c r="L33" s="71">
        <v>0</v>
      </c>
      <c r="M33" s="71">
        <v>0</v>
      </c>
      <c r="N33" s="71">
        <v>0</v>
      </c>
      <c r="O33" s="71">
        <v>0</v>
      </c>
      <c r="P33" s="71">
        <v>0</v>
      </c>
      <c r="Q33" s="71">
        <v>0</v>
      </c>
      <c r="R33" s="71">
        <v>0</v>
      </c>
      <c r="S33" s="134"/>
      <c r="T33" s="134" t="s">
        <v>176</v>
      </c>
      <c r="U33" s="134" t="s">
        <v>176</v>
      </c>
      <c r="V33" s="30" t="s">
        <v>25</v>
      </c>
      <c r="W33" s="58" t="s">
        <v>25</v>
      </c>
      <c r="X33" s="30">
        <v>1855</v>
      </c>
      <c r="Y33" s="30" t="s">
        <v>25</v>
      </c>
      <c r="Z33" s="29" t="s">
        <v>454</v>
      </c>
      <c r="AA33" s="30" t="s">
        <v>25</v>
      </c>
      <c r="AB33" s="30" t="s">
        <v>25</v>
      </c>
      <c r="AC33" s="29" t="s">
        <v>24</v>
      </c>
      <c r="AD33" s="29" t="s">
        <v>455</v>
      </c>
      <c r="AE33" s="22" t="s">
        <v>176</v>
      </c>
      <c r="AG33" s="30">
        <f t="shared" si="0"/>
        <v>1855</v>
      </c>
      <c r="AH33" s="147">
        <v>1855</v>
      </c>
      <c r="AI33" s="30">
        <v>352.45</v>
      </c>
      <c r="AJ33" s="30">
        <v>2207.4499999999998</v>
      </c>
    </row>
    <row r="34" spans="1:36" x14ac:dyDescent="0.3">
      <c r="A34" s="22">
        <v>32</v>
      </c>
      <c r="B34" s="24">
        <v>1121020313</v>
      </c>
      <c r="C34" s="24" t="s">
        <v>20</v>
      </c>
      <c r="D34" s="117" t="s">
        <v>490</v>
      </c>
      <c r="E34" s="26" t="s">
        <v>175</v>
      </c>
      <c r="F34" s="114" t="s">
        <v>490</v>
      </c>
      <c r="G34" s="26" t="e">
        <v>#N/A</v>
      </c>
      <c r="H34" s="26" t="e">
        <v>#N/A</v>
      </c>
      <c r="I34" s="26" t="s">
        <v>20</v>
      </c>
      <c r="J34" s="70">
        <v>2339</v>
      </c>
      <c r="K34" s="71">
        <v>0</v>
      </c>
      <c r="L34" s="71">
        <v>0</v>
      </c>
      <c r="M34" s="71">
        <v>0</v>
      </c>
      <c r="N34" s="71">
        <v>0</v>
      </c>
      <c r="O34" s="71">
        <v>0</v>
      </c>
      <c r="P34" s="71">
        <v>0</v>
      </c>
      <c r="Q34" s="71">
        <v>0</v>
      </c>
      <c r="R34" s="71">
        <v>0</v>
      </c>
      <c r="S34" s="134"/>
      <c r="T34" s="134" t="s">
        <v>176</v>
      </c>
      <c r="U34" s="134" t="s">
        <v>176</v>
      </c>
      <c r="V34" s="30" t="s">
        <v>25</v>
      </c>
      <c r="W34" s="58" t="s">
        <v>25</v>
      </c>
      <c r="X34" s="30">
        <v>1127</v>
      </c>
      <c r="Y34" s="30" t="s">
        <v>25</v>
      </c>
      <c r="Z34" s="29" t="s">
        <v>454</v>
      </c>
      <c r="AA34" s="30" t="s">
        <v>25</v>
      </c>
      <c r="AB34" s="30" t="s">
        <v>25</v>
      </c>
      <c r="AC34" s="29" t="s">
        <v>24</v>
      </c>
      <c r="AD34" s="29" t="s">
        <v>455</v>
      </c>
      <c r="AE34" s="22" t="s">
        <v>176</v>
      </c>
      <c r="AG34" s="30">
        <f t="shared" si="0"/>
        <v>1127</v>
      </c>
      <c r="AH34" s="147">
        <v>1127</v>
      </c>
      <c r="AI34" s="30">
        <v>214.13</v>
      </c>
      <c r="AJ34" s="30">
        <v>1341.13</v>
      </c>
    </row>
    <row r="35" spans="1:36" x14ac:dyDescent="0.3">
      <c r="A35" s="22">
        <v>33</v>
      </c>
      <c r="B35" s="24">
        <v>1121020361</v>
      </c>
      <c r="C35" s="24" t="s">
        <v>20</v>
      </c>
      <c r="D35" s="117" t="s">
        <v>491</v>
      </c>
      <c r="E35" s="26" t="s">
        <v>175</v>
      </c>
      <c r="F35" s="114" t="s">
        <v>491</v>
      </c>
      <c r="G35" s="26" t="e">
        <v>#N/A</v>
      </c>
      <c r="H35" s="26" t="e">
        <v>#N/A</v>
      </c>
      <c r="I35" s="26" t="s">
        <v>20</v>
      </c>
      <c r="J35" s="70">
        <v>20458.294549999999</v>
      </c>
      <c r="K35" s="71">
        <v>33</v>
      </c>
      <c r="L35" s="71">
        <v>0</v>
      </c>
      <c r="M35" s="71">
        <v>0</v>
      </c>
      <c r="N35" s="71">
        <v>0</v>
      </c>
      <c r="O35" s="71">
        <v>0</v>
      </c>
      <c r="P35" s="71">
        <v>0</v>
      </c>
      <c r="Q35" s="71">
        <v>0</v>
      </c>
      <c r="R35" s="71">
        <v>0</v>
      </c>
      <c r="S35" s="134"/>
      <c r="T35" s="134" t="s">
        <v>176</v>
      </c>
      <c r="U35" s="134" t="s">
        <v>176</v>
      </c>
      <c r="V35" s="30" t="s">
        <v>25</v>
      </c>
      <c r="W35" s="58" t="s">
        <v>25</v>
      </c>
      <c r="X35" s="30">
        <v>776</v>
      </c>
      <c r="Y35" s="30" t="s">
        <v>25</v>
      </c>
      <c r="Z35" s="29" t="s">
        <v>454</v>
      </c>
      <c r="AA35" s="30" t="s">
        <v>25</v>
      </c>
      <c r="AB35" s="30" t="s">
        <v>25</v>
      </c>
      <c r="AC35" s="29" t="s">
        <v>24</v>
      </c>
      <c r="AD35" s="29" t="s">
        <v>455</v>
      </c>
      <c r="AE35" s="22" t="s">
        <v>176</v>
      </c>
      <c r="AG35" s="30">
        <f t="shared" si="0"/>
        <v>776</v>
      </c>
      <c r="AH35" s="147">
        <v>776</v>
      </c>
      <c r="AI35" s="30">
        <v>147.44</v>
      </c>
      <c r="AJ35" s="30">
        <v>923.44</v>
      </c>
    </row>
    <row r="36" spans="1:36" x14ac:dyDescent="0.3">
      <c r="A36" s="22">
        <v>34</v>
      </c>
      <c r="B36" s="24">
        <v>1121020365</v>
      </c>
      <c r="C36" s="24" t="s">
        <v>20</v>
      </c>
      <c r="D36" s="117" t="s">
        <v>492</v>
      </c>
      <c r="E36" s="26" t="s">
        <v>66</v>
      </c>
      <c r="F36" s="114" t="s">
        <v>492</v>
      </c>
      <c r="G36" s="26" t="e">
        <v>#N/A</v>
      </c>
      <c r="H36" s="26" t="e">
        <v>#N/A</v>
      </c>
      <c r="I36" s="26" t="s">
        <v>20</v>
      </c>
      <c r="J36" s="70">
        <v>16380.14769</v>
      </c>
      <c r="K36" s="71">
        <v>5</v>
      </c>
      <c r="L36" s="71">
        <v>13</v>
      </c>
      <c r="M36" s="71">
        <v>0</v>
      </c>
      <c r="N36" s="71">
        <v>0</v>
      </c>
      <c r="O36" s="71">
        <v>0</v>
      </c>
      <c r="P36" s="71">
        <v>0</v>
      </c>
      <c r="Q36" s="71">
        <v>0</v>
      </c>
      <c r="R36" s="71">
        <v>0</v>
      </c>
      <c r="S36" s="134"/>
      <c r="T36" s="134" t="s">
        <v>176</v>
      </c>
      <c r="U36" s="134" t="s">
        <v>176</v>
      </c>
      <c r="V36" s="30" t="s">
        <v>25</v>
      </c>
      <c r="W36" s="58" t="s">
        <v>25</v>
      </c>
      <c r="X36" s="30">
        <v>764</v>
      </c>
      <c r="Y36" s="30" t="s">
        <v>25</v>
      </c>
      <c r="Z36" s="29" t="s">
        <v>454</v>
      </c>
      <c r="AA36" s="30" t="s">
        <v>25</v>
      </c>
      <c r="AB36" s="30" t="s">
        <v>25</v>
      </c>
      <c r="AC36" s="29" t="s">
        <v>24</v>
      </c>
      <c r="AD36" s="29" t="s">
        <v>24</v>
      </c>
      <c r="AE36" s="22" t="s">
        <v>176</v>
      </c>
      <c r="AG36" s="30">
        <f t="shared" si="0"/>
        <v>764</v>
      </c>
      <c r="AH36" s="147">
        <v>764</v>
      </c>
      <c r="AI36" s="30">
        <v>145.16</v>
      </c>
      <c r="AJ36" s="30">
        <v>909.16</v>
      </c>
    </row>
    <row r="37" spans="1:36" ht="33" x14ac:dyDescent="0.3">
      <c r="A37" s="22">
        <v>35</v>
      </c>
      <c r="B37" s="24">
        <v>1123229115</v>
      </c>
      <c r="C37" s="24" t="s">
        <v>20</v>
      </c>
      <c r="D37" s="117" t="s">
        <v>493</v>
      </c>
      <c r="E37" s="26" t="s">
        <v>32</v>
      </c>
      <c r="F37" s="114" t="s">
        <v>493</v>
      </c>
      <c r="G37" s="26" t="e">
        <v>#N/A</v>
      </c>
      <c r="H37" s="26" t="e">
        <v>#N/A</v>
      </c>
      <c r="I37" s="26" t="s">
        <v>20</v>
      </c>
      <c r="J37" s="70">
        <v>10135</v>
      </c>
      <c r="K37" s="71">
        <v>0</v>
      </c>
      <c r="L37" s="71">
        <v>36</v>
      </c>
      <c r="M37" s="71">
        <v>7</v>
      </c>
      <c r="N37" s="71">
        <v>0.58333333333333337</v>
      </c>
      <c r="O37" s="71">
        <v>0</v>
      </c>
      <c r="P37" s="71">
        <v>0</v>
      </c>
      <c r="Q37" s="71">
        <v>0</v>
      </c>
      <c r="R37" s="71">
        <v>0</v>
      </c>
      <c r="S37" s="134"/>
      <c r="T37" s="134" t="s">
        <v>176</v>
      </c>
      <c r="U37" s="134" t="s">
        <v>176</v>
      </c>
      <c r="V37" s="30" t="s">
        <v>25</v>
      </c>
      <c r="W37" s="58" t="s">
        <v>25</v>
      </c>
      <c r="X37" s="30">
        <v>55</v>
      </c>
      <c r="Y37" s="30">
        <v>1200</v>
      </c>
      <c r="Z37" s="29">
        <v>14000</v>
      </c>
      <c r="AA37" s="30" t="s">
        <v>25</v>
      </c>
      <c r="AB37" s="30" t="s">
        <v>25</v>
      </c>
      <c r="AC37" s="29" t="s">
        <v>24</v>
      </c>
      <c r="AD37" s="29" t="s">
        <v>24</v>
      </c>
      <c r="AE37" s="22" t="s">
        <v>176</v>
      </c>
      <c r="AG37" s="30">
        <f t="shared" si="0"/>
        <v>55</v>
      </c>
      <c r="AH37" s="147">
        <v>5085</v>
      </c>
      <c r="AI37" s="30">
        <v>966.15</v>
      </c>
      <c r="AJ37" s="30">
        <v>6051.15</v>
      </c>
    </row>
    <row r="38" spans="1:36" ht="33" x14ac:dyDescent="0.3">
      <c r="A38" s="22">
        <v>36</v>
      </c>
      <c r="B38" s="24">
        <v>1043205661</v>
      </c>
      <c r="C38" s="24" t="s">
        <v>20</v>
      </c>
      <c r="D38" s="117" t="s">
        <v>212</v>
      </c>
      <c r="E38" s="26" t="s">
        <v>22</v>
      </c>
      <c r="F38" s="114" t="s">
        <v>212</v>
      </c>
      <c r="G38" s="26" t="e">
        <v>#N/A</v>
      </c>
      <c r="H38" s="26" t="e">
        <v>#N/A</v>
      </c>
      <c r="I38" s="26" t="s">
        <v>20</v>
      </c>
      <c r="J38" s="70">
        <v>1</v>
      </c>
      <c r="K38" s="71">
        <v>0</v>
      </c>
      <c r="L38" s="71">
        <v>0</v>
      </c>
      <c r="M38" s="71">
        <v>0</v>
      </c>
      <c r="N38" s="71">
        <v>0</v>
      </c>
      <c r="O38" s="71">
        <v>0</v>
      </c>
      <c r="P38" s="71">
        <v>0</v>
      </c>
      <c r="Q38" s="71">
        <v>0</v>
      </c>
      <c r="R38" s="71">
        <v>0</v>
      </c>
      <c r="S38" s="134"/>
      <c r="T38" s="134" t="s">
        <v>176</v>
      </c>
      <c r="U38" s="134" t="s">
        <v>176</v>
      </c>
      <c r="V38" s="30" t="s">
        <v>25</v>
      </c>
      <c r="W38" s="58" t="s">
        <v>25</v>
      </c>
      <c r="X38" s="30" t="s">
        <v>25</v>
      </c>
      <c r="Y38" s="30" t="s">
        <v>25</v>
      </c>
      <c r="Z38" s="29" t="s">
        <v>454</v>
      </c>
      <c r="AA38" s="30" t="s">
        <v>25</v>
      </c>
      <c r="AB38" s="30" t="s">
        <v>25</v>
      </c>
      <c r="AC38" s="29" t="s">
        <v>24</v>
      </c>
      <c r="AD38" s="29">
        <v>986</v>
      </c>
      <c r="AE38" s="22" t="s">
        <v>176</v>
      </c>
      <c r="AG38" s="30">
        <f t="shared" si="0"/>
        <v>986</v>
      </c>
      <c r="AH38" s="147">
        <v>986</v>
      </c>
      <c r="AI38" s="30">
        <v>187.34</v>
      </c>
      <c r="AJ38" s="30">
        <v>1173.3399999999999</v>
      </c>
    </row>
    <row r="39" spans="1:36" x14ac:dyDescent="0.3">
      <c r="A39" s="22">
        <v>37</v>
      </c>
      <c r="B39" s="24">
        <v>1121010009</v>
      </c>
      <c r="C39" s="24" t="s">
        <v>20</v>
      </c>
      <c r="D39" s="117" t="s">
        <v>494</v>
      </c>
      <c r="E39" s="26" t="s">
        <v>22</v>
      </c>
      <c r="F39" s="114" t="s">
        <v>494</v>
      </c>
      <c r="G39" s="26" t="e">
        <v>#N/A</v>
      </c>
      <c r="H39" s="26" t="e">
        <v>#N/A</v>
      </c>
      <c r="I39" s="26" t="s">
        <v>20</v>
      </c>
      <c r="J39" s="70">
        <v>35700</v>
      </c>
      <c r="K39" s="71">
        <v>0</v>
      </c>
      <c r="L39" s="71">
        <v>402</v>
      </c>
      <c r="M39" s="71">
        <v>130</v>
      </c>
      <c r="N39" s="71">
        <v>10.833333333333334</v>
      </c>
      <c r="O39" s="71">
        <v>375</v>
      </c>
      <c r="P39" s="71">
        <v>31.25</v>
      </c>
      <c r="Q39" s="71">
        <v>0</v>
      </c>
      <c r="R39" s="71">
        <v>0</v>
      </c>
      <c r="S39" s="134"/>
      <c r="T39" s="134" t="s">
        <v>176</v>
      </c>
      <c r="U39" s="134" t="s">
        <v>176</v>
      </c>
      <c r="V39" s="30" t="s">
        <v>25</v>
      </c>
      <c r="W39" s="58" t="s">
        <v>25</v>
      </c>
      <c r="X39" s="30" t="s">
        <v>25</v>
      </c>
      <c r="Y39" s="30" t="s">
        <v>25</v>
      </c>
      <c r="Z39" s="29" t="s">
        <v>454</v>
      </c>
      <c r="AA39" s="30" t="s">
        <v>25</v>
      </c>
      <c r="AB39" s="30" t="s">
        <v>25</v>
      </c>
      <c r="AC39" s="29">
        <v>6024</v>
      </c>
      <c r="AD39" s="29">
        <v>10161</v>
      </c>
      <c r="AE39" s="22" t="s">
        <v>176</v>
      </c>
      <c r="AG39" s="30">
        <f t="shared" si="0"/>
        <v>6024</v>
      </c>
      <c r="AH39" s="147">
        <v>8092.5</v>
      </c>
      <c r="AI39" s="30">
        <v>1537.575</v>
      </c>
      <c r="AJ39" s="30">
        <v>9630.0750000000007</v>
      </c>
    </row>
    <row r="40" spans="1:36" x14ac:dyDescent="0.3">
      <c r="A40" s="22">
        <v>38</v>
      </c>
      <c r="B40" s="24">
        <v>1121010028</v>
      </c>
      <c r="C40" s="24" t="s">
        <v>20</v>
      </c>
      <c r="D40" s="117" t="s">
        <v>495</v>
      </c>
      <c r="E40" s="26" t="s">
        <v>22</v>
      </c>
      <c r="F40" s="114" t="s">
        <v>495</v>
      </c>
      <c r="G40" s="26" t="e">
        <v>#N/A</v>
      </c>
      <c r="H40" s="26" t="e">
        <v>#N/A</v>
      </c>
      <c r="I40" s="26" t="s">
        <v>20</v>
      </c>
      <c r="J40" s="70">
        <v>6105</v>
      </c>
      <c r="K40" s="71">
        <v>0</v>
      </c>
      <c r="L40" s="71">
        <v>10</v>
      </c>
      <c r="M40" s="71">
        <v>100</v>
      </c>
      <c r="N40" s="71">
        <v>8.3333333333333339</v>
      </c>
      <c r="O40" s="71">
        <v>4</v>
      </c>
      <c r="P40" s="71">
        <v>0.33333333333333331</v>
      </c>
      <c r="Q40" s="71">
        <v>0</v>
      </c>
      <c r="R40" s="71">
        <v>0</v>
      </c>
      <c r="S40" s="134"/>
      <c r="T40" s="134" t="s">
        <v>176</v>
      </c>
      <c r="U40" s="134" t="s">
        <v>176</v>
      </c>
      <c r="V40" s="30" t="s">
        <v>25</v>
      </c>
      <c r="W40" s="58" t="s">
        <v>25</v>
      </c>
      <c r="X40" s="30" t="s">
        <v>25</v>
      </c>
      <c r="Y40" s="30" t="s">
        <v>25</v>
      </c>
      <c r="Z40" s="29" t="s">
        <v>454</v>
      </c>
      <c r="AA40" s="30">
        <v>3587</v>
      </c>
      <c r="AB40" s="30" t="s">
        <v>25</v>
      </c>
      <c r="AC40" s="29" t="s">
        <v>24</v>
      </c>
      <c r="AD40" s="29" t="s">
        <v>455</v>
      </c>
      <c r="AE40" s="22" t="s">
        <v>176</v>
      </c>
      <c r="AG40" s="30">
        <f t="shared" si="0"/>
        <v>3587</v>
      </c>
      <c r="AH40" s="147">
        <v>3587</v>
      </c>
      <c r="AI40" s="30">
        <v>681.53</v>
      </c>
      <c r="AJ40" s="30">
        <v>4268.53</v>
      </c>
    </row>
    <row r="41" spans="1:36" ht="33" x14ac:dyDescent="0.3">
      <c r="A41" s="22">
        <v>39</v>
      </c>
      <c r="B41" s="24">
        <v>1125504166</v>
      </c>
      <c r="C41" s="24" t="s">
        <v>20</v>
      </c>
      <c r="D41" s="117" t="s">
        <v>496</v>
      </c>
      <c r="E41" s="26" t="s">
        <v>22</v>
      </c>
      <c r="F41" s="114" t="s">
        <v>496</v>
      </c>
      <c r="G41" s="26" t="e">
        <v>#N/A</v>
      </c>
      <c r="H41" s="26" t="e">
        <v>#N/A</v>
      </c>
      <c r="I41" s="26" t="s">
        <v>20</v>
      </c>
      <c r="J41" s="70">
        <v>1</v>
      </c>
      <c r="K41" s="71">
        <v>0</v>
      </c>
      <c r="L41" s="71">
        <v>0</v>
      </c>
      <c r="M41" s="71">
        <v>0</v>
      </c>
      <c r="N41" s="71">
        <v>0</v>
      </c>
      <c r="O41" s="71">
        <v>0</v>
      </c>
      <c r="P41" s="71">
        <v>0</v>
      </c>
      <c r="Q41" s="71">
        <v>0</v>
      </c>
      <c r="R41" s="71">
        <v>0</v>
      </c>
      <c r="S41" s="134"/>
      <c r="T41" s="134" t="s">
        <v>176</v>
      </c>
      <c r="U41" s="134" t="s">
        <v>176</v>
      </c>
      <c r="V41" s="30" t="s">
        <v>25</v>
      </c>
      <c r="W41" s="58" t="s">
        <v>25</v>
      </c>
      <c r="X41" s="30">
        <v>8771</v>
      </c>
      <c r="Y41" s="30" t="s">
        <v>25</v>
      </c>
      <c r="Z41" s="29" t="s">
        <v>454</v>
      </c>
      <c r="AA41" s="30" t="s">
        <v>25</v>
      </c>
      <c r="AB41" s="30" t="s">
        <v>25</v>
      </c>
      <c r="AC41" s="29" t="s">
        <v>24</v>
      </c>
      <c r="AD41" s="29" t="s">
        <v>455</v>
      </c>
      <c r="AE41" s="22" t="s">
        <v>176</v>
      </c>
      <c r="AG41" s="30">
        <f t="shared" si="0"/>
        <v>8771</v>
      </c>
      <c r="AH41" s="147">
        <v>8771</v>
      </c>
      <c r="AI41" s="30">
        <v>1666.49</v>
      </c>
      <c r="AJ41" s="30">
        <v>10437.49</v>
      </c>
    </row>
    <row r="42" spans="1:36" ht="33" x14ac:dyDescent="0.3">
      <c r="A42" s="22">
        <v>40</v>
      </c>
      <c r="B42" s="24">
        <v>1125504167</v>
      </c>
      <c r="C42" s="24" t="s">
        <v>20</v>
      </c>
      <c r="D42" s="117" t="s">
        <v>497</v>
      </c>
      <c r="E42" s="26" t="s">
        <v>22</v>
      </c>
      <c r="F42" s="114" t="s">
        <v>497</v>
      </c>
      <c r="G42" s="26" t="e">
        <v>#N/A</v>
      </c>
      <c r="H42" s="26" t="e">
        <v>#N/A</v>
      </c>
      <c r="I42" s="26" t="s">
        <v>20</v>
      </c>
      <c r="J42" s="70">
        <v>1</v>
      </c>
      <c r="K42" s="71">
        <v>0</v>
      </c>
      <c r="L42" s="71">
        <v>0</v>
      </c>
      <c r="M42" s="71">
        <v>0</v>
      </c>
      <c r="N42" s="71">
        <v>0</v>
      </c>
      <c r="O42" s="71">
        <v>0</v>
      </c>
      <c r="P42" s="71">
        <v>0</v>
      </c>
      <c r="Q42" s="71">
        <v>0</v>
      </c>
      <c r="R42" s="71">
        <v>0</v>
      </c>
      <c r="S42" s="134"/>
      <c r="T42" s="134" t="s">
        <v>176</v>
      </c>
      <c r="U42" s="134" t="s">
        <v>176</v>
      </c>
      <c r="V42" s="30" t="s">
        <v>25</v>
      </c>
      <c r="W42" s="58" t="s">
        <v>25</v>
      </c>
      <c r="X42" s="30">
        <v>9823</v>
      </c>
      <c r="Y42" s="30" t="s">
        <v>25</v>
      </c>
      <c r="Z42" s="29" t="s">
        <v>454</v>
      </c>
      <c r="AA42" s="30" t="s">
        <v>25</v>
      </c>
      <c r="AB42" s="30" t="s">
        <v>25</v>
      </c>
      <c r="AC42" s="29" t="s">
        <v>24</v>
      </c>
      <c r="AD42" s="29">
        <v>11924</v>
      </c>
      <c r="AE42" s="22" t="s">
        <v>176</v>
      </c>
      <c r="AG42" s="30">
        <f t="shared" si="0"/>
        <v>9823</v>
      </c>
      <c r="AH42" s="147">
        <v>10873.5</v>
      </c>
      <c r="AI42" s="30">
        <v>2065.9650000000001</v>
      </c>
      <c r="AJ42" s="30">
        <v>12939.465</v>
      </c>
    </row>
    <row r="43" spans="1:36" ht="33" x14ac:dyDescent="0.3">
      <c r="A43" s="22">
        <v>41</v>
      </c>
      <c r="B43" s="24">
        <v>1125504168</v>
      </c>
      <c r="C43" s="24" t="s">
        <v>20</v>
      </c>
      <c r="D43" s="117" t="s">
        <v>498</v>
      </c>
      <c r="E43" s="26" t="s">
        <v>22</v>
      </c>
      <c r="F43" s="114" t="s">
        <v>498</v>
      </c>
      <c r="G43" s="26" t="e">
        <v>#N/A</v>
      </c>
      <c r="H43" s="26" t="e">
        <v>#N/A</v>
      </c>
      <c r="I43" s="26" t="s">
        <v>20</v>
      </c>
      <c r="J43" s="70">
        <v>1</v>
      </c>
      <c r="K43" s="71">
        <v>0</v>
      </c>
      <c r="L43" s="71">
        <v>0</v>
      </c>
      <c r="M43" s="71">
        <v>0</v>
      </c>
      <c r="N43" s="71">
        <v>0</v>
      </c>
      <c r="O43" s="71">
        <v>0</v>
      </c>
      <c r="P43" s="71">
        <v>0</v>
      </c>
      <c r="Q43" s="71">
        <v>0</v>
      </c>
      <c r="R43" s="71">
        <v>0</v>
      </c>
      <c r="S43" s="134"/>
      <c r="T43" s="134" t="s">
        <v>176</v>
      </c>
      <c r="U43" s="134" t="s">
        <v>176</v>
      </c>
      <c r="V43" s="30" t="s">
        <v>25</v>
      </c>
      <c r="W43" s="58" t="s">
        <v>25</v>
      </c>
      <c r="X43" s="30">
        <v>9823</v>
      </c>
      <c r="Y43" s="30" t="s">
        <v>25</v>
      </c>
      <c r="Z43" s="29" t="s">
        <v>454</v>
      </c>
      <c r="AA43" s="30" t="s">
        <v>25</v>
      </c>
      <c r="AB43" s="30" t="s">
        <v>25</v>
      </c>
      <c r="AC43" s="29" t="s">
        <v>24</v>
      </c>
      <c r="AD43" s="29">
        <v>11925</v>
      </c>
      <c r="AE43" s="22" t="s">
        <v>176</v>
      </c>
      <c r="AG43" s="30">
        <f t="shared" si="0"/>
        <v>9823</v>
      </c>
      <c r="AH43" s="147">
        <v>10874</v>
      </c>
      <c r="AI43" s="30">
        <v>2066.06</v>
      </c>
      <c r="AJ43" s="30">
        <v>12940.06</v>
      </c>
    </row>
    <row r="44" spans="1:36" ht="33" x14ac:dyDescent="0.3">
      <c r="A44" s="22">
        <v>42</v>
      </c>
      <c r="B44" s="24">
        <v>1125504169</v>
      </c>
      <c r="C44" s="24" t="s">
        <v>20</v>
      </c>
      <c r="D44" s="117" t="s">
        <v>499</v>
      </c>
      <c r="E44" s="26" t="s">
        <v>22</v>
      </c>
      <c r="F44" s="114" t="s">
        <v>499</v>
      </c>
      <c r="G44" s="26" t="e">
        <v>#N/A</v>
      </c>
      <c r="H44" s="26" t="e">
        <v>#N/A</v>
      </c>
      <c r="I44" s="26" t="s">
        <v>20</v>
      </c>
      <c r="J44" s="70">
        <v>1</v>
      </c>
      <c r="K44" s="71">
        <v>0</v>
      </c>
      <c r="L44" s="71">
        <v>0</v>
      </c>
      <c r="M44" s="71">
        <v>0</v>
      </c>
      <c r="N44" s="71">
        <v>0</v>
      </c>
      <c r="O44" s="71">
        <v>0</v>
      </c>
      <c r="P44" s="71">
        <v>0</v>
      </c>
      <c r="Q44" s="71">
        <v>0</v>
      </c>
      <c r="R44" s="71">
        <v>0</v>
      </c>
      <c r="S44" s="134"/>
      <c r="T44" s="134" t="s">
        <v>176</v>
      </c>
      <c r="U44" s="134" t="s">
        <v>176</v>
      </c>
      <c r="V44" s="30" t="s">
        <v>25</v>
      </c>
      <c r="W44" s="58" t="s">
        <v>25</v>
      </c>
      <c r="X44" s="30">
        <v>9014</v>
      </c>
      <c r="Y44" s="30" t="s">
        <v>25</v>
      </c>
      <c r="Z44" s="29" t="s">
        <v>454</v>
      </c>
      <c r="AA44" s="30" t="s">
        <v>25</v>
      </c>
      <c r="AB44" s="30" t="s">
        <v>25</v>
      </c>
      <c r="AC44" s="29" t="s">
        <v>24</v>
      </c>
      <c r="AD44" s="29" t="s">
        <v>455</v>
      </c>
      <c r="AE44" s="22" t="s">
        <v>176</v>
      </c>
      <c r="AG44" s="30">
        <f t="shared" si="0"/>
        <v>9014</v>
      </c>
      <c r="AH44" s="147">
        <v>9014</v>
      </c>
      <c r="AI44" s="30">
        <v>1712.66</v>
      </c>
      <c r="AJ44" s="30">
        <v>10726.66</v>
      </c>
    </row>
    <row r="45" spans="1:36" ht="33" x14ac:dyDescent="0.3">
      <c r="A45" s="22">
        <v>43</v>
      </c>
      <c r="B45" s="24">
        <v>1125504170</v>
      </c>
      <c r="C45" s="24" t="s">
        <v>20</v>
      </c>
      <c r="D45" s="117" t="s">
        <v>500</v>
      </c>
      <c r="E45" s="26" t="s">
        <v>22</v>
      </c>
      <c r="F45" s="114" t="s">
        <v>500</v>
      </c>
      <c r="G45" s="26" t="e">
        <v>#N/A</v>
      </c>
      <c r="H45" s="26" t="e">
        <v>#N/A</v>
      </c>
      <c r="I45" s="26" t="s">
        <v>20</v>
      </c>
      <c r="J45" s="70">
        <v>1</v>
      </c>
      <c r="K45" s="71">
        <v>0</v>
      </c>
      <c r="L45" s="71">
        <v>0</v>
      </c>
      <c r="M45" s="71">
        <v>0</v>
      </c>
      <c r="N45" s="71">
        <v>0</v>
      </c>
      <c r="O45" s="71">
        <v>0</v>
      </c>
      <c r="P45" s="71">
        <v>0</v>
      </c>
      <c r="Q45" s="71">
        <v>0</v>
      </c>
      <c r="R45" s="71">
        <v>0</v>
      </c>
      <c r="S45" s="134"/>
      <c r="T45" s="134" t="s">
        <v>176</v>
      </c>
      <c r="U45" s="134" t="s">
        <v>176</v>
      </c>
      <c r="V45" s="30" t="s">
        <v>25</v>
      </c>
      <c r="W45" s="58" t="s">
        <v>25</v>
      </c>
      <c r="X45" s="30">
        <v>10364</v>
      </c>
      <c r="Y45" s="30" t="s">
        <v>25</v>
      </c>
      <c r="Z45" s="29" t="s">
        <v>454</v>
      </c>
      <c r="AA45" s="30" t="s">
        <v>25</v>
      </c>
      <c r="AB45" s="30" t="s">
        <v>25</v>
      </c>
      <c r="AC45" s="29" t="s">
        <v>24</v>
      </c>
      <c r="AD45" s="29">
        <v>11813</v>
      </c>
      <c r="AE45" s="22" t="s">
        <v>176</v>
      </c>
      <c r="AG45" s="30">
        <f t="shared" si="0"/>
        <v>10364</v>
      </c>
      <c r="AH45" s="147">
        <v>11088.5</v>
      </c>
      <c r="AI45" s="30">
        <v>2106.8150000000001</v>
      </c>
      <c r="AJ45" s="30">
        <v>13195.315000000001</v>
      </c>
    </row>
    <row r="46" spans="1:36" ht="33" x14ac:dyDescent="0.3">
      <c r="A46" s="22">
        <v>44</v>
      </c>
      <c r="B46" s="24">
        <v>1125504160</v>
      </c>
      <c r="C46" s="24" t="s">
        <v>20</v>
      </c>
      <c r="D46" s="117" t="s">
        <v>501</v>
      </c>
      <c r="E46" s="26" t="s">
        <v>22</v>
      </c>
      <c r="F46" s="114" t="s">
        <v>501</v>
      </c>
      <c r="G46" s="26" t="e">
        <v>#N/A</v>
      </c>
      <c r="H46" s="26" t="e">
        <v>#N/A</v>
      </c>
      <c r="I46" s="26" t="s">
        <v>20</v>
      </c>
      <c r="J46" s="70">
        <v>50806.12</v>
      </c>
      <c r="K46" s="71">
        <v>0</v>
      </c>
      <c r="L46" s="71">
        <v>0</v>
      </c>
      <c r="M46" s="71">
        <v>0</v>
      </c>
      <c r="N46" s="71">
        <v>0</v>
      </c>
      <c r="O46" s="71">
        <v>2</v>
      </c>
      <c r="P46" s="71">
        <v>0.16666666666666666</v>
      </c>
      <c r="Q46" s="71">
        <v>0</v>
      </c>
      <c r="R46" s="71">
        <v>0</v>
      </c>
      <c r="S46" s="134"/>
      <c r="T46" s="134" t="s">
        <v>176</v>
      </c>
      <c r="U46" s="134" t="s">
        <v>176</v>
      </c>
      <c r="V46" s="30" t="s">
        <v>25</v>
      </c>
      <c r="W46" s="58" t="s">
        <v>25</v>
      </c>
      <c r="X46" s="30" t="s">
        <v>25</v>
      </c>
      <c r="Y46" s="30" t="s">
        <v>25</v>
      </c>
      <c r="Z46" s="29" t="s">
        <v>454</v>
      </c>
      <c r="AA46" s="30" t="s">
        <v>25</v>
      </c>
      <c r="AB46" s="30">
        <v>32898</v>
      </c>
      <c r="AC46" s="29" t="s">
        <v>24</v>
      </c>
      <c r="AD46" s="29" t="s">
        <v>455</v>
      </c>
      <c r="AE46" s="22" t="s">
        <v>176</v>
      </c>
      <c r="AG46" s="30">
        <f t="shared" si="0"/>
        <v>32898</v>
      </c>
      <c r="AH46" s="147">
        <v>32898</v>
      </c>
      <c r="AI46" s="30">
        <v>6250.62</v>
      </c>
      <c r="AJ46" s="30">
        <v>39148.620000000003</v>
      </c>
    </row>
    <row r="47" spans="1:36" ht="33" x14ac:dyDescent="0.3">
      <c r="A47" s="22">
        <v>45</v>
      </c>
      <c r="B47" s="24">
        <v>1125504161</v>
      </c>
      <c r="C47" s="24" t="s">
        <v>20</v>
      </c>
      <c r="D47" s="117" t="s">
        <v>502</v>
      </c>
      <c r="E47" s="26" t="s">
        <v>22</v>
      </c>
      <c r="F47" s="114" t="s">
        <v>502</v>
      </c>
      <c r="G47" s="26" t="e">
        <v>#N/A</v>
      </c>
      <c r="H47" s="26" t="e">
        <v>#N/A</v>
      </c>
      <c r="I47" s="26" t="s">
        <v>20</v>
      </c>
      <c r="J47" s="70">
        <v>79154.81</v>
      </c>
      <c r="K47" s="71">
        <v>0</v>
      </c>
      <c r="L47" s="71">
        <v>0</v>
      </c>
      <c r="M47" s="71">
        <v>0</v>
      </c>
      <c r="N47" s="71">
        <v>0</v>
      </c>
      <c r="O47" s="71">
        <v>0</v>
      </c>
      <c r="P47" s="71">
        <v>0</v>
      </c>
      <c r="Q47" s="71">
        <v>0</v>
      </c>
      <c r="R47" s="71">
        <v>2</v>
      </c>
      <c r="S47" s="134"/>
      <c r="T47" s="134" t="s">
        <v>176</v>
      </c>
      <c r="U47" s="134" t="s">
        <v>176</v>
      </c>
      <c r="V47" s="30" t="s">
        <v>25</v>
      </c>
      <c r="W47" s="58" t="s">
        <v>25</v>
      </c>
      <c r="X47" s="30">
        <v>120574</v>
      </c>
      <c r="Y47" s="30" t="s">
        <v>25</v>
      </c>
      <c r="Z47" s="29" t="s">
        <v>454</v>
      </c>
      <c r="AA47" s="30" t="s">
        <v>25</v>
      </c>
      <c r="AB47" s="30" t="s">
        <v>25</v>
      </c>
      <c r="AC47" s="29" t="s">
        <v>24</v>
      </c>
      <c r="AD47" s="29" t="s">
        <v>455</v>
      </c>
      <c r="AE47" s="22" t="s">
        <v>176</v>
      </c>
      <c r="AG47" s="30">
        <f t="shared" si="0"/>
        <v>120574</v>
      </c>
      <c r="AH47" s="147">
        <v>120574</v>
      </c>
      <c r="AI47" s="30">
        <v>22909.06</v>
      </c>
      <c r="AJ47" s="30">
        <v>143483.06</v>
      </c>
    </row>
    <row r="48" spans="1:36" ht="33" x14ac:dyDescent="0.3">
      <c r="A48" s="22">
        <v>46</v>
      </c>
      <c r="B48" s="24">
        <v>1125504162</v>
      </c>
      <c r="C48" s="24" t="s">
        <v>20</v>
      </c>
      <c r="D48" s="117" t="s">
        <v>503</v>
      </c>
      <c r="E48" s="26" t="s">
        <v>22</v>
      </c>
      <c r="F48" s="114" t="s">
        <v>503</v>
      </c>
      <c r="G48" s="26" t="e">
        <v>#N/A</v>
      </c>
      <c r="H48" s="26" t="e">
        <v>#N/A</v>
      </c>
      <c r="I48" s="26" t="s">
        <v>20</v>
      </c>
      <c r="J48" s="70">
        <v>79154.81</v>
      </c>
      <c r="K48" s="71">
        <v>0</v>
      </c>
      <c r="L48" s="71">
        <v>0</v>
      </c>
      <c r="M48" s="71">
        <v>0</v>
      </c>
      <c r="N48" s="71">
        <v>0</v>
      </c>
      <c r="O48" s="71">
        <v>1</v>
      </c>
      <c r="P48" s="71">
        <v>8.3333333333333329E-2</v>
      </c>
      <c r="Q48" s="71">
        <v>0</v>
      </c>
      <c r="R48" s="71">
        <v>1</v>
      </c>
      <c r="S48" s="134"/>
      <c r="T48" s="134" t="s">
        <v>176</v>
      </c>
      <c r="U48" s="134" t="s">
        <v>176</v>
      </c>
      <c r="V48" s="30" t="s">
        <v>25</v>
      </c>
      <c r="W48" s="58" t="s">
        <v>25</v>
      </c>
      <c r="X48" s="30" t="s">
        <v>25</v>
      </c>
      <c r="Y48" s="30" t="s">
        <v>25</v>
      </c>
      <c r="Z48" s="29" t="s">
        <v>454</v>
      </c>
      <c r="AA48" s="30" t="s">
        <v>25</v>
      </c>
      <c r="AB48" s="30">
        <v>96428</v>
      </c>
      <c r="AC48" s="29" t="s">
        <v>24</v>
      </c>
      <c r="AD48" s="29" t="s">
        <v>455</v>
      </c>
      <c r="AE48" s="22" t="s">
        <v>176</v>
      </c>
      <c r="AG48" s="30">
        <f t="shared" si="0"/>
        <v>96428</v>
      </c>
      <c r="AH48" s="147">
        <v>96428</v>
      </c>
      <c r="AI48" s="30">
        <v>18321.32</v>
      </c>
      <c r="AJ48" s="30">
        <v>114749.32</v>
      </c>
    </row>
    <row r="49" spans="1:36" ht="33" x14ac:dyDescent="0.3">
      <c r="A49" s="22">
        <v>47</v>
      </c>
      <c r="B49" s="24">
        <v>1125504156</v>
      </c>
      <c r="C49" s="24" t="s">
        <v>20</v>
      </c>
      <c r="D49" s="117" t="s">
        <v>504</v>
      </c>
      <c r="E49" s="26" t="s">
        <v>22</v>
      </c>
      <c r="F49" s="114" t="s">
        <v>504</v>
      </c>
      <c r="G49" s="26" t="e">
        <v>#N/A</v>
      </c>
      <c r="H49" s="26" t="e">
        <v>#N/A</v>
      </c>
      <c r="I49" s="26" t="s">
        <v>20</v>
      </c>
      <c r="J49" s="70">
        <v>105572.81</v>
      </c>
      <c r="K49" s="71">
        <v>0</v>
      </c>
      <c r="L49" s="71">
        <v>1</v>
      </c>
      <c r="M49" s="71">
        <v>5</v>
      </c>
      <c r="N49" s="71">
        <v>0.41666666666666669</v>
      </c>
      <c r="O49" s="71">
        <v>0</v>
      </c>
      <c r="P49" s="71">
        <v>0</v>
      </c>
      <c r="Q49" s="71">
        <v>0</v>
      </c>
      <c r="R49" s="71">
        <v>2</v>
      </c>
      <c r="S49" s="134"/>
      <c r="T49" s="134" t="s">
        <v>176</v>
      </c>
      <c r="U49" s="134" t="s">
        <v>176</v>
      </c>
      <c r="V49" s="30" t="s">
        <v>25</v>
      </c>
      <c r="W49" s="58" t="s">
        <v>25</v>
      </c>
      <c r="X49" s="30" t="s">
        <v>25</v>
      </c>
      <c r="Y49" s="30" t="s">
        <v>25</v>
      </c>
      <c r="Z49" s="29" t="s">
        <v>454</v>
      </c>
      <c r="AA49" s="30">
        <v>122070</v>
      </c>
      <c r="AB49" s="30" t="s">
        <v>25</v>
      </c>
      <c r="AC49" s="29" t="s">
        <v>24</v>
      </c>
      <c r="AD49" s="29">
        <v>207382</v>
      </c>
      <c r="AE49" s="22" t="s">
        <v>176</v>
      </c>
      <c r="AG49" s="30">
        <f t="shared" si="0"/>
        <v>122070</v>
      </c>
      <c r="AH49" s="147">
        <v>164726</v>
      </c>
      <c r="AI49" s="30">
        <v>31297.94</v>
      </c>
      <c r="AJ49" s="30">
        <v>196023.94</v>
      </c>
    </row>
    <row r="50" spans="1:36" ht="33" x14ac:dyDescent="0.3">
      <c r="A50" s="22">
        <v>48</v>
      </c>
      <c r="B50" s="24">
        <v>1125504159</v>
      </c>
      <c r="C50" s="24" t="s">
        <v>20</v>
      </c>
      <c r="D50" s="117" t="s">
        <v>505</v>
      </c>
      <c r="E50" s="26" t="s">
        <v>22</v>
      </c>
      <c r="F50" s="114" t="s">
        <v>505</v>
      </c>
      <c r="G50" s="26" t="e">
        <v>#N/A</v>
      </c>
      <c r="H50" s="26" t="e">
        <v>#N/A</v>
      </c>
      <c r="I50" s="26" t="s">
        <v>20</v>
      </c>
      <c r="J50" s="70">
        <v>105572.81</v>
      </c>
      <c r="K50" s="71">
        <v>0</v>
      </c>
      <c r="L50" s="71">
        <v>26</v>
      </c>
      <c r="M50" s="71">
        <v>14</v>
      </c>
      <c r="N50" s="71">
        <v>1.1666666666666667</v>
      </c>
      <c r="O50" s="71">
        <v>2</v>
      </c>
      <c r="P50" s="71">
        <v>0.16666666666666666</v>
      </c>
      <c r="Q50" s="71">
        <v>0</v>
      </c>
      <c r="R50" s="71">
        <v>1</v>
      </c>
      <c r="S50" s="134"/>
      <c r="T50" s="134" t="s">
        <v>176</v>
      </c>
      <c r="U50" s="134" t="s">
        <v>176</v>
      </c>
      <c r="V50" s="30" t="s">
        <v>25</v>
      </c>
      <c r="W50" s="58" t="s">
        <v>25</v>
      </c>
      <c r="X50" s="30" t="s">
        <v>25</v>
      </c>
      <c r="Y50" s="30" t="s">
        <v>25</v>
      </c>
      <c r="Z50" s="29" t="s">
        <v>454</v>
      </c>
      <c r="AA50" s="30" t="s">
        <v>25</v>
      </c>
      <c r="AB50" s="30">
        <v>47647</v>
      </c>
      <c r="AC50" s="29" t="s">
        <v>24</v>
      </c>
      <c r="AD50" s="29" t="s">
        <v>455</v>
      </c>
      <c r="AE50" s="22" t="s">
        <v>176</v>
      </c>
      <c r="AG50" s="30">
        <f t="shared" si="0"/>
        <v>47647</v>
      </c>
      <c r="AH50" s="147">
        <v>47647</v>
      </c>
      <c r="AI50" s="30">
        <v>9052.93</v>
      </c>
      <c r="AJ50" s="30">
        <v>56699.93</v>
      </c>
    </row>
    <row r="51" spans="1:36" x14ac:dyDescent="0.3">
      <c r="A51" s="22">
        <v>49</v>
      </c>
      <c r="B51" s="24">
        <v>1125504157</v>
      </c>
      <c r="C51" s="24" t="s">
        <v>20</v>
      </c>
      <c r="D51" s="117" t="s">
        <v>506</v>
      </c>
      <c r="E51" s="26" t="s">
        <v>22</v>
      </c>
      <c r="F51" s="114" t="s">
        <v>506</v>
      </c>
      <c r="G51" s="26" t="e">
        <v>#N/A</v>
      </c>
      <c r="H51" s="26" t="e">
        <v>#N/A</v>
      </c>
      <c r="I51" s="26" t="s">
        <v>20</v>
      </c>
      <c r="J51" s="70">
        <v>297500</v>
      </c>
      <c r="K51" s="71">
        <v>6</v>
      </c>
      <c r="L51" s="71">
        <v>8</v>
      </c>
      <c r="M51" s="71">
        <v>13</v>
      </c>
      <c r="N51" s="71">
        <v>1.0833333333333333</v>
      </c>
      <c r="O51" s="71">
        <v>15</v>
      </c>
      <c r="P51" s="71">
        <v>1.25</v>
      </c>
      <c r="Q51" s="71">
        <v>0</v>
      </c>
      <c r="R51" s="71">
        <v>0</v>
      </c>
      <c r="S51" s="134"/>
      <c r="T51" s="134" t="s">
        <v>176</v>
      </c>
      <c r="U51" s="134" t="s">
        <v>176</v>
      </c>
      <c r="V51" s="30" t="s">
        <v>25</v>
      </c>
      <c r="W51" s="58" t="s">
        <v>25</v>
      </c>
      <c r="X51" s="30" t="s">
        <v>25</v>
      </c>
      <c r="Y51" s="30" t="s">
        <v>25</v>
      </c>
      <c r="Z51" s="29" t="s">
        <v>454</v>
      </c>
      <c r="AA51" s="30" t="s">
        <v>25</v>
      </c>
      <c r="AB51" s="30">
        <v>47647</v>
      </c>
      <c r="AC51" s="29" t="s">
        <v>24</v>
      </c>
      <c r="AD51" s="29" t="s">
        <v>455</v>
      </c>
      <c r="AE51" s="22" t="s">
        <v>176</v>
      </c>
      <c r="AG51" s="30">
        <f t="shared" si="0"/>
        <v>47647</v>
      </c>
      <c r="AH51" s="147">
        <v>47647</v>
      </c>
      <c r="AI51" s="30">
        <v>9052.93</v>
      </c>
      <c r="AJ51" s="30">
        <v>56699.93</v>
      </c>
    </row>
    <row r="52" spans="1:36" ht="33" x14ac:dyDescent="0.3">
      <c r="A52" s="22">
        <v>50</v>
      </c>
      <c r="B52" s="24">
        <v>1121020041</v>
      </c>
      <c r="C52" s="24" t="s">
        <v>20</v>
      </c>
      <c r="D52" s="117" t="s">
        <v>507</v>
      </c>
      <c r="E52" s="26" t="s">
        <v>175</v>
      </c>
      <c r="F52" s="114" t="s">
        <v>507</v>
      </c>
      <c r="G52" s="26" t="e">
        <v>#N/A</v>
      </c>
      <c r="H52" s="26" t="e">
        <v>#N/A</v>
      </c>
      <c r="I52" s="26" t="s">
        <v>20</v>
      </c>
      <c r="J52" s="70">
        <v>1</v>
      </c>
      <c r="K52" s="71">
        <v>0</v>
      </c>
      <c r="L52" s="71">
        <v>0</v>
      </c>
      <c r="M52" s="71">
        <v>0</v>
      </c>
      <c r="N52" s="71">
        <v>0</v>
      </c>
      <c r="O52" s="71">
        <v>0</v>
      </c>
      <c r="P52" s="71">
        <v>0</v>
      </c>
      <c r="Q52" s="71">
        <v>0</v>
      </c>
      <c r="R52" s="71">
        <v>0</v>
      </c>
      <c r="S52" s="134"/>
      <c r="T52" s="134" t="s">
        <v>176</v>
      </c>
      <c r="U52" s="134" t="s">
        <v>176</v>
      </c>
      <c r="V52" s="30" t="s">
        <v>25</v>
      </c>
      <c r="W52" s="58" t="s">
        <v>25</v>
      </c>
      <c r="X52" s="30">
        <v>3172</v>
      </c>
      <c r="Y52" s="30" t="s">
        <v>25</v>
      </c>
      <c r="Z52" s="29" t="s">
        <v>454</v>
      </c>
      <c r="AA52" s="30" t="s">
        <v>25</v>
      </c>
      <c r="AB52" s="30" t="s">
        <v>25</v>
      </c>
      <c r="AC52" s="29" t="s">
        <v>24</v>
      </c>
      <c r="AD52" s="29" t="s">
        <v>24</v>
      </c>
      <c r="AE52" s="22" t="s">
        <v>176</v>
      </c>
      <c r="AG52" s="30">
        <f t="shared" si="0"/>
        <v>3172</v>
      </c>
      <c r="AH52" s="147">
        <v>3172</v>
      </c>
      <c r="AI52" s="30">
        <v>602.67999999999995</v>
      </c>
      <c r="AJ52" s="30">
        <v>3774.68</v>
      </c>
    </row>
    <row r="53" spans="1:36" x14ac:dyDescent="0.3">
      <c r="A53" s="22">
        <v>51</v>
      </c>
      <c r="B53" s="24">
        <v>1121020075</v>
      </c>
      <c r="C53" s="24" t="s">
        <v>20</v>
      </c>
      <c r="D53" s="117" t="s">
        <v>508</v>
      </c>
      <c r="E53" s="26" t="s">
        <v>175</v>
      </c>
      <c r="F53" s="114" t="s">
        <v>508</v>
      </c>
      <c r="G53" s="26" t="e">
        <v>#N/A</v>
      </c>
      <c r="H53" s="26" t="e">
        <v>#N/A</v>
      </c>
      <c r="I53" s="26" t="s">
        <v>20</v>
      </c>
      <c r="J53" s="70">
        <v>397.89</v>
      </c>
      <c r="K53" s="71">
        <v>0</v>
      </c>
      <c r="L53" s="71">
        <v>0</v>
      </c>
      <c r="M53" s="71">
        <v>0</v>
      </c>
      <c r="N53" s="71">
        <v>0</v>
      </c>
      <c r="O53" s="71">
        <v>300</v>
      </c>
      <c r="P53" s="71">
        <v>25</v>
      </c>
      <c r="Q53" s="71">
        <v>0</v>
      </c>
      <c r="R53" s="71">
        <v>0</v>
      </c>
      <c r="S53" s="134"/>
      <c r="T53" s="134" t="s">
        <v>176</v>
      </c>
      <c r="U53" s="134" t="s">
        <v>176</v>
      </c>
      <c r="V53" s="30" t="s">
        <v>25</v>
      </c>
      <c r="W53" s="58" t="s">
        <v>25</v>
      </c>
      <c r="X53" s="30" t="s">
        <v>25</v>
      </c>
      <c r="Y53" s="30" t="s">
        <v>25</v>
      </c>
      <c r="Z53" s="29" t="s">
        <v>454</v>
      </c>
      <c r="AA53" s="30" t="s">
        <v>25</v>
      </c>
      <c r="AB53" s="30">
        <v>630</v>
      </c>
      <c r="AC53" s="29" t="s">
        <v>24</v>
      </c>
      <c r="AD53" s="29" t="s">
        <v>24</v>
      </c>
      <c r="AE53" s="22" t="s">
        <v>176</v>
      </c>
      <c r="AG53" s="30">
        <f t="shared" si="0"/>
        <v>630</v>
      </c>
      <c r="AH53" s="147">
        <v>630</v>
      </c>
      <c r="AI53" s="30">
        <v>119.7</v>
      </c>
      <c r="AJ53" s="30">
        <v>749.7</v>
      </c>
    </row>
    <row r="54" spans="1:36" x14ac:dyDescent="0.3">
      <c r="A54" s="22">
        <v>52</v>
      </c>
      <c r="B54" s="24">
        <v>1121020076</v>
      </c>
      <c r="C54" s="24" t="s">
        <v>20</v>
      </c>
      <c r="D54" s="117" t="s">
        <v>509</v>
      </c>
      <c r="E54" s="26" t="s">
        <v>22</v>
      </c>
      <c r="F54" s="114" t="s">
        <v>509</v>
      </c>
      <c r="G54" s="26" t="e">
        <v>#N/A</v>
      </c>
      <c r="H54" s="26" t="e">
        <v>#N/A</v>
      </c>
      <c r="I54" s="26" t="s">
        <v>20</v>
      </c>
      <c r="J54" s="70">
        <v>527240.99332999997</v>
      </c>
      <c r="K54" s="71">
        <v>0</v>
      </c>
      <c r="L54" s="71">
        <v>0</v>
      </c>
      <c r="M54" s="71">
        <v>0</v>
      </c>
      <c r="N54" s="71">
        <v>0</v>
      </c>
      <c r="O54" s="71">
        <v>7</v>
      </c>
      <c r="P54" s="71">
        <v>0.58333333333333337</v>
      </c>
      <c r="Q54" s="71">
        <v>0</v>
      </c>
      <c r="R54" s="71">
        <v>0</v>
      </c>
      <c r="S54" s="134"/>
      <c r="T54" s="134" t="s">
        <v>176</v>
      </c>
      <c r="U54" s="134" t="s">
        <v>176</v>
      </c>
      <c r="V54" s="30" t="s">
        <v>25</v>
      </c>
      <c r="W54" s="58" t="s">
        <v>25</v>
      </c>
      <c r="X54" s="30" t="s">
        <v>25</v>
      </c>
      <c r="Y54" s="30" t="s">
        <v>25</v>
      </c>
      <c r="Z54" s="29" t="s">
        <v>454</v>
      </c>
      <c r="AA54" s="30" t="s">
        <v>25</v>
      </c>
      <c r="AB54" s="30">
        <v>5041</v>
      </c>
      <c r="AC54" s="29" t="s">
        <v>24</v>
      </c>
      <c r="AD54" s="29" t="s">
        <v>455</v>
      </c>
      <c r="AE54" s="22" t="s">
        <v>176</v>
      </c>
      <c r="AG54" s="30">
        <f t="shared" si="0"/>
        <v>5041</v>
      </c>
      <c r="AH54" s="147">
        <v>5041</v>
      </c>
      <c r="AI54" s="30">
        <v>957.79</v>
      </c>
      <c r="AJ54" s="30">
        <v>5998.79</v>
      </c>
    </row>
    <row r="55" spans="1:36" x14ac:dyDescent="0.3">
      <c r="A55" s="22">
        <v>53</v>
      </c>
      <c r="B55" s="24">
        <v>1121020077</v>
      </c>
      <c r="C55" s="24" t="s">
        <v>20</v>
      </c>
      <c r="D55" s="117" t="s">
        <v>510</v>
      </c>
      <c r="E55" s="26" t="s">
        <v>175</v>
      </c>
      <c r="F55" s="114" t="s">
        <v>510</v>
      </c>
      <c r="G55" s="26" t="e">
        <v>#N/A</v>
      </c>
      <c r="H55" s="26" t="e">
        <v>#N/A</v>
      </c>
      <c r="I55" s="26" t="s">
        <v>20</v>
      </c>
      <c r="J55" s="70">
        <v>332689.93</v>
      </c>
      <c r="K55" s="71">
        <v>0</v>
      </c>
      <c r="L55" s="71">
        <v>0</v>
      </c>
      <c r="M55" s="71">
        <v>0</v>
      </c>
      <c r="N55" s="71">
        <v>0</v>
      </c>
      <c r="O55" s="71">
        <v>4</v>
      </c>
      <c r="P55" s="71">
        <v>0.33333333333333331</v>
      </c>
      <c r="Q55" s="71">
        <v>0</v>
      </c>
      <c r="R55" s="71">
        <v>0</v>
      </c>
      <c r="S55" s="134"/>
      <c r="T55" s="134" t="s">
        <v>176</v>
      </c>
      <c r="U55" s="134" t="s">
        <v>176</v>
      </c>
      <c r="V55" s="30" t="s">
        <v>25</v>
      </c>
      <c r="W55" s="58" t="s">
        <v>25</v>
      </c>
      <c r="X55" s="30">
        <v>2605</v>
      </c>
      <c r="Y55" s="30" t="s">
        <v>25</v>
      </c>
      <c r="Z55" s="29" t="s">
        <v>454</v>
      </c>
      <c r="AA55" s="30" t="s">
        <v>25</v>
      </c>
      <c r="AB55" s="30" t="s">
        <v>25</v>
      </c>
      <c r="AC55" s="29" t="s">
        <v>24</v>
      </c>
      <c r="AD55" s="29" t="s">
        <v>455</v>
      </c>
      <c r="AE55" s="22" t="s">
        <v>176</v>
      </c>
      <c r="AG55" s="30">
        <f t="shared" si="0"/>
        <v>2605</v>
      </c>
      <c r="AH55" s="147">
        <v>2605</v>
      </c>
      <c r="AI55" s="30">
        <v>494.95</v>
      </c>
      <c r="AJ55" s="30">
        <v>3099.95</v>
      </c>
    </row>
    <row r="56" spans="1:36" x14ac:dyDescent="0.3">
      <c r="A56" s="22">
        <v>54</v>
      </c>
      <c r="B56" s="24">
        <v>1121020080</v>
      </c>
      <c r="C56" s="24" t="s">
        <v>20</v>
      </c>
      <c r="D56" s="117" t="s">
        <v>511</v>
      </c>
      <c r="E56" s="26" t="s">
        <v>175</v>
      </c>
      <c r="F56" s="114" t="s">
        <v>511</v>
      </c>
      <c r="G56" s="26" t="e">
        <v>#N/A</v>
      </c>
      <c r="H56" s="26" t="e">
        <v>#N/A</v>
      </c>
      <c r="I56" s="26" t="s">
        <v>20</v>
      </c>
      <c r="J56" s="70">
        <v>1</v>
      </c>
      <c r="K56" s="71">
        <v>0</v>
      </c>
      <c r="L56" s="71">
        <v>0</v>
      </c>
      <c r="M56" s="71">
        <v>0</v>
      </c>
      <c r="N56" s="71">
        <v>0</v>
      </c>
      <c r="O56" s="71">
        <v>0</v>
      </c>
      <c r="P56" s="71">
        <v>0</v>
      </c>
      <c r="Q56" s="71">
        <v>0</v>
      </c>
      <c r="R56" s="71">
        <v>0</v>
      </c>
      <c r="S56" s="134"/>
      <c r="T56" s="134" t="s">
        <v>176</v>
      </c>
      <c r="U56" s="134" t="s">
        <v>176</v>
      </c>
      <c r="V56" s="30" t="s">
        <v>25</v>
      </c>
      <c r="W56" s="58" t="s">
        <v>25</v>
      </c>
      <c r="X56" s="30">
        <v>1603</v>
      </c>
      <c r="Y56" s="30" t="s">
        <v>25</v>
      </c>
      <c r="Z56" s="29" t="s">
        <v>454</v>
      </c>
      <c r="AA56" s="30" t="s">
        <v>25</v>
      </c>
      <c r="AB56" s="30" t="s">
        <v>25</v>
      </c>
      <c r="AC56" s="29" t="s">
        <v>24</v>
      </c>
      <c r="AD56" s="29" t="s">
        <v>455</v>
      </c>
      <c r="AE56" s="22" t="s">
        <v>176</v>
      </c>
      <c r="AG56" s="30">
        <f t="shared" si="0"/>
        <v>1603</v>
      </c>
      <c r="AH56" s="147">
        <v>1603</v>
      </c>
      <c r="AI56" s="30">
        <v>304.57</v>
      </c>
      <c r="AJ56" s="30">
        <v>1907.57</v>
      </c>
    </row>
    <row r="57" spans="1:36" x14ac:dyDescent="0.3">
      <c r="A57" s="22">
        <v>55</v>
      </c>
      <c r="B57" s="24">
        <v>1121020081</v>
      </c>
      <c r="C57" s="24" t="s">
        <v>20</v>
      </c>
      <c r="D57" s="117" t="s">
        <v>512</v>
      </c>
      <c r="E57" s="26" t="s">
        <v>175</v>
      </c>
      <c r="F57" s="114" t="s">
        <v>512</v>
      </c>
      <c r="G57" s="26" t="e">
        <v>#N/A</v>
      </c>
      <c r="H57" s="26" t="e">
        <v>#N/A</v>
      </c>
      <c r="I57" s="26" t="s">
        <v>20</v>
      </c>
      <c r="J57" s="70">
        <v>1</v>
      </c>
      <c r="K57" s="71">
        <v>0</v>
      </c>
      <c r="L57" s="71">
        <v>0</v>
      </c>
      <c r="M57" s="71">
        <v>0</v>
      </c>
      <c r="N57" s="71">
        <v>0</v>
      </c>
      <c r="O57" s="71">
        <v>0</v>
      </c>
      <c r="P57" s="71">
        <v>0</v>
      </c>
      <c r="Q57" s="71">
        <v>0</v>
      </c>
      <c r="R57" s="71">
        <v>0</v>
      </c>
      <c r="S57" s="134"/>
      <c r="T57" s="134" t="s">
        <v>176</v>
      </c>
      <c r="U57" s="134" t="s">
        <v>176</v>
      </c>
      <c r="V57" s="30" t="s">
        <v>25</v>
      </c>
      <c r="W57" s="58" t="s">
        <v>25</v>
      </c>
      <c r="X57" s="30">
        <v>931</v>
      </c>
      <c r="Y57" s="30" t="s">
        <v>25</v>
      </c>
      <c r="Z57" s="29" t="s">
        <v>454</v>
      </c>
      <c r="AA57" s="30" t="s">
        <v>25</v>
      </c>
      <c r="AB57" s="30" t="s">
        <v>25</v>
      </c>
      <c r="AC57" s="29" t="s">
        <v>24</v>
      </c>
      <c r="AD57" s="29">
        <v>1795</v>
      </c>
      <c r="AE57" s="22" t="s">
        <v>176</v>
      </c>
      <c r="AG57" s="30">
        <f t="shared" si="0"/>
        <v>931</v>
      </c>
      <c r="AH57" s="147">
        <v>1363</v>
      </c>
      <c r="AI57" s="30">
        <v>258.97000000000003</v>
      </c>
      <c r="AJ57" s="30">
        <v>1621.97</v>
      </c>
    </row>
    <row r="58" spans="1:36" ht="33" x14ac:dyDescent="0.3">
      <c r="A58" s="22">
        <v>56</v>
      </c>
      <c r="B58" s="24">
        <v>1121020022</v>
      </c>
      <c r="C58" s="24" t="s">
        <v>20</v>
      </c>
      <c r="D58" s="117" t="s">
        <v>513</v>
      </c>
      <c r="E58" s="26" t="s">
        <v>175</v>
      </c>
      <c r="F58" s="114" t="s">
        <v>513</v>
      </c>
      <c r="G58" s="26" t="e">
        <v>#N/A</v>
      </c>
      <c r="H58" s="26" t="e">
        <v>#N/A</v>
      </c>
      <c r="I58" s="26" t="s">
        <v>20</v>
      </c>
      <c r="J58" s="70">
        <v>3094</v>
      </c>
      <c r="K58" s="71">
        <v>24</v>
      </c>
      <c r="L58" s="71">
        <v>30</v>
      </c>
      <c r="M58" s="71">
        <v>0</v>
      </c>
      <c r="N58" s="71">
        <v>0</v>
      </c>
      <c r="O58" s="71">
        <v>3</v>
      </c>
      <c r="P58" s="71">
        <v>0.25</v>
      </c>
      <c r="Q58" s="71">
        <v>0</v>
      </c>
      <c r="R58" s="71">
        <v>0</v>
      </c>
      <c r="S58" s="134"/>
      <c r="T58" s="134" t="s">
        <v>176</v>
      </c>
      <c r="U58" s="134" t="s">
        <v>176</v>
      </c>
      <c r="V58" s="30" t="s">
        <v>25</v>
      </c>
      <c r="W58" s="58" t="s">
        <v>25</v>
      </c>
      <c r="X58" s="30">
        <v>6888</v>
      </c>
      <c r="Y58" s="30" t="s">
        <v>25</v>
      </c>
      <c r="Z58" s="29" t="s">
        <v>454</v>
      </c>
      <c r="AA58" s="30" t="s">
        <v>25</v>
      </c>
      <c r="AB58" s="30" t="s">
        <v>25</v>
      </c>
      <c r="AC58" s="29" t="s">
        <v>24</v>
      </c>
      <c r="AD58" s="29" t="s">
        <v>24</v>
      </c>
      <c r="AE58" s="22" t="s">
        <v>176</v>
      </c>
      <c r="AG58" s="30">
        <f t="shared" si="0"/>
        <v>6888</v>
      </c>
      <c r="AH58" s="147">
        <v>6888</v>
      </c>
      <c r="AI58" s="30">
        <v>1308.72</v>
      </c>
      <c r="AJ58" s="30">
        <v>8196.7199999999993</v>
      </c>
    </row>
    <row r="59" spans="1:36" x14ac:dyDescent="0.3">
      <c r="A59" s="22">
        <v>57</v>
      </c>
      <c r="B59" s="24">
        <v>1121020023</v>
      </c>
      <c r="C59" s="24" t="s">
        <v>20</v>
      </c>
      <c r="D59" s="117" t="s">
        <v>514</v>
      </c>
      <c r="E59" s="26" t="s">
        <v>175</v>
      </c>
      <c r="F59" s="114" t="s">
        <v>514</v>
      </c>
      <c r="G59" s="26" t="e">
        <v>#N/A</v>
      </c>
      <c r="H59" s="26" t="e">
        <v>#N/A</v>
      </c>
      <c r="I59" s="26" t="s">
        <v>20</v>
      </c>
      <c r="J59" s="70">
        <v>2011.1</v>
      </c>
      <c r="K59" s="71">
        <v>5</v>
      </c>
      <c r="L59" s="71">
        <v>359</v>
      </c>
      <c r="M59" s="71">
        <v>250</v>
      </c>
      <c r="N59" s="71">
        <v>20.833333333333332</v>
      </c>
      <c r="O59" s="71">
        <v>0</v>
      </c>
      <c r="P59" s="71">
        <v>0</v>
      </c>
      <c r="Q59" s="71">
        <v>0</v>
      </c>
      <c r="R59" s="71">
        <v>0</v>
      </c>
      <c r="S59" s="134"/>
      <c r="T59" s="134" t="s">
        <v>176</v>
      </c>
      <c r="U59" s="134" t="s">
        <v>176</v>
      </c>
      <c r="V59" s="30" t="s">
        <v>25</v>
      </c>
      <c r="W59" s="58" t="s">
        <v>25</v>
      </c>
      <c r="X59" s="30">
        <v>5394</v>
      </c>
      <c r="Y59" s="30" t="s">
        <v>25</v>
      </c>
      <c r="Z59" s="29" t="s">
        <v>454</v>
      </c>
      <c r="AA59" s="30" t="s">
        <v>25</v>
      </c>
      <c r="AB59" s="30" t="s">
        <v>25</v>
      </c>
      <c r="AC59" s="29" t="s">
        <v>24</v>
      </c>
      <c r="AD59" s="29" t="s">
        <v>24</v>
      </c>
      <c r="AE59" s="22" t="s">
        <v>176</v>
      </c>
      <c r="AG59" s="30">
        <f t="shared" si="0"/>
        <v>5394</v>
      </c>
      <c r="AH59" s="147">
        <v>5394</v>
      </c>
      <c r="AI59" s="30">
        <v>1024.8599999999999</v>
      </c>
      <c r="AJ59" s="30">
        <v>6418.86</v>
      </c>
    </row>
    <row r="60" spans="1:36" ht="33" x14ac:dyDescent="0.3">
      <c r="A60" s="22">
        <v>58</v>
      </c>
      <c r="B60" s="24">
        <v>1121020563</v>
      </c>
      <c r="C60" s="24" t="s">
        <v>20</v>
      </c>
      <c r="D60" s="117" t="s">
        <v>515</v>
      </c>
      <c r="E60" s="26" t="s">
        <v>175</v>
      </c>
      <c r="F60" s="114" t="s">
        <v>515</v>
      </c>
      <c r="G60" s="26" t="e">
        <v>#N/A</v>
      </c>
      <c r="H60" s="26" t="e">
        <v>#N/A</v>
      </c>
      <c r="I60" s="26" t="s">
        <v>20</v>
      </c>
      <c r="J60" s="70">
        <v>370476.79999999999</v>
      </c>
      <c r="K60" s="71">
        <v>6</v>
      </c>
      <c r="L60" s="71">
        <v>28</v>
      </c>
      <c r="M60" s="71">
        <v>30</v>
      </c>
      <c r="N60" s="71">
        <v>2.5</v>
      </c>
      <c r="O60" s="71">
        <v>0</v>
      </c>
      <c r="P60" s="71">
        <v>0</v>
      </c>
      <c r="Q60" s="71">
        <v>0</v>
      </c>
      <c r="R60" s="71">
        <v>0</v>
      </c>
      <c r="S60" s="134"/>
      <c r="T60" s="134" t="s">
        <v>176</v>
      </c>
      <c r="U60" s="134" t="s">
        <v>176</v>
      </c>
      <c r="V60" s="30" t="s">
        <v>25</v>
      </c>
      <c r="W60" s="58" t="s">
        <v>25</v>
      </c>
      <c r="X60" s="30">
        <v>3750</v>
      </c>
      <c r="Y60" s="30" t="s">
        <v>25</v>
      </c>
      <c r="Z60" s="29" t="s">
        <v>454</v>
      </c>
      <c r="AA60" s="30" t="s">
        <v>25</v>
      </c>
      <c r="AB60" s="30" t="s">
        <v>25</v>
      </c>
      <c r="AC60" s="29" t="s">
        <v>24</v>
      </c>
      <c r="AD60" s="29" t="s">
        <v>24</v>
      </c>
      <c r="AE60" s="22" t="s">
        <v>176</v>
      </c>
      <c r="AG60" s="30">
        <f t="shared" si="0"/>
        <v>3750</v>
      </c>
      <c r="AH60" s="147">
        <v>3750</v>
      </c>
      <c r="AI60" s="30">
        <v>712.5</v>
      </c>
      <c r="AJ60" s="30">
        <v>4462.5</v>
      </c>
    </row>
    <row r="61" spans="1:36" ht="33" x14ac:dyDescent="0.3">
      <c r="A61" s="22">
        <v>59</v>
      </c>
      <c r="B61" s="24">
        <v>1121010063</v>
      </c>
      <c r="C61" s="24" t="s">
        <v>20</v>
      </c>
      <c r="D61" s="117" t="s">
        <v>516</v>
      </c>
      <c r="E61" s="26" t="s">
        <v>22</v>
      </c>
      <c r="F61" s="114" t="s">
        <v>516</v>
      </c>
      <c r="G61" s="26" t="e">
        <v>#N/A</v>
      </c>
      <c r="H61" s="26" t="e">
        <v>#N/A</v>
      </c>
      <c r="I61" s="26" t="s">
        <v>20</v>
      </c>
      <c r="J61" s="70">
        <v>7094.78</v>
      </c>
      <c r="K61" s="71">
        <v>0</v>
      </c>
      <c r="L61" s="71">
        <v>390</v>
      </c>
      <c r="M61" s="71">
        <v>1766</v>
      </c>
      <c r="N61" s="71">
        <v>147.16666666666666</v>
      </c>
      <c r="O61" s="71">
        <v>200</v>
      </c>
      <c r="P61" s="71">
        <v>16.666666666666668</v>
      </c>
      <c r="Q61" s="71">
        <v>0</v>
      </c>
      <c r="R61" s="71">
        <v>0</v>
      </c>
      <c r="S61" s="134"/>
      <c r="T61" s="134" t="s">
        <v>176</v>
      </c>
      <c r="U61" s="134" t="s">
        <v>176</v>
      </c>
      <c r="V61" s="30" t="s">
        <v>25</v>
      </c>
      <c r="W61" s="58" t="s">
        <v>25</v>
      </c>
      <c r="X61" s="30" t="s">
        <v>25</v>
      </c>
      <c r="Y61" s="30" t="s">
        <v>25</v>
      </c>
      <c r="Z61" s="29" t="s">
        <v>454</v>
      </c>
      <c r="AA61" s="30" t="s">
        <v>25</v>
      </c>
      <c r="AB61" s="30">
        <v>5566</v>
      </c>
      <c r="AC61" s="29" t="s">
        <v>24</v>
      </c>
      <c r="AD61" s="29" t="s">
        <v>455</v>
      </c>
      <c r="AE61" s="22" t="s">
        <v>176</v>
      </c>
      <c r="AG61" s="30">
        <f t="shared" si="0"/>
        <v>5566</v>
      </c>
      <c r="AH61" s="147">
        <v>5566</v>
      </c>
      <c r="AI61" s="30">
        <v>1057.54</v>
      </c>
      <c r="AJ61" s="30">
        <v>6623.54</v>
      </c>
    </row>
    <row r="62" spans="1:36" ht="33" x14ac:dyDescent="0.3">
      <c r="A62" s="22">
        <v>60</v>
      </c>
      <c r="B62" s="24">
        <v>1121090909</v>
      </c>
      <c r="C62" s="24" t="s">
        <v>20</v>
      </c>
      <c r="D62" s="117" t="s">
        <v>517</v>
      </c>
      <c r="E62" s="26" t="s">
        <v>22</v>
      </c>
      <c r="F62" s="114" t="s">
        <v>517</v>
      </c>
      <c r="G62" s="26" t="e">
        <v>#N/A</v>
      </c>
      <c r="H62" s="26" t="e">
        <v>#N/A</v>
      </c>
      <c r="I62" s="26" t="s">
        <v>20</v>
      </c>
      <c r="J62" s="70">
        <v>1</v>
      </c>
      <c r="K62" s="71">
        <v>0</v>
      </c>
      <c r="L62" s="71">
        <v>0</v>
      </c>
      <c r="M62" s="71">
        <v>0</v>
      </c>
      <c r="N62" s="71">
        <v>0</v>
      </c>
      <c r="O62" s="71">
        <v>0</v>
      </c>
      <c r="P62" s="71">
        <v>0</v>
      </c>
      <c r="Q62" s="71">
        <v>0</v>
      </c>
      <c r="R62" s="71">
        <v>0</v>
      </c>
      <c r="S62" s="134"/>
      <c r="T62" s="134" t="s">
        <v>176</v>
      </c>
      <c r="U62" s="134" t="s">
        <v>176</v>
      </c>
      <c r="V62" s="30" t="s">
        <v>25</v>
      </c>
      <c r="W62" s="58" t="s">
        <v>25</v>
      </c>
      <c r="X62" s="30">
        <v>2057</v>
      </c>
      <c r="Y62" s="30" t="s">
        <v>25</v>
      </c>
      <c r="Z62" s="29" t="s">
        <v>454</v>
      </c>
      <c r="AA62" s="30" t="s">
        <v>25</v>
      </c>
      <c r="AB62" s="30" t="s">
        <v>25</v>
      </c>
      <c r="AC62" s="29" t="s">
        <v>24</v>
      </c>
      <c r="AD62" s="29" t="s">
        <v>24</v>
      </c>
      <c r="AE62" s="22" t="s">
        <v>176</v>
      </c>
      <c r="AG62" s="30">
        <f t="shared" si="0"/>
        <v>2057</v>
      </c>
      <c r="AH62" s="147">
        <v>2057</v>
      </c>
      <c r="AI62" s="30">
        <v>390.83</v>
      </c>
      <c r="AJ62" s="30">
        <v>2447.83</v>
      </c>
    </row>
    <row r="63" spans="1:36" x14ac:dyDescent="0.3">
      <c r="A63" s="22">
        <v>61</v>
      </c>
      <c r="B63" s="24">
        <v>1121090910</v>
      </c>
      <c r="C63" s="24" t="s">
        <v>20</v>
      </c>
      <c r="D63" s="117" t="s">
        <v>518</v>
      </c>
      <c r="E63" s="26" t="s">
        <v>22</v>
      </c>
      <c r="F63" s="114" t="s">
        <v>518</v>
      </c>
      <c r="G63" s="26" t="e">
        <v>#N/A</v>
      </c>
      <c r="H63" s="26" t="e">
        <v>#N/A</v>
      </c>
      <c r="I63" s="26" t="s">
        <v>20</v>
      </c>
      <c r="J63" s="70">
        <v>1</v>
      </c>
      <c r="K63" s="71">
        <v>0</v>
      </c>
      <c r="L63" s="71">
        <v>0</v>
      </c>
      <c r="M63" s="71">
        <v>0</v>
      </c>
      <c r="N63" s="71">
        <v>0</v>
      </c>
      <c r="O63" s="71">
        <v>0</v>
      </c>
      <c r="P63" s="71">
        <v>0</v>
      </c>
      <c r="Q63" s="71">
        <v>0</v>
      </c>
      <c r="R63" s="71">
        <v>0</v>
      </c>
      <c r="S63" s="134"/>
      <c r="T63" s="134" t="s">
        <v>176</v>
      </c>
      <c r="U63" s="134" t="s">
        <v>176</v>
      </c>
      <c r="V63" s="30" t="s">
        <v>25</v>
      </c>
      <c r="W63" s="58" t="s">
        <v>25</v>
      </c>
      <c r="X63" s="30">
        <v>473</v>
      </c>
      <c r="Y63" s="30" t="s">
        <v>25</v>
      </c>
      <c r="Z63" s="29" t="s">
        <v>454</v>
      </c>
      <c r="AA63" s="30">
        <v>2506</v>
      </c>
      <c r="AB63" s="30" t="s">
        <v>25</v>
      </c>
      <c r="AC63" s="29" t="s">
        <v>24</v>
      </c>
      <c r="AD63" s="29" t="s">
        <v>24</v>
      </c>
      <c r="AE63" s="22" t="s">
        <v>176</v>
      </c>
      <c r="AG63" s="30">
        <f t="shared" si="0"/>
        <v>473</v>
      </c>
      <c r="AH63" s="147">
        <v>1489.5</v>
      </c>
      <c r="AI63" s="30">
        <v>283.005</v>
      </c>
      <c r="AJ63" s="30">
        <v>1772.5050000000001</v>
      </c>
    </row>
    <row r="64" spans="1:36" ht="33" x14ac:dyDescent="0.3">
      <c r="A64" s="22">
        <v>62</v>
      </c>
      <c r="B64" s="24">
        <v>1121090911</v>
      </c>
      <c r="C64" s="24" t="s">
        <v>20</v>
      </c>
      <c r="D64" s="117" t="s">
        <v>519</v>
      </c>
      <c r="E64" s="26" t="s">
        <v>22</v>
      </c>
      <c r="F64" s="114" t="s">
        <v>519</v>
      </c>
      <c r="G64" s="26" t="e">
        <v>#N/A</v>
      </c>
      <c r="H64" s="26" t="e">
        <v>#N/A</v>
      </c>
      <c r="I64" s="26" t="s">
        <v>20</v>
      </c>
      <c r="J64" s="70">
        <v>1</v>
      </c>
      <c r="K64" s="71">
        <v>0</v>
      </c>
      <c r="L64" s="71">
        <v>0</v>
      </c>
      <c r="M64" s="71">
        <v>0</v>
      </c>
      <c r="N64" s="71">
        <v>0</v>
      </c>
      <c r="O64" s="71">
        <v>0</v>
      </c>
      <c r="P64" s="71">
        <v>0</v>
      </c>
      <c r="Q64" s="71">
        <v>0</v>
      </c>
      <c r="R64" s="71">
        <v>0</v>
      </c>
      <c r="S64" s="134"/>
      <c r="T64" s="134" t="s">
        <v>176</v>
      </c>
      <c r="U64" s="134" t="s">
        <v>176</v>
      </c>
      <c r="V64" s="30" t="s">
        <v>25</v>
      </c>
      <c r="W64" s="58" t="s">
        <v>25</v>
      </c>
      <c r="X64" s="30" t="s">
        <v>25</v>
      </c>
      <c r="Y64" s="30" t="s">
        <v>25</v>
      </c>
      <c r="Z64" s="29" t="s">
        <v>454</v>
      </c>
      <c r="AA64" s="30" t="s">
        <v>25</v>
      </c>
      <c r="AB64" s="30">
        <v>794</v>
      </c>
      <c r="AC64" s="29" t="s">
        <v>24</v>
      </c>
      <c r="AD64" s="29" t="s">
        <v>24</v>
      </c>
      <c r="AE64" s="22" t="s">
        <v>176</v>
      </c>
      <c r="AG64" s="30">
        <f t="shared" si="0"/>
        <v>794</v>
      </c>
      <c r="AH64" s="147">
        <v>794</v>
      </c>
      <c r="AI64" s="30">
        <v>150.86000000000001</v>
      </c>
      <c r="AJ64" s="30">
        <v>944.86</v>
      </c>
    </row>
    <row r="65" spans="1:36" x14ac:dyDescent="0.3">
      <c r="A65" s="22">
        <v>63</v>
      </c>
      <c r="B65" s="24">
        <v>1121090914</v>
      </c>
      <c r="C65" s="24" t="s">
        <v>20</v>
      </c>
      <c r="D65" s="117" t="s">
        <v>520</v>
      </c>
      <c r="E65" s="26" t="s">
        <v>22</v>
      </c>
      <c r="F65" s="114" t="s">
        <v>520</v>
      </c>
      <c r="G65" s="26" t="e">
        <v>#N/A</v>
      </c>
      <c r="H65" s="26" t="e">
        <v>#N/A</v>
      </c>
      <c r="I65" s="26" t="s">
        <v>20</v>
      </c>
      <c r="J65" s="70">
        <v>1</v>
      </c>
      <c r="K65" s="71">
        <v>0</v>
      </c>
      <c r="L65" s="71">
        <v>0</v>
      </c>
      <c r="M65" s="71">
        <v>0</v>
      </c>
      <c r="N65" s="71">
        <v>0</v>
      </c>
      <c r="O65" s="71">
        <v>0</v>
      </c>
      <c r="P65" s="71">
        <v>0</v>
      </c>
      <c r="Q65" s="71">
        <v>0</v>
      </c>
      <c r="R65" s="71">
        <v>0</v>
      </c>
      <c r="S65" s="134"/>
      <c r="T65" s="134" t="s">
        <v>176</v>
      </c>
      <c r="U65" s="134" t="s">
        <v>176</v>
      </c>
      <c r="V65" s="30" t="s">
        <v>25</v>
      </c>
      <c r="W65" s="58" t="s">
        <v>25</v>
      </c>
      <c r="X65" s="30">
        <v>1513</v>
      </c>
      <c r="Y65" s="30">
        <v>700</v>
      </c>
      <c r="Z65" s="29" t="s">
        <v>454</v>
      </c>
      <c r="AA65" s="30" t="s">
        <v>25</v>
      </c>
      <c r="AB65" s="30" t="s">
        <v>25</v>
      </c>
      <c r="AC65" s="29" t="s">
        <v>24</v>
      </c>
      <c r="AD65" s="29">
        <v>897</v>
      </c>
      <c r="AE65" s="22" t="s">
        <v>176</v>
      </c>
      <c r="AG65" s="30">
        <f t="shared" si="0"/>
        <v>700</v>
      </c>
      <c r="AH65" s="147">
        <v>1036.6666666666667</v>
      </c>
      <c r="AI65" s="30">
        <v>196.96666666666667</v>
      </c>
      <c r="AJ65" s="30">
        <v>1233.6333333333334</v>
      </c>
    </row>
    <row r="66" spans="1:36" ht="33" x14ac:dyDescent="0.3">
      <c r="A66" s="22">
        <v>64</v>
      </c>
      <c r="B66" s="24">
        <v>1121090915</v>
      </c>
      <c r="C66" s="24" t="s">
        <v>20</v>
      </c>
      <c r="D66" s="117" t="s">
        <v>521</v>
      </c>
      <c r="E66" s="26" t="s">
        <v>22</v>
      </c>
      <c r="F66" s="114" t="s">
        <v>521</v>
      </c>
      <c r="G66" s="26" t="e">
        <v>#N/A</v>
      </c>
      <c r="H66" s="26" t="e">
        <v>#N/A</v>
      </c>
      <c r="I66" s="26" t="s">
        <v>20</v>
      </c>
      <c r="J66" s="70">
        <v>4760</v>
      </c>
      <c r="K66" s="71">
        <v>0</v>
      </c>
      <c r="L66" s="71">
        <v>0</v>
      </c>
      <c r="M66" s="71">
        <v>0</v>
      </c>
      <c r="N66" s="71">
        <v>0</v>
      </c>
      <c r="O66" s="71">
        <v>0</v>
      </c>
      <c r="P66" s="71">
        <v>0</v>
      </c>
      <c r="Q66" s="71">
        <v>0</v>
      </c>
      <c r="R66" s="71">
        <v>0</v>
      </c>
      <c r="S66" s="134"/>
      <c r="T66" s="134" t="s">
        <v>176</v>
      </c>
      <c r="U66" s="134" t="s">
        <v>176</v>
      </c>
      <c r="V66" s="30" t="s">
        <v>25</v>
      </c>
      <c r="W66" s="58" t="s">
        <v>25</v>
      </c>
      <c r="X66" s="30">
        <v>334</v>
      </c>
      <c r="Y66" s="30">
        <v>800</v>
      </c>
      <c r="Z66" s="29" t="s">
        <v>454</v>
      </c>
      <c r="AA66" s="30" t="s">
        <v>25</v>
      </c>
      <c r="AB66" s="30" t="s">
        <v>25</v>
      </c>
      <c r="AC66" s="29" t="s">
        <v>24</v>
      </c>
      <c r="AD66" s="29" t="s">
        <v>24</v>
      </c>
      <c r="AE66" s="22" t="s">
        <v>176</v>
      </c>
      <c r="AG66" s="30">
        <f t="shared" si="0"/>
        <v>334</v>
      </c>
      <c r="AH66" s="147">
        <v>567</v>
      </c>
      <c r="AI66" s="30">
        <v>107.73</v>
      </c>
      <c r="AJ66" s="30">
        <v>674.73</v>
      </c>
    </row>
    <row r="67" spans="1:36" ht="33" x14ac:dyDescent="0.3">
      <c r="A67" s="22">
        <v>65</v>
      </c>
      <c r="B67" s="24">
        <v>1048017710</v>
      </c>
      <c r="C67" s="24" t="s">
        <v>20</v>
      </c>
      <c r="D67" s="117" t="s">
        <v>522</v>
      </c>
      <c r="E67" s="26" t="s">
        <v>22</v>
      </c>
      <c r="F67" s="114" t="s">
        <v>522</v>
      </c>
      <c r="G67" s="26" t="e">
        <v>#N/A</v>
      </c>
      <c r="H67" s="26" t="e">
        <v>#N/A</v>
      </c>
      <c r="I67" s="26" t="s">
        <v>20</v>
      </c>
      <c r="J67" s="70">
        <v>4262.6000000000004</v>
      </c>
      <c r="K67" s="71">
        <v>0</v>
      </c>
      <c r="L67" s="71">
        <v>17</v>
      </c>
      <c r="M67" s="71">
        <v>97</v>
      </c>
      <c r="N67" s="71">
        <v>8.0833333333333339</v>
      </c>
      <c r="O67" s="71">
        <v>0</v>
      </c>
      <c r="P67" s="71">
        <v>0</v>
      </c>
      <c r="Q67" s="71">
        <v>0</v>
      </c>
      <c r="R67" s="71">
        <v>10</v>
      </c>
      <c r="S67" s="134"/>
      <c r="T67" s="134" t="s">
        <v>176</v>
      </c>
      <c r="U67" s="134" t="s">
        <v>176</v>
      </c>
      <c r="V67" s="30" t="s">
        <v>25</v>
      </c>
      <c r="W67" s="58" t="s">
        <v>25</v>
      </c>
      <c r="X67" s="30" t="s">
        <v>25</v>
      </c>
      <c r="Y67" s="30" t="s">
        <v>25</v>
      </c>
      <c r="Z67" s="29" t="s">
        <v>454</v>
      </c>
      <c r="AA67" s="30" t="s">
        <v>25</v>
      </c>
      <c r="AB67" s="30">
        <v>907</v>
      </c>
      <c r="AC67" s="29" t="s">
        <v>24</v>
      </c>
      <c r="AD67" s="29" t="s">
        <v>24</v>
      </c>
      <c r="AE67" s="22" t="s">
        <v>176</v>
      </c>
      <c r="AG67" s="30">
        <f t="shared" si="0"/>
        <v>907</v>
      </c>
      <c r="AH67" s="147">
        <v>907</v>
      </c>
      <c r="AI67" s="30">
        <v>172.33</v>
      </c>
      <c r="AJ67" s="30">
        <v>1079.33</v>
      </c>
    </row>
    <row r="68" spans="1:36" ht="33" x14ac:dyDescent="0.3">
      <c r="A68" s="22">
        <v>66</v>
      </c>
      <c r="B68" s="24">
        <v>1128077157</v>
      </c>
      <c r="C68" s="24" t="s">
        <v>20</v>
      </c>
      <c r="D68" s="117" t="s">
        <v>523</v>
      </c>
      <c r="E68" s="26" t="s">
        <v>22</v>
      </c>
      <c r="F68" s="114" t="s">
        <v>523</v>
      </c>
      <c r="G68" s="26" t="e">
        <v>#N/A</v>
      </c>
      <c r="H68" s="26" t="e">
        <v>#N/A</v>
      </c>
      <c r="I68" s="26" t="s">
        <v>20</v>
      </c>
      <c r="J68" s="70">
        <v>1</v>
      </c>
      <c r="K68" s="71">
        <v>0</v>
      </c>
      <c r="L68" s="71">
        <v>0</v>
      </c>
      <c r="M68" s="71">
        <v>0</v>
      </c>
      <c r="N68" s="71">
        <v>0</v>
      </c>
      <c r="O68" s="71">
        <v>0</v>
      </c>
      <c r="P68" s="71">
        <v>0</v>
      </c>
      <c r="Q68" s="71">
        <v>0</v>
      </c>
      <c r="R68" s="71">
        <v>0</v>
      </c>
      <c r="S68" s="134"/>
      <c r="T68" s="134" t="s">
        <v>176</v>
      </c>
      <c r="U68" s="134" t="s">
        <v>176</v>
      </c>
      <c r="V68" s="30" t="s">
        <v>25</v>
      </c>
      <c r="W68" s="58" t="s">
        <v>25</v>
      </c>
      <c r="X68" s="30">
        <v>2281</v>
      </c>
      <c r="Y68" s="30" t="s">
        <v>25</v>
      </c>
      <c r="Z68" s="29" t="s">
        <v>454</v>
      </c>
      <c r="AA68" s="30" t="s">
        <v>25</v>
      </c>
      <c r="AB68" s="30" t="s">
        <v>25</v>
      </c>
      <c r="AC68" s="29" t="s">
        <v>24</v>
      </c>
      <c r="AD68" s="29" t="s">
        <v>24</v>
      </c>
      <c r="AE68" s="22" t="s">
        <v>176</v>
      </c>
      <c r="AG68" s="30">
        <f t="shared" ref="AG68:AG98" si="1">MIN(T68:AE68)</f>
        <v>2281</v>
      </c>
      <c r="AH68" s="147">
        <v>2281</v>
      </c>
      <c r="AI68" s="30">
        <v>433.39</v>
      </c>
      <c r="AJ68" s="30">
        <v>2714.39</v>
      </c>
    </row>
    <row r="69" spans="1:36" ht="33" x14ac:dyDescent="0.3">
      <c r="A69" s="22">
        <v>67</v>
      </c>
      <c r="B69" s="24">
        <v>1043205660</v>
      </c>
      <c r="C69" s="24" t="s">
        <v>20</v>
      </c>
      <c r="D69" s="117" t="s">
        <v>524</v>
      </c>
      <c r="E69" s="26" t="s">
        <v>22</v>
      </c>
      <c r="F69" s="114" t="s">
        <v>524</v>
      </c>
      <c r="G69" s="26" t="e">
        <v>#N/A</v>
      </c>
      <c r="H69" s="26" t="e">
        <v>#N/A</v>
      </c>
      <c r="I69" s="26" t="s">
        <v>20</v>
      </c>
      <c r="J69" s="70">
        <v>4294</v>
      </c>
      <c r="K69" s="71">
        <v>0</v>
      </c>
      <c r="L69" s="71">
        <v>0</v>
      </c>
      <c r="M69" s="71">
        <v>0</v>
      </c>
      <c r="N69" s="71">
        <v>0</v>
      </c>
      <c r="O69" s="71">
        <v>5</v>
      </c>
      <c r="P69" s="71">
        <v>0.41666666666666669</v>
      </c>
      <c r="Q69" s="71">
        <v>0</v>
      </c>
      <c r="R69" s="71">
        <v>0</v>
      </c>
      <c r="S69" s="134"/>
      <c r="T69" s="134" t="s">
        <v>176</v>
      </c>
      <c r="U69" s="134" t="s">
        <v>176</v>
      </c>
      <c r="V69" s="30" t="s">
        <v>25</v>
      </c>
      <c r="W69" s="58" t="s">
        <v>25</v>
      </c>
      <c r="X69" s="30" t="s">
        <v>25</v>
      </c>
      <c r="Y69" s="30" t="s">
        <v>25</v>
      </c>
      <c r="Z69" s="29" t="s">
        <v>454</v>
      </c>
      <c r="AA69" s="30" t="s">
        <v>25</v>
      </c>
      <c r="AB69" s="30" t="s">
        <v>25</v>
      </c>
      <c r="AC69" s="29">
        <v>9620</v>
      </c>
      <c r="AD69" s="29" t="s">
        <v>24</v>
      </c>
      <c r="AE69" s="22" t="s">
        <v>176</v>
      </c>
      <c r="AG69" s="30">
        <f t="shared" si="1"/>
        <v>9620</v>
      </c>
      <c r="AH69" s="147">
        <v>9620</v>
      </c>
      <c r="AI69" s="30">
        <v>1827.8</v>
      </c>
      <c r="AJ69" s="30">
        <v>11447.8</v>
      </c>
    </row>
    <row r="70" spans="1:36" ht="33" x14ac:dyDescent="0.3">
      <c r="A70" s="22">
        <v>68</v>
      </c>
      <c r="B70" s="24">
        <v>1043205664</v>
      </c>
      <c r="C70" s="24" t="s">
        <v>20</v>
      </c>
      <c r="D70" s="117" t="s">
        <v>525</v>
      </c>
      <c r="E70" s="26" t="s">
        <v>22</v>
      </c>
      <c r="F70" s="114" t="s">
        <v>525</v>
      </c>
      <c r="G70" s="26" t="e">
        <v>#N/A</v>
      </c>
      <c r="H70" s="26" t="e">
        <v>#N/A</v>
      </c>
      <c r="I70" s="26" t="s">
        <v>20</v>
      </c>
      <c r="J70" s="70">
        <v>1</v>
      </c>
      <c r="K70" s="71">
        <v>0</v>
      </c>
      <c r="L70" s="71">
        <v>0</v>
      </c>
      <c r="M70" s="71">
        <v>0</v>
      </c>
      <c r="N70" s="71">
        <v>0</v>
      </c>
      <c r="O70" s="71">
        <v>0</v>
      </c>
      <c r="P70" s="71">
        <v>0</v>
      </c>
      <c r="Q70" s="71">
        <v>0</v>
      </c>
      <c r="R70" s="71">
        <v>0</v>
      </c>
      <c r="S70" s="134"/>
      <c r="T70" s="134" t="s">
        <v>176</v>
      </c>
      <c r="U70" s="134" t="s">
        <v>176</v>
      </c>
      <c r="V70" s="30" t="s">
        <v>25</v>
      </c>
      <c r="W70" s="58" t="s">
        <v>25</v>
      </c>
      <c r="X70" s="30" t="s">
        <v>25</v>
      </c>
      <c r="Y70" s="30" t="s">
        <v>25</v>
      </c>
      <c r="Z70" s="29" t="s">
        <v>454</v>
      </c>
      <c r="AA70" s="30" t="s">
        <v>25</v>
      </c>
      <c r="AB70" s="30">
        <v>7714</v>
      </c>
      <c r="AC70" s="29" t="s">
        <v>24</v>
      </c>
      <c r="AD70" s="29" t="s">
        <v>455</v>
      </c>
      <c r="AE70" s="22" t="s">
        <v>176</v>
      </c>
      <c r="AG70" s="30">
        <f t="shared" si="1"/>
        <v>7714</v>
      </c>
      <c r="AH70" s="147">
        <v>7714</v>
      </c>
      <c r="AI70" s="30">
        <v>1465.66</v>
      </c>
      <c r="AJ70" s="30">
        <v>9179.66</v>
      </c>
    </row>
    <row r="71" spans="1:36" ht="33" x14ac:dyDescent="0.3">
      <c r="A71" s="22">
        <v>69</v>
      </c>
      <c r="B71" s="24">
        <v>1043205666</v>
      </c>
      <c r="C71" s="24" t="s">
        <v>20</v>
      </c>
      <c r="D71" s="117" t="s">
        <v>526</v>
      </c>
      <c r="E71" s="26" t="s">
        <v>22</v>
      </c>
      <c r="F71" s="114" t="s">
        <v>526</v>
      </c>
      <c r="G71" s="26" t="e">
        <v>#N/A</v>
      </c>
      <c r="H71" s="26" t="e">
        <v>#N/A</v>
      </c>
      <c r="I71" s="26" t="s">
        <v>20</v>
      </c>
      <c r="J71" s="70">
        <v>1</v>
      </c>
      <c r="K71" s="71">
        <v>0</v>
      </c>
      <c r="L71" s="71">
        <v>0</v>
      </c>
      <c r="M71" s="71">
        <v>0</v>
      </c>
      <c r="N71" s="71">
        <v>0</v>
      </c>
      <c r="O71" s="71">
        <v>0</v>
      </c>
      <c r="P71" s="71">
        <v>0</v>
      </c>
      <c r="Q71" s="71">
        <v>0</v>
      </c>
      <c r="R71" s="71">
        <v>0</v>
      </c>
      <c r="S71" s="134"/>
      <c r="T71" s="134" t="s">
        <v>176</v>
      </c>
      <c r="U71" s="134" t="s">
        <v>176</v>
      </c>
      <c r="V71" s="30" t="s">
        <v>25</v>
      </c>
      <c r="W71" s="58" t="s">
        <v>25</v>
      </c>
      <c r="X71" s="30" t="s">
        <v>25</v>
      </c>
      <c r="Y71" s="30" t="s">
        <v>25</v>
      </c>
      <c r="Z71" s="29" t="s">
        <v>454</v>
      </c>
      <c r="AA71" s="30" t="s">
        <v>25</v>
      </c>
      <c r="AB71" s="30">
        <v>9075</v>
      </c>
      <c r="AC71" s="29" t="s">
        <v>24</v>
      </c>
      <c r="AD71" s="29" t="s">
        <v>455</v>
      </c>
      <c r="AE71" s="22" t="s">
        <v>176</v>
      </c>
      <c r="AG71" s="30">
        <f t="shared" si="1"/>
        <v>9075</v>
      </c>
      <c r="AH71" s="147">
        <v>9075</v>
      </c>
      <c r="AI71" s="30">
        <v>1724.25</v>
      </c>
      <c r="AJ71" s="30">
        <v>10799.25</v>
      </c>
    </row>
    <row r="72" spans="1:36" ht="33" x14ac:dyDescent="0.3">
      <c r="A72" s="22">
        <v>70</v>
      </c>
      <c r="B72" s="24">
        <v>1043205875</v>
      </c>
      <c r="C72" s="24" t="s">
        <v>20</v>
      </c>
      <c r="D72" s="117" t="s">
        <v>527</v>
      </c>
      <c r="E72" s="26" t="s">
        <v>22</v>
      </c>
      <c r="F72" s="114" t="s">
        <v>527</v>
      </c>
      <c r="G72" s="26" t="e">
        <v>#N/A</v>
      </c>
      <c r="H72" s="26" t="e">
        <v>#N/A</v>
      </c>
      <c r="I72" s="26" t="s">
        <v>20</v>
      </c>
      <c r="J72" s="70">
        <v>1</v>
      </c>
      <c r="K72" s="71">
        <v>0</v>
      </c>
      <c r="L72" s="71">
        <v>0</v>
      </c>
      <c r="M72" s="71">
        <v>0</v>
      </c>
      <c r="N72" s="71">
        <v>0</v>
      </c>
      <c r="O72" s="71">
        <v>0</v>
      </c>
      <c r="P72" s="71">
        <v>0</v>
      </c>
      <c r="Q72" s="71">
        <v>0</v>
      </c>
      <c r="R72" s="71">
        <v>0</v>
      </c>
      <c r="S72" s="134"/>
      <c r="T72" s="134" t="s">
        <v>176</v>
      </c>
      <c r="U72" s="134" t="s">
        <v>176</v>
      </c>
      <c r="V72" s="30" t="s">
        <v>25</v>
      </c>
      <c r="W72" s="58" t="s">
        <v>25</v>
      </c>
      <c r="X72" s="30" t="s">
        <v>25</v>
      </c>
      <c r="Y72" s="30" t="s">
        <v>25</v>
      </c>
      <c r="Z72" s="29" t="s">
        <v>454</v>
      </c>
      <c r="AA72" s="30" t="s">
        <v>25</v>
      </c>
      <c r="AB72" s="30">
        <v>33465</v>
      </c>
      <c r="AC72" s="29" t="s">
        <v>24</v>
      </c>
      <c r="AD72" s="29" t="s">
        <v>455</v>
      </c>
      <c r="AE72" s="22" t="s">
        <v>176</v>
      </c>
      <c r="AG72" s="30">
        <f t="shared" si="1"/>
        <v>33465</v>
      </c>
      <c r="AH72" s="147">
        <v>33465</v>
      </c>
      <c r="AI72" s="30">
        <v>6358.35</v>
      </c>
      <c r="AJ72" s="30">
        <v>39823.35</v>
      </c>
    </row>
    <row r="73" spans="1:36" ht="33" x14ac:dyDescent="0.3">
      <c r="A73" s="22">
        <v>71</v>
      </c>
      <c r="B73" s="24">
        <v>1104010061</v>
      </c>
      <c r="C73" s="24" t="s">
        <v>20</v>
      </c>
      <c r="D73" s="117" t="s">
        <v>528</v>
      </c>
      <c r="E73" s="26" t="s">
        <v>66</v>
      </c>
      <c r="F73" s="114" t="s">
        <v>528</v>
      </c>
      <c r="G73" s="26" t="e">
        <v>#N/A</v>
      </c>
      <c r="H73" s="26" t="e">
        <v>#N/A</v>
      </c>
      <c r="I73" s="26" t="s">
        <v>20</v>
      </c>
      <c r="J73" s="70">
        <v>12706.8</v>
      </c>
      <c r="K73" s="71">
        <v>0</v>
      </c>
      <c r="L73" s="71">
        <v>99</v>
      </c>
      <c r="M73" s="71">
        <v>132</v>
      </c>
      <c r="N73" s="71">
        <v>11</v>
      </c>
      <c r="O73" s="71">
        <v>0</v>
      </c>
      <c r="P73" s="71">
        <v>0</v>
      </c>
      <c r="Q73" s="71">
        <v>0</v>
      </c>
      <c r="R73" s="71">
        <v>0</v>
      </c>
      <c r="S73" s="134"/>
      <c r="T73" s="134" t="s">
        <v>176</v>
      </c>
      <c r="U73" s="134" t="s">
        <v>176</v>
      </c>
      <c r="V73" s="30" t="s">
        <v>25</v>
      </c>
      <c r="W73" s="58">
        <v>18200</v>
      </c>
      <c r="X73" s="30">
        <v>14956</v>
      </c>
      <c r="Y73" s="30" t="s">
        <v>25</v>
      </c>
      <c r="Z73" s="29">
        <v>18200</v>
      </c>
      <c r="AA73" s="30">
        <v>13773</v>
      </c>
      <c r="AB73" s="30" t="s">
        <v>25</v>
      </c>
      <c r="AC73" s="29">
        <v>11587</v>
      </c>
      <c r="AD73" s="29" t="s">
        <v>24</v>
      </c>
      <c r="AE73" s="22" t="s">
        <v>176</v>
      </c>
      <c r="AG73" s="30">
        <f t="shared" si="1"/>
        <v>11587</v>
      </c>
      <c r="AH73" s="147">
        <v>15343.2</v>
      </c>
      <c r="AI73" s="30">
        <v>2915.2080000000001</v>
      </c>
      <c r="AJ73" s="30">
        <v>18258.407999999999</v>
      </c>
    </row>
    <row r="74" spans="1:36" ht="33" x14ac:dyDescent="0.3">
      <c r="A74" s="22">
        <v>72</v>
      </c>
      <c r="B74" s="24">
        <v>1043289135</v>
      </c>
      <c r="C74" s="24" t="s">
        <v>20</v>
      </c>
      <c r="D74" s="117" t="s">
        <v>529</v>
      </c>
      <c r="E74" s="26" t="s">
        <v>22</v>
      </c>
      <c r="F74" s="114" t="s">
        <v>529</v>
      </c>
      <c r="G74" s="26" t="e">
        <v>#N/A</v>
      </c>
      <c r="H74" s="26" t="e">
        <v>#N/A</v>
      </c>
      <c r="I74" s="26" t="s">
        <v>20</v>
      </c>
      <c r="J74" s="70">
        <v>1</v>
      </c>
      <c r="K74" s="71">
        <v>0</v>
      </c>
      <c r="L74" s="71">
        <v>0</v>
      </c>
      <c r="M74" s="71">
        <v>0</v>
      </c>
      <c r="N74" s="71">
        <v>0</v>
      </c>
      <c r="O74" s="71">
        <v>0</v>
      </c>
      <c r="P74" s="71">
        <v>0</v>
      </c>
      <c r="Q74" s="71">
        <v>0</v>
      </c>
      <c r="R74" s="71">
        <v>0</v>
      </c>
      <c r="S74" s="134"/>
      <c r="T74" s="134" t="s">
        <v>176</v>
      </c>
      <c r="U74" s="134" t="s">
        <v>176</v>
      </c>
      <c r="V74" s="30">
        <v>3739</v>
      </c>
      <c r="W74" s="58" t="s">
        <v>25</v>
      </c>
      <c r="X74" s="30">
        <v>832</v>
      </c>
      <c r="Y74" s="30" t="s">
        <v>25</v>
      </c>
      <c r="Z74" s="29" t="s">
        <v>454</v>
      </c>
      <c r="AA74" s="30">
        <v>809</v>
      </c>
      <c r="AB74" s="30" t="s">
        <v>25</v>
      </c>
      <c r="AC74" s="29" t="s">
        <v>24</v>
      </c>
      <c r="AD74" s="29">
        <v>1866</v>
      </c>
      <c r="AE74" s="22" t="s">
        <v>176</v>
      </c>
      <c r="AG74" s="30">
        <f t="shared" si="1"/>
        <v>809</v>
      </c>
      <c r="AH74" s="147">
        <v>1811.5</v>
      </c>
      <c r="AI74" s="30">
        <v>344.185</v>
      </c>
      <c r="AJ74" s="30">
        <v>2155.6849999999999</v>
      </c>
    </row>
    <row r="75" spans="1:36" ht="33" x14ac:dyDescent="0.3">
      <c r="A75" s="22">
        <v>73</v>
      </c>
      <c r="B75" s="24">
        <v>1043289136</v>
      </c>
      <c r="C75" s="24" t="s">
        <v>20</v>
      </c>
      <c r="D75" s="117" t="s">
        <v>530</v>
      </c>
      <c r="E75" s="26" t="s">
        <v>22</v>
      </c>
      <c r="F75" s="114" t="s">
        <v>530</v>
      </c>
      <c r="G75" s="26" t="e">
        <v>#N/A</v>
      </c>
      <c r="H75" s="26" t="e">
        <v>#N/A</v>
      </c>
      <c r="I75" s="26" t="s">
        <v>20</v>
      </c>
      <c r="J75" s="70">
        <v>1</v>
      </c>
      <c r="K75" s="71">
        <v>0</v>
      </c>
      <c r="L75" s="71">
        <v>0</v>
      </c>
      <c r="M75" s="71">
        <v>0</v>
      </c>
      <c r="N75" s="71">
        <v>0</v>
      </c>
      <c r="O75" s="71">
        <v>0</v>
      </c>
      <c r="P75" s="71">
        <v>0</v>
      </c>
      <c r="Q75" s="71">
        <v>0</v>
      </c>
      <c r="R75" s="71">
        <v>0</v>
      </c>
      <c r="S75" s="134"/>
      <c r="T75" s="134" t="s">
        <v>176</v>
      </c>
      <c r="U75" s="134" t="s">
        <v>176</v>
      </c>
      <c r="V75" s="30">
        <v>1236</v>
      </c>
      <c r="W75" s="58" t="s">
        <v>25</v>
      </c>
      <c r="X75" s="30">
        <v>358</v>
      </c>
      <c r="Y75" s="30" t="s">
        <v>25</v>
      </c>
      <c r="Z75" s="29" t="s">
        <v>454</v>
      </c>
      <c r="AA75" s="30">
        <v>338</v>
      </c>
      <c r="AB75" s="30" t="s">
        <v>25</v>
      </c>
      <c r="AC75" s="29" t="s">
        <v>24</v>
      </c>
      <c r="AD75" s="29">
        <v>829</v>
      </c>
      <c r="AE75" s="22" t="s">
        <v>176</v>
      </c>
      <c r="AG75" s="30">
        <f t="shared" si="1"/>
        <v>338</v>
      </c>
      <c r="AH75" s="147">
        <v>690.25</v>
      </c>
      <c r="AI75" s="30">
        <v>131.14750000000001</v>
      </c>
      <c r="AJ75" s="30">
        <v>821.39750000000004</v>
      </c>
    </row>
    <row r="76" spans="1:36" ht="33" x14ac:dyDescent="0.3">
      <c r="A76" s="22">
        <v>74</v>
      </c>
      <c r="B76" s="24">
        <v>1043289138</v>
      </c>
      <c r="C76" s="24" t="s">
        <v>20</v>
      </c>
      <c r="D76" s="117" t="s">
        <v>531</v>
      </c>
      <c r="E76" s="26" t="s">
        <v>22</v>
      </c>
      <c r="F76" s="114" t="s">
        <v>531</v>
      </c>
      <c r="G76" s="26" t="e">
        <v>#N/A</v>
      </c>
      <c r="H76" s="26" t="e">
        <v>#N/A</v>
      </c>
      <c r="I76" s="26" t="s">
        <v>20</v>
      </c>
      <c r="J76" s="70">
        <v>1</v>
      </c>
      <c r="K76" s="71">
        <v>0</v>
      </c>
      <c r="L76" s="71">
        <v>0</v>
      </c>
      <c r="M76" s="71">
        <v>0</v>
      </c>
      <c r="N76" s="71">
        <v>0</v>
      </c>
      <c r="O76" s="71">
        <v>0</v>
      </c>
      <c r="P76" s="71">
        <v>0</v>
      </c>
      <c r="Q76" s="71">
        <v>0</v>
      </c>
      <c r="R76" s="71">
        <v>0</v>
      </c>
      <c r="S76" s="134"/>
      <c r="T76" s="134" t="s">
        <v>176</v>
      </c>
      <c r="U76" s="134" t="s">
        <v>176</v>
      </c>
      <c r="V76" s="30">
        <v>17590</v>
      </c>
      <c r="W76" s="58" t="s">
        <v>25</v>
      </c>
      <c r="X76" s="30">
        <v>3142</v>
      </c>
      <c r="Y76" s="30" t="s">
        <v>25</v>
      </c>
      <c r="Z76" s="29" t="s">
        <v>454</v>
      </c>
      <c r="AA76" s="30" t="s">
        <v>25</v>
      </c>
      <c r="AB76" s="30" t="s">
        <v>25</v>
      </c>
      <c r="AC76" s="29" t="s">
        <v>24</v>
      </c>
      <c r="AD76" s="29" t="s">
        <v>455</v>
      </c>
      <c r="AE76" s="22" t="s">
        <v>176</v>
      </c>
      <c r="AG76" s="30">
        <f t="shared" si="1"/>
        <v>3142</v>
      </c>
      <c r="AH76" s="147">
        <v>10366</v>
      </c>
      <c r="AI76" s="30">
        <v>1969.54</v>
      </c>
      <c r="AJ76" s="30">
        <v>12335.54</v>
      </c>
    </row>
    <row r="77" spans="1:36" ht="33" x14ac:dyDescent="0.3">
      <c r="A77" s="22">
        <v>75</v>
      </c>
      <c r="B77" s="24">
        <v>1128044681</v>
      </c>
      <c r="C77" s="24" t="s">
        <v>20</v>
      </c>
      <c r="D77" s="117" t="s">
        <v>532</v>
      </c>
      <c r="E77" s="26" t="s">
        <v>22</v>
      </c>
      <c r="F77" s="114" t="s">
        <v>532</v>
      </c>
      <c r="G77" s="26" t="e">
        <v>#N/A</v>
      </c>
      <c r="H77" s="26" t="e">
        <v>#N/A</v>
      </c>
      <c r="I77" s="26" t="s">
        <v>20</v>
      </c>
      <c r="J77" s="70">
        <v>14601.99</v>
      </c>
      <c r="K77" s="71">
        <v>0</v>
      </c>
      <c r="L77" s="71">
        <v>0</v>
      </c>
      <c r="M77" s="71">
        <v>0</v>
      </c>
      <c r="N77" s="71">
        <v>0</v>
      </c>
      <c r="O77" s="71">
        <v>15</v>
      </c>
      <c r="P77" s="71">
        <v>1.25</v>
      </c>
      <c r="Q77" s="71">
        <v>0</v>
      </c>
      <c r="R77" s="71">
        <v>25</v>
      </c>
      <c r="S77" s="134"/>
      <c r="T77" s="134" t="s">
        <v>176</v>
      </c>
      <c r="U77" s="134" t="s">
        <v>176</v>
      </c>
      <c r="V77" s="30" t="s">
        <v>25</v>
      </c>
      <c r="W77" s="58" t="s">
        <v>25</v>
      </c>
      <c r="X77" s="30" t="s">
        <v>25</v>
      </c>
      <c r="Y77" s="30" t="s">
        <v>25</v>
      </c>
      <c r="Z77" s="29" t="s">
        <v>454</v>
      </c>
      <c r="AA77" s="30" t="s">
        <v>25</v>
      </c>
      <c r="AB77" s="30" t="s">
        <v>25</v>
      </c>
      <c r="AC77" s="29">
        <v>6751</v>
      </c>
      <c r="AD77" s="29" t="s">
        <v>24</v>
      </c>
      <c r="AE77" s="22" t="s">
        <v>176</v>
      </c>
      <c r="AG77" s="30">
        <f t="shared" si="1"/>
        <v>6751</v>
      </c>
      <c r="AH77" s="147">
        <v>6751</v>
      </c>
      <c r="AI77" s="30">
        <v>1282.69</v>
      </c>
      <c r="AJ77" s="30">
        <v>8033.6900000000005</v>
      </c>
    </row>
    <row r="78" spans="1:36" ht="33" x14ac:dyDescent="0.3">
      <c r="A78" s="22">
        <v>76</v>
      </c>
      <c r="B78" s="24">
        <v>1128044682</v>
      </c>
      <c r="C78" s="24" t="s">
        <v>20</v>
      </c>
      <c r="D78" s="117" t="s">
        <v>533</v>
      </c>
      <c r="E78" s="26" t="s">
        <v>22</v>
      </c>
      <c r="F78" s="114" t="s">
        <v>533</v>
      </c>
      <c r="G78" s="26" t="e">
        <v>#N/A</v>
      </c>
      <c r="H78" s="26" t="e">
        <v>#N/A</v>
      </c>
      <c r="I78" s="26" t="s">
        <v>20</v>
      </c>
      <c r="J78" s="70">
        <v>8026.98</v>
      </c>
      <c r="K78" s="71">
        <v>0</v>
      </c>
      <c r="L78" s="71">
        <v>0</v>
      </c>
      <c r="M78" s="71">
        <v>0</v>
      </c>
      <c r="N78" s="71">
        <v>0</v>
      </c>
      <c r="O78" s="71">
        <v>40</v>
      </c>
      <c r="P78" s="71">
        <v>3.3333333333333335</v>
      </c>
      <c r="Q78" s="71">
        <v>0</v>
      </c>
      <c r="R78" s="71">
        <v>0</v>
      </c>
      <c r="S78" s="134"/>
      <c r="T78" s="134" t="s">
        <v>176</v>
      </c>
      <c r="U78" s="134" t="s">
        <v>176</v>
      </c>
      <c r="V78" s="30" t="s">
        <v>25</v>
      </c>
      <c r="W78" s="58" t="s">
        <v>25</v>
      </c>
      <c r="X78" s="30" t="s">
        <v>25</v>
      </c>
      <c r="Y78" s="30" t="s">
        <v>25</v>
      </c>
      <c r="Z78" s="29" t="s">
        <v>454</v>
      </c>
      <c r="AA78" s="30" t="s">
        <v>25</v>
      </c>
      <c r="AB78" s="30" t="s">
        <v>25</v>
      </c>
      <c r="AC78" s="29">
        <v>6471</v>
      </c>
      <c r="AD78" s="29">
        <v>6221</v>
      </c>
      <c r="AE78" s="22" t="s">
        <v>176</v>
      </c>
      <c r="AG78" s="30">
        <f t="shared" si="1"/>
        <v>6221</v>
      </c>
      <c r="AH78" s="147">
        <v>6346</v>
      </c>
      <c r="AI78" s="30">
        <v>1205.74</v>
      </c>
      <c r="AJ78" s="30">
        <v>7551.74</v>
      </c>
    </row>
    <row r="79" spans="1:36" ht="33" x14ac:dyDescent="0.3">
      <c r="A79" s="22">
        <v>77</v>
      </c>
      <c r="B79" s="24">
        <v>1128044263</v>
      </c>
      <c r="C79" s="24" t="s">
        <v>20</v>
      </c>
      <c r="D79" s="117" t="s">
        <v>534</v>
      </c>
      <c r="E79" s="26" t="s">
        <v>22</v>
      </c>
      <c r="F79" s="114" t="s">
        <v>534</v>
      </c>
      <c r="G79" s="26" t="e">
        <v>#N/A</v>
      </c>
      <c r="H79" s="26" t="e">
        <v>#N/A</v>
      </c>
      <c r="I79" s="26" t="s">
        <v>20</v>
      </c>
      <c r="J79" s="70">
        <v>2842</v>
      </c>
      <c r="K79" s="71">
        <v>0</v>
      </c>
      <c r="L79" s="71">
        <v>0</v>
      </c>
      <c r="M79" s="71">
        <v>0</v>
      </c>
      <c r="N79" s="71">
        <v>0</v>
      </c>
      <c r="O79" s="71">
        <v>0</v>
      </c>
      <c r="P79" s="71">
        <v>0</v>
      </c>
      <c r="Q79" s="71">
        <v>0</v>
      </c>
      <c r="R79" s="71">
        <v>0</v>
      </c>
      <c r="S79" s="134"/>
      <c r="T79" s="134" t="s">
        <v>176</v>
      </c>
      <c r="U79" s="134" t="s">
        <v>176</v>
      </c>
      <c r="V79" s="30" t="s">
        <v>25</v>
      </c>
      <c r="W79" s="58" t="s">
        <v>25</v>
      </c>
      <c r="X79" s="30" t="s">
        <v>25</v>
      </c>
      <c r="Y79" s="30" t="s">
        <v>25</v>
      </c>
      <c r="Z79" s="29" t="s">
        <v>454</v>
      </c>
      <c r="AA79" s="30" t="s">
        <v>25</v>
      </c>
      <c r="AB79" s="30">
        <v>6238</v>
      </c>
      <c r="AC79" s="29" t="s">
        <v>24</v>
      </c>
      <c r="AD79" s="29" t="s">
        <v>24</v>
      </c>
      <c r="AE79" s="22" t="s">
        <v>176</v>
      </c>
      <c r="AG79" s="30">
        <f t="shared" si="1"/>
        <v>6238</v>
      </c>
      <c r="AH79" s="147">
        <v>6238</v>
      </c>
      <c r="AI79" s="30">
        <v>1185.22</v>
      </c>
      <c r="AJ79" s="30">
        <v>7423.22</v>
      </c>
    </row>
    <row r="80" spans="1:36" ht="33" x14ac:dyDescent="0.3">
      <c r="A80" s="22">
        <v>78</v>
      </c>
      <c r="B80" s="24">
        <v>1128044249</v>
      </c>
      <c r="C80" s="24" t="s">
        <v>20</v>
      </c>
      <c r="D80" s="117" t="s">
        <v>535</v>
      </c>
      <c r="E80" s="26" t="s">
        <v>22</v>
      </c>
      <c r="F80" s="114" t="s">
        <v>535</v>
      </c>
      <c r="G80" s="26" t="e">
        <v>#N/A</v>
      </c>
      <c r="H80" s="26" t="e">
        <v>#N/A</v>
      </c>
      <c r="I80" s="26" t="s">
        <v>20</v>
      </c>
      <c r="J80" s="70">
        <v>9480.75</v>
      </c>
      <c r="K80" s="71">
        <v>0</v>
      </c>
      <c r="L80" s="71">
        <v>58</v>
      </c>
      <c r="M80" s="71">
        <v>113</v>
      </c>
      <c r="N80" s="71">
        <v>9.4166666666666661</v>
      </c>
      <c r="O80" s="71">
        <v>26</v>
      </c>
      <c r="P80" s="71">
        <v>2.1666666666666665</v>
      </c>
      <c r="Q80" s="71">
        <v>0</v>
      </c>
      <c r="R80" s="71">
        <v>4</v>
      </c>
      <c r="S80" s="134"/>
      <c r="T80" s="134" t="s">
        <v>176</v>
      </c>
      <c r="U80" s="134" t="s">
        <v>176</v>
      </c>
      <c r="V80" s="30" t="s">
        <v>25</v>
      </c>
      <c r="W80" s="58" t="s">
        <v>25</v>
      </c>
      <c r="X80" s="30" t="s">
        <v>25</v>
      </c>
      <c r="Y80" s="30">
        <v>3900</v>
      </c>
      <c r="Z80" s="29" t="s">
        <v>454</v>
      </c>
      <c r="AA80" s="30" t="s">
        <v>25</v>
      </c>
      <c r="AB80" s="30" t="s">
        <v>25</v>
      </c>
      <c r="AC80" s="29" t="s">
        <v>24</v>
      </c>
      <c r="AD80" s="29" t="s">
        <v>24</v>
      </c>
      <c r="AE80" s="22" t="s">
        <v>176</v>
      </c>
      <c r="AG80" s="30">
        <f t="shared" si="1"/>
        <v>3900</v>
      </c>
      <c r="AH80" s="147">
        <v>3900</v>
      </c>
      <c r="AI80" s="30">
        <v>741</v>
      </c>
      <c r="AJ80" s="30">
        <v>4641</v>
      </c>
    </row>
    <row r="81" spans="1:36" ht="33" x14ac:dyDescent="0.3">
      <c r="A81" s="22">
        <v>79</v>
      </c>
      <c r="B81" s="24">
        <v>1128044680</v>
      </c>
      <c r="C81" s="24" t="s">
        <v>20</v>
      </c>
      <c r="D81" s="117" t="s">
        <v>536</v>
      </c>
      <c r="E81" s="26" t="s">
        <v>22</v>
      </c>
      <c r="F81" s="114" t="s">
        <v>536</v>
      </c>
      <c r="G81" s="26" t="e">
        <v>#N/A</v>
      </c>
      <c r="H81" s="26" t="e">
        <v>#N/A</v>
      </c>
      <c r="I81" s="26" t="s">
        <v>20</v>
      </c>
      <c r="J81" s="70">
        <v>7892.1</v>
      </c>
      <c r="K81" s="71">
        <v>107</v>
      </c>
      <c r="L81" s="71">
        <v>168</v>
      </c>
      <c r="M81" s="71">
        <v>175</v>
      </c>
      <c r="N81" s="71">
        <v>14.583333333333334</v>
      </c>
      <c r="O81" s="71">
        <v>10</v>
      </c>
      <c r="P81" s="71">
        <v>0.83333333333333337</v>
      </c>
      <c r="Q81" s="71">
        <v>0</v>
      </c>
      <c r="R81" s="71">
        <v>60</v>
      </c>
      <c r="S81" s="134"/>
      <c r="T81" s="134" t="s">
        <v>176</v>
      </c>
      <c r="U81" s="134" t="s">
        <v>176</v>
      </c>
      <c r="V81" s="30" t="s">
        <v>25</v>
      </c>
      <c r="W81" s="58" t="s">
        <v>25</v>
      </c>
      <c r="X81" s="30" t="s">
        <v>25</v>
      </c>
      <c r="Y81" s="30">
        <v>3250</v>
      </c>
      <c r="Z81" s="29" t="s">
        <v>454</v>
      </c>
      <c r="AA81" s="30" t="s">
        <v>25</v>
      </c>
      <c r="AB81" s="30" t="s">
        <v>25</v>
      </c>
      <c r="AC81" s="29" t="s">
        <v>24</v>
      </c>
      <c r="AD81" s="29" t="s">
        <v>24</v>
      </c>
      <c r="AE81" s="22" t="s">
        <v>176</v>
      </c>
      <c r="AG81" s="30">
        <f t="shared" si="1"/>
        <v>3250</v>
      </c>
      <c r="AH81" s="147">
        <v>3250</v>
      </c>
      <c r="AI81" s="30">
        <v>617.5</v>
      </c>
      <c r="AJ81" s="30">
        <v>3867.5</v>
      </c>
    </row>
    <row r="82" spans="1:36" x14ac:dyDescent="0.3">
      <c r="A82" s="22">
        <v>80</v>
      </c>
      <c r="B82" s="24">
        <v>1128599192</v>
      </c>
      <c r="C82" s="24" t="s">
        <v>20</v>
      </c>
      <c r="D82" s="117" t="s">
        <v>537</v>
      </c>
      <c r="E82" s="26" t="s">
        <v>22</v>
      </c>
      <c r="F82" s="114" t="s">
        <v>537</v>
      </c>
      <c r="G82" s="26" t="e">
        <v>#N/A</v>
      </c>
      <c r="H82" s="26" t="e">
        <v>#N/A</v>
      </c>
      <c r="I82" s="26" t="s">
        <v>20</v>
      </c>
      <c r="J82" s="70">
        <v>89285.75</v>
      </c>
      <c r="K82" s="71">
        <v>0</v>
      </c>
      <c r="L82" s="71">
        <v>4</v>
      </c>
      <c r="M82" s="71">
        <v>0</v>
      </c>
      <c r="N82" s="71">
        <v>0</v>
      </c>
      <c r="O82" s="71">
        <v>0</v>
      </c>
      <c r="P82" s="71">
        <v>0</v>
      </c>
      <c r="Q82" s="71">
        <v>0</v>
      </c>
      <c r="R82" s="71">
        <v>0</v>
      </c>
      <c r="S82" s="134"/>
      <c r="T82" s="134" t="s">
        <v>176</v>
      </c>
      <c r="U82" s="134" t="s">
        <v>176</v>
      </c>
      <c r="V82" s="30" t="s">
        <v>25</v>
      </c>
      <c r="W82" s="58" t="s">
        <v>25</v>
      </c>
      <c r="X82" s="30" t="s">
        <v>25</v>
      </c>
      <c r="Y82" s="30" t="s">
        <v>25</v>
      </c>
      <c r="Z82" s="29" t="s">
        <v>454</v>
      </c>
      <c r="AA82" s="30" t="s">
        <v>25</v>
      </c>
      <c r="AB82" s="30">
        <v>57767</v>
      </c>
      <c r="AC82" s="29" t="s">
        <v>24</v>
      </c>
      <c r="AD82" s="29" t="s">
        <v>24</v>
      </c>
      <c r="AE82" s="22" t="s">
        <v>176</v>
      </c>
      <c r="AG82" s="30">
        <f t="shared" si="1"/>
        <v>57767</v>
      </c>
      <c r="AH82" s="147">
        <v>57767</v>
      </c>
      <c r="AI82" s="30">
        <v>10975.73</v>
      </c>
      <c r="AJ82" s="30">
        <v>68742.73</v>
      </c>
    </row>
    <row r="83" spans="1:36" ht="33" x14ac:dyDescent="0.3">
      <c r="A83" s="22">
        <v>81</v>
      </c>
      <c r="B83" s="24">
        <v>1121010035</v>
      </c>
      <c r="C83" s="24" t="s">
        <v>20</v>
      </c>
      <c r="D83" s="117" t="s">
        <v>538</v>
      </c>
      <c r="E83" s="26" t="s">
        <v>22</v>
      </c>
      <c r="F83" s="114" t="s">
        <v>538</v>
      </c>
      <c r="G83" s="26" t="e">
        <v>#N/A</v>
      </c>
      <c r="H83" s="26" t="e">
        <v>#N/A</v>
      </c>
      <c r="I83" s="26" t="s">
        <v>20</v>
      </c>
      <c r="J83" s="70">
        <v>35272.006670000002</v>
      </c>
      <c r="K83" s="71">
        <v>0</v>
      </c>
      <c r="L83" s="71">
        <v>0</v>
      </c>
      <c r="M83" s="71">
        <v>50</v>
      </c>
      <c r="N83" s="71">
        <v>4.166666666666667</v>
      </c>
      <c r="O83" s="71">
        <v>60</v>
      </c>
      <c r="P83" s="71">
        <v>5</v>
      </c>
      <c r="Q83" s="71">
        <v>0</v>
      </c>
      <c r="R83" s="71">
        <v>0</v>
      </c>
      <c r="S83" s="134"/>
      <c r="T83" s="134" t="s">
        <v>176</v>
      </c>
      <c r="U83" s="134" t="s">
        <v>176</v>
      </c>
      <c r="V83" s="30" t="s">
        <v>25</v>
      </c>
      <c r="W83" s="58" t="s">
        <v>25</v>
      </c>
      <c r="X83" s="30" t="s">
        <v>25</v>
      </c>
      <c r="Y83" s="30" t="s">
        <v>25</v>
      </c>
      <c r="Z83" s="29" t="s">
        <v>454</v>
      </c>
      <c r="AA83" s="30">
        <v>9813</v>
      </c>
      <c r="AB83" s="30" t="s">
        <v>25</v>
      </c>
      <c r="AC83" s="29" t="s">
        <v>24</v>
      </c>
      <c r="AD83" s="29" t="s">
        <v>455</v>
      </c>
      <c r="AE83" s="22" t="s">
        <v>176</v>
      </c>
      <c r="AG83" s="30">
        <f t="shared" si="1"/>
        <v>9813</v>
      </c>
      <c r="AH83" s="147">
        <v>9813</v>
      </c>
      <c r="AI83" s="30">
        <v>1864.47</v>
      </c>
      <c r="AJ83" s="30">
        <v>11677.47</v>
      </c>
    </row>
    <row r="84" spans="1:36" x14ac:dyDescent="0.3">
      <c r="A84" s="22">
        <v>82</v>
      </c>
      <c r="B84" s="24">
        <v>1121010803</v>
      </c>
      <c r="C84" s="24" t="s">
        <v>20</v>
      </c>
      <c r="D84" s="117" t="s">
        <v>539</v>
      </c>
      <c r="E84" s="26" t="s">
        <v>22</v>
      </c>
      <c r="F84" s="114" t="s">
        <v>539</v>
      </c>
      <c r="G84" s="26" t="e">
        <v>#N/A</v>
      </c>
      <c r="H84" s="26" t="e">
        <v>#N/A</v>
      </c>
      <c r="I84" s="26" t="s">
        <v>20</v>
      </c>
      <c r="J84" s="70">
        <v>16958.02</v>
      </c>
      <c r="K84" s="71">
        <v>0</v>
      </c>
      <c r="L84" s="71">
        <v>0</v>
      </c>
      <c r="M84" s="71">
        <v>0</v>
      </c>
      <c r="N84" s="71">
        <v>0</v>
      </c>
      <c r="O84" s="71">
        <v>10</v>
      </c>
      <c r="P84" s="71">
        <v>0.83333333333333337</v>
      </c>
      <c r="Q84" s="71">
        <v>0</v>
      </c>
      <c r="R84" s="71">
        <v>0</v>
      </c>
      <c r="S84" s="134"/>
      <c r="T84" s="134" t="s">
        <v>176</v>
      </c>
      <c r="U84" s="134" t="s">
        <v>176</v>
      </c>
      <c r="V84" s="30" t="s">
        <v>25</v>
      </c>
      <c r="W84" s="58" t="s">
        <v>25</v>
      </c>
      <c r="X84" s="30">
        <v>18230</v>
      </c>
      <c r="Y84" s="30" t="s">
        <v>25</v>
      </c>
      <c r="Z84" s="29" t="s">
        <v>454</v>
      </c>
      <c r="AA84" s="30" t="s">
        <v>25</v>
      </c>
      <c r="AB84" s="30" t="s">
        <v>25</v>
      </c>
      <c r="AC84" s="29" t="s">
        <v>24</v>
      </c>
      <c r="AD84" s="29">
        <v>18664</v>
      </c>
      <c r="AE84" s="22" t="s">
        <v>176</v>
      </c>
      <c r="AG84" s="30">
        <f t="shared" si="1"/>
        <v>18230</v>
      </c>
      <c r="AH84" s="147">
        <v>18447</v>
      </c>
      <c r="AI84" s="30">
        <v>3504.93</v>
      </c>
      <c r="AJ84" s="30">
        <v>21951.93</v>
      </c>
    </row>
    <row r="85" spans="1:36" x14ac:dyDescent="0.3">
      <c r="A85" s="22">
        <v>83</v>
      </c>
      <c r="B85" s="24">
        <v>1121010804</v>
      </c>
      <c r="C85" s="24" t="s">
        <v>20</v>
      </c>
      <c r="D85" s="117" t="s">
        <v>540</v>
      </c>
      <c r="E85" s="26" t="s">
        <v>22</v>
      </c>
      <c r="F85" s="114" t="s">
        <v>540</v>
      </c>
      <c r="G85" s="26" t="e">
        <v>#N/A</v>
      </c>
      <c r="H85" s="26" t="e">
        <v>#N/A</v>
      </c>
      <c r="I85" s="26" t="s">
        <v>20</v>
      </c>
      <c r="J85" s="70">
        <v>22385.02</v>
      </c>
      <c r="K85" s="71">
        <v>0</v>
      </c>
      <c r="L85" s="71">
        <v>0</v>
      </c>
      <c r="M85" s="71">
        <v>0</v>
      </c>
      <c r="N85" s="71">
        <v>0</v>
      </c>
      <c r="O85" s="71">
        <v>10</v>
      </c>
      <c r="P85" s="71">
        <v>0.83333333333333337</v>
      </c>
      <c r="Q85" s="71">
        <v>0</v>
      </c>
      <c r="R85" s="71">
        <v>0</v>
      </c>
      <c r="S85" s="134"/>
      <c r="T85" s="134" t="s">
        <v>176</v>
      </c>
      <c r="U85" s="134" t="s">
        <v>176</v>
      </c>
      <c r="V85" s="30" t="s">
        <v>25</v>
      </c>
      <c r="W85" s="58" t="s">
        <v>25</v>
      </c>
      <c r="X85" s="30">
        <v>13849</v>
      </c>
      <c r="Y85" s="30" t="s">
        <v>25</v>
      </c>
      <c r="Z85" s="29" t="s">
        <v>454</v>
      </c>
      <c r="AA85" s="30">
        <v>12243</v>
      </c>
      <c r="AB85" s="30" t="s">
        <v>25</v>
      </c>
      <c r="AC85" s="29" t="s">
        <v>24</v>
      </c>
      <c r="AD85" s="29">
        <v>20199</v>
      </c>
      <c r="AE85" s="22" t="s">
        <v>176</v>
      </c>
      <c r="AG85" s="30">
        <f t="shared" si="1"/>
        <v>12243</v>
      </c>
      <c r="AH85" s="147">
        <v>15430.333333333334</v>
      </c>
      <c r="AI85" s="30">
        <v>2931.7633333333338</v>
      </c>
      <c r="AJ85" s="30">
        <v>18362.096666666668</v>
      </c>
    </row>
    <row r="86" spans="1:36" x14ac:dyDescent="0.3">
      <c r="A86" s="22">
        <v>84</v>
      </c>
      <c r="B86" s="24">
        <v>1121010805</v>
      </c>
      <c r="C86" s="24" t="s">
        <v>20</v>
      </c>
      <c r="D86" s="117" t="s">
        <v>541</v>
      </c>
      <c r="E86" s="26" t="s">
        <v>22</v>
      </c>
      <c r="F86" s="114" t="s">
        <v>541</v>
      </c>
      <c r="G86" s="26" t="e">
        <v>#N/A</v>
      </c>
      <c r="H86" s="26" t="e">
        <v>#N/A</v>
      </c>
      <c r="I86" s="26" t="s">
        <v>20</v>
      </c>
      <c r="J86" s="70">
        <v>1</v>
      </c>
      <c r="K86" s="71">
        <v>0</v>
      </c>
      <c r="L86" s="71">
        <v>0</v>
      </c>
      <c r="M86" s="71">
        <v>0</v>
      </c>
      <c r="N86" s="71">
        <v>0</v>
      </c>
      <c r="O86" s="71">
        <v>0</v>
      </c>
      <c r="P86" s="71">
        <v>0</v>
      </c>
      <c r="Q86" s="71">
        <v>0</v>
      </c>
      <c r="R86" s="71">
        <v>0</v>
      </c>
      <c r="S86" s="134"/>
      <c r="T86" s="134" t="s">
        <v>176</v>
      </c>
      <c r="U86" s="134" t="s">
        <v>176</v>
      </c>
      <c r="V86" s="30" t="s">
        <v>25</v>
      </c>
      <c r="W86" s="58" t="s">
        <v>25</v>
      </c>
      <c r="X86" s="30">
        <v>25788</v>
      </c>
      <c r="Y86" s="30" t="s">
        <v>25</v>
      </c>
      <c r="Z86" s="29" t="s">
        <v>454</v>
      </c>
      <c r="AA86" s="30">
        <v>20230</v>
      </c>
      <c r="AB86" s="30" t="s">
        <v>25</v>
      </c>
      <c r="AC86" s="29" t="s">
        <v>24</v>
      </c>
      <c r="AD86" s="29">
        <v>25403</v>
      </c>
      <c r="AE86" s="22" t="s">
        <v>176</v>
      </c>
      <c r="AG86" s="30">
        <f t="shared" si="1"/>
        <v>20230</v>
      </c>
      <c r="AH86" s="147">
        <v>23807</v>
      </c>
      <c r="AI86" s="30">
        <v>4523.33</v>
      </c>
      <c r="AJ86" s="30">
        <v>28330.33</v>
      </c>
    </row>
    <row r="87" spans="1:36" x14ac:dyDescent="0.3">
      <c r="A87" s="22">
        <v>85</v>
      </c>
      <c r="B87" s="24">
        <v>1121010806</v>
      </c>
      <c r="C87" s="24" t="s">
        <v>20</v>
      </c>
      <c r="D87" s="117" t="s">
        <v>542</v>
      </c>
      <c r="E87" s="26" t="s">
        <v>22</v>
      </c>
      <c r="F87" s="114" t="s">
        <v>542</v>
      </c>
      <c r="G87" s="26" t="e">
        <v>#N/A</v>
      </c>
      <c r="H87" s="26" t="e">
        <v>#N/A</v>
      </c>
      <c r="I87" s="26" t="s">
        <v>20</v>
      </c>
      <c r="J87" s="70">
        <v>1</v>
      </c>
      <c r="K87" s="71">
        <v>0</v>
      </c>
      <c r="L87" s="71">
        <v>0</v>
      </c>
      <c r="M87" s="71">
        <v>0</v>
      </c>
      <c r="N87" s="71">
        <v>0</v>
      </c>
      <c r="O87" s="71">
        <v>0</v>
      </c>
      <c r="P87" s="71">
        <v>0</v>
      </c>
      <c r="Q87" s="71">
        <v>0</v>
      </c>
      <c r="R87" s="71">
        <v>0</v>
      </c>
      <c r="S87" s="134"/>
      <c r="T87" s="134" t="s">
        <v>176</v>
      </c>
      <c r="U87" s="134" t="s">
        <v>176</v>
      </c>
      <c r="V87" s="30" t="s">
        <v>25</v>
      </c>
      <c r="W87" s="58" t="s">
        <v>25</v>
      </c>
      <c r="X87" s="30">
        <v>28646</v>
      </c>
      <c r="Y87" s="30" t="s">
        <v>25</v>
      </c>
      <c r="Z87" s="29" t="s">
        <v>454</v>
      </c>
      <c r="AA87" s="30" t="s">
        <v>25</v>
      </c>
      <c r="AB87" s="30" t="s">
        <v>25</v>
      </c>
      <c r="AC87" s="29" t="s">
        <v>24</v>
      </c>
      <c r="AD87" s="29" t="s">
        <v>455</v>
      </c>
      <c r="AE87" s="22" t="s">
        <v>176</v>
      </c>
      <c r="AG87" s="30">
        <f t="shared" si="1"/>
        <v>28646</v>
      </c>
      <c r="AH87" s="147">
        <v>28646</v>
      </c>
      <c r="AI87" s="30">
        <v>5442.74</v>
      </c>
      <c r="AJ87" s="30">
        <v>34088.74</v>
      </c>
    </row>
    <row r="88" spans="1:36" x14ac:dyDescent="0.3">
      <c r="A88" s="22">
        <v>86</v>
      </c>
      <c r="B88" s="24">
        <v>1121010064</v>
      </c>
      <c r="C88" s="24" t="s">
        <v>20</v>
      </c>
      <c r="D88" s="117" t="s">
        <v>543</v>
      </c>
      <c r="E88" s="26" t="s">
        <v>22</v>
      </c>
      <c r="F88" s="114" t="s">
        <v>543</v>
      </c>
      <c r="G88" s="26" t="e">
        <v>#N/A</v>
      </c>
      <c r="H88" s="26" t="e">
        <v>#N/A</v>
      </c>
      <c r="I88" s="26" t="s">
        <v>20</v>
      </c>
      <c r="J88" s="70">
        <v>6783</v>
      </c>
      <c r="K88" s="71">
        <v>0</v>
      </c>
      <c r="L88" s="71">
        <v>36</v>
      </c>
      <c r="M88" s="71">
        <v>74</v>
      </c>
      <c r="N88" s="71">
        <v>6.166666666666667</v>
      </c>
      <c r="O88" s="71">
        <v>50</v>
      </c>
      <c r="P88" s="71">
        <v>4.166666666666667</v>
      </c>
      <c r="Q88" s="71">
        <v>0</v>
      </c>
      <c r="R88" s="71">
        <v>0</v>
      </c>
      <c r="S88" s="134"/>
      <c r="T88" s="106">
        <v>7900</v>
      </c>
      <c r="U88" s="106">
        <v>5900</v>
      </c>
      <c r="V88" s="30" t="s">
        <v>25</v>
      </c>
      <c r="W88" s="58" t="s">
        <v>25</v>
      </c>
      <c r="X88" s="30" t="s">
        <v>25</v>
      </c>
      <c r="Y88" s="30" t="s">
        <v>25</v>
      </c>
      <c r="Z88" s="29" t="s">
        <v>454</v>
      </c>
      <c r="AA88" s="30" t="s">
        <v>25</v>
      </c>
      <c r="AB88" s="30" t="s">
        <v>25</v>
      </c>
      <c r="AC88" s="29" t="s">
        <v>24</v>
      </c>
      <c r="AD88" s="29" t="s">
        <v>455</v>
      </c>
      <c r="AE88" s="22" t="s">
        <v>37</v>
      </c>
      <c r="AG88" s="30">
        <f t="shared" si="1"/>
        <v>5900</v>
      </c>
      <c r="AH88" s="147">
        <v>6900</v>
      </c>
      <c r="AI88" s="30">
        <v>1311</v>
      </c>
      <c r="AJ88" s="30">
        <v>8211</v>
      </c>
    </row>
    <row r="89" spans="1:36" x14ac:dyDescent="0.3">
      <c r="A89" s="22">
        <v>87</v>
      </c>
      <c r="B89" s="24">
        <v>1128099153</v>
      </c>
      <c r="C89" s="24" t="s">
        <v>20</v>
      </c>
      <c r="D89" s="117" t="s">
        <v>544</v>
      </c>
      <c r="E89" s="26" t="s">
        <v>22</v>
      </c>
      <c r="F89" s="114" t="s">
        <v>544</v>
      </c>
      <c r="G89" s="26" t="e">
        <v>#N/A</v>
      </c>
      <c r="H89" s="26" t="e">
        <v>#N/A</v>
      </c>
      <c r="I89" s="26" t="s">
        <v>20</v>
      </c>
      <c r="J89" s="70">
        <v>105814.99857</v>
      </c>
      <c r="K89" s="71">
        <v>0</v>
      </c>
      <c r="L89" s="71">
        <v>219</v>
      </c>
      <c r="M89" s="71">
        <v>706</v>
      </c>
      <c r="N89" s="71">
        <v>58.833333333333336</v>
      </c>
      <c r="O89" s="71">
        <v>207</v>
      </c>
      <c r="P89" s="71">
        <v>17.25</v>
      </c>
      <c r="Q89" s="71">
        <v>0</v>
      </c>
      <c r="R89" s="71">
        <v>71</v>
      </c>
      <c r="S89" s="134"/>
      <c r="T89" s="134" t="s">
        <v>176</v>
      </c>
      <c r="U89" s="134" t="s">
        <v>176</v>
      </c>
      <c r="V89" s="30" t="s">
        <v>25</v>
      </c>
      <c r="W89" s="58" t="s">
        <v>25</v>
      </c>
      <c r="X89" s="30" t="s">
        <v>25</v>
      </c>
      <c r="Y89" s="30" t="s">
        <v>25</v>
      </c>
      <c r="Z89" s="29" t="s">
        <v>454</v>
      </c>
      <c r="AA89" s="30" t="s">
        <v>25</v>
      </c>
      <c r="AB89" s="30" t="s">
        <v>25</v>
      </c>
      <c r="AC89" s="29">
        <v>115210</v>
      </c>
      <c r="AD89" s="29" t="s">
        <v>455</v>
      </c>
      <c r="AE89" s="22" t="s">
        <v>176</v>
      </c>
      <c r="AG89" s="30">
        <f t="shared" si="1"/>
        <v>115210</v>
      </c>
      <c r="AH89" s="147">
        <v>115210</v>
      </c>
      <c r="AI89" s="30">
        <v>21889.9</v>
      </c>
      <c r="AJ89" s="30">
        <v>137099.9</v>
      </c>
    </row>
    <row r="90" spans="1:36" ht="33" x14ac:dyDescent="0.3">
      <c r="A90" s="22">
        <v>88</v>
      </c>
      <c r="B90" s="24">
        <v>1121010807</v>
      </c>
      <c r="C90" s="24" t="s">
        <v>20</v>
      </c>
      <c r="D90" s="117" t="s">
        <v>545</v>
      </c>
      <c r="E90" s="26" t="s">
        <v>22</v>
      </c>
      <c r="F90" s="114" t="s">
        <v>545</v>
      </c>
      <c r="G90" s="26" t="e">
        <v>#N/A</v>
      </c>
      <c r="H90" s="26" t="e">
        <v>#N/A</v>
      </c>
      <c r="I90" s="26" t="s">
        <v>20</v>
      </c>
      <c r="J90" s="70">
        <v>74613</v>
      </c>
      <c r="K90" s="71">
        <v>0</v>
      </c>
      <c r="L90" s="71">
        <v>0</v>
      </c>
      <c r="M90" s="71">
        <v>0</v>
      </c>
      <c r="N90" s="71">
        <v>0</v>
      </c>
      <c r="O90" s="71">
        <v>20</v>
      </c>
      <c r="P90" s="71">
        <v>1.6666666666666667</v>
      </c>
      <c r="Q90" s="71">
        <v>0</v>
      </c>
      <c r="R90" s="71">
        <v>0</v>
      </c>
      <c r="S90" s="134"/>
      <c r="T90" s="134" t="s">
        <v>176</v>
      </c>
      <c r="U90" s="134" t="s">
        <v>176</v>
      </c>
      <c r="V90" s="30" t="s">
        <v>25</v>
      </c>
      <c r="W90" s="58" t="s">
        <v>25</v>
      </c>
      <c r="X90" s="30" t="s">
        <v>25</v>
      </c>
      <c r="Y90" s="30" t="s">
        <v>25</v>
      </c>
      <c r="Z90" s="29" t="s">
        <v>454</v>
      </c>
      <c r="AA90" s="30" t="s">
        <v>25</v>
      </c>
      <c r="AB90" s="30">
        <v>20987</v>
      </c>
      <c r="AC90" s="29" t="s">
        <v>24</v>
      </c>
      <c r="AD90" s="29" t="s">
        <v>455</v>
      </c>
      <c r="AE90" s="22" t="s">
        <v>176</v>
      </c>
      <c r="AG90" s="30">
        <f t="shared" si="1"/>
        <v>20987</v>
      </c>
      <c r="AH90" s="147">
        <v>20987</v>
      </c>
      <c r="AI90" s="30">
        <v>3987.53</v>
      </c>
      <c r="AJ90" s="30">
        <v>24974.53</v>
      </c>
    </row>
    <row r="91" spans="1:36" ht="33" x14ac:dyDescent="0.3">
      <c r="A91" s="22">
        <v>89</v>
      </c>
      <c r="B91" s="24">
        <v>1121010808</v>
      </c>
      <c r="C91" s="24" t="s">
        <v>20</v>
      </c>
      <c r="D91" s="117" t="s">
        <v>546</v>
      </c>
      <c r="E91" s="26" t="s">
        <v>22</v>
      </c>
      <c r="F91" s="114" t="s">
        <v>546</v>
      </c>
      <c r="G91" s="26" t="e">
        <v>#N/A</v>
      </c>
      <c r="H91" s="26" t="e">
        <v>#N/A</v>
      </c>
      <c r="I91" s="26" t="s">
        <v>20</v>
      </c>
      <c r="J91" s="70">
        <v>74613</v>
      </c>
      <c r="K91" s="71">
        <v>0</v>
      </c>
      <c r="L91" s="71">
        <v>0</v>
      </c>
      <c r="M91" s="71">
        <v>0</v>
      </c>
      <c r="N91" s="71">
        <v>0</v>
      </c>
      <c r="O91" s="71">
        <v>0</v>
      </c>
      <c r="P91" s="71">
        <v>0</v>
      </c>
      <c r="Q91" s="71">
        <v>0</v>
      </c>
      <c r="R91" s="71">
        <v>0</v>
      </c>
      <c r="S91" s="134"/>
      <c r="T91" s="134" t="s">
        <v>176</v>
      </c>
      <c r="U91" s="134" t="s">
        <v>176</v>
      </c>
      <c r="V91" s="30" t="s">
        <v>25</v>
      </c>
      <c r="W91" s="58" t="s">
        <v>25</v>
      </c>
      <c r="X91" s="30" t="s">
        <v>25</v>
      </c>
      <c r="Y91" s="30" t="s">
        <v>25</v>
      </c>
      <c r="Z91" s="29" t="s">
        <v>454</v>
      </c>
      <c r="AA91" s="30" t="s">
        <v>25</v>
      </c>
      <c r="AB91" s="30">
        <v>17584</v>
      </c>
      <c r="AC91" s="29" t="s">
        <v>24</v>
      </c>
      <c r="AD91" s="29" t="s">
        <v>455</v>
      </c>
      <c r="AE91" s="22" t="s">
        <v>176</v>
      </c>
      <c r="AG91" s="30">
        <f t="shared" si="1"/>
        <v>17584</v>
      </c>
      <c r="AH91" s="147">
        <v>17584</v>
      </c>
      <c r="AI91" s="30">
        <v>3340.96</v>
      </c>
      <c r="AJ91" s="30">
        <v>20924.96</v>
      </c>
    </row>
    <row r="92" spans="1:36" x14ac:dyDescent="0.3">
      <c r="A92" s="22">
        <v>90</v>
      </c>
      <c r="B92" s="24">
        <v>1121010811</v>
      </c>
      <c r="C92" s="24" t="s">
        <v>20</v>
      </c>
      <c r="D92" s="117" t="s">
        <v>547</v>
      </c>
      <c r="E92" s="26" t="s">
        <v>22</v>
      </c>
      <c r="F92" s="114" t="s">
        <v>547</v>
      </c>
      <c r="G92" s="26" t="e">
        <v>#N/A</v>
      </c>
      <c r="H92" s="26" t="e">
        <v>#N/A</v>
      </c>
      <c r="I92" s="26" t="s">
        <v>20</v>
      </c>
      <c r="J92" s="70">
        <v>1</v>
      </c>
      <c r="K92" s="71">
        <v>0</v>
      </c>
      <c r="L92" s="71">
        <v>0</v>
      </c>
      <c r="M92" s="71">
        <v>0</v>
      </c>
      <c r="N92" s="71">
        <v>0</v>
      </c>
      <c r="O92" s="71">
        <v>0</v>
      </c>
      <c r="P92" s="71">
        <v>0</v>
      </c>
      <c r="Q92" s="71">
        <v>0</v>
      </c>
      <c r="R92" s="71">
        <v>0</v>
      </c>
      <c r="S92" s="134"/>
      <c r="T92" s="134" t="s">
        <v>176</v>
      </c>
      <c r="U92" s="134" t="s">
        <v>176</v>
      </c>
      <c r="V92" s="30" t="s">
        <v>25</v>
      </c>
      <c r="W92" s="58" t="s">
        <v>25</v>
      </c>
      <c r="X92" s="30" t="s">
        <v>25</v>
      </c>
      <c r="Y92" s="30" t="s">
        <v>25</v>
      </c>
      <c r="Z92" s="29" t="s">
        <v>454</v>
      </c>
      <c r="AA92" s="30" t="s">
        <v>25</v>
      </c>
      <c r="AB92" s="30">
        <v>7020</v>
      </c>
      <c r="AC92" s="29" t="s">
        <v>24</v>
      </c>
      <c r="AD92" s="29" t="s">
        <v>455</v>
      </c>
      <c r="AE92" s="22" t="s">
        <v>176</v>
      </c>
      <c r="AG92" s="30">
        <f t="shared" si="1"/>
        <v>7020</v>
      </c>
      <c r="AH92" s="147">
        <v>7020</v>
      </c>
      <c r="AI92" s="30">
        <v>1333.8</v>
      </c>
      <c r="AJ92" s="30">
        <v>8353.7999999999993</v>
      </c>
    </row>
    <row r="93" spans="1:36" ht="33" x14ac:dyDescent="0.3">
      <c r="A93" s="22">
        <v>91</v>
      </c>
      <c r="B93" s="24">
        <v>1121010813</v>
      </c>
      <c r="C93" s="24" t="s">
        <v>20</v>
      </c>
      <c r="D93" s="117" t="s">
        <v>548</v>
      </c>
      <c r="E93" s="26" t="s">
        <v>22</v>
      </c>
      <c r="F93" s="114" t="s">
        <v>548</v>
      </c>
      <c r="G93" s="26" t="e">
        <v>#N/A</v>
      </c>
      <c r="H93" s="26" t="e">
        <v>#N/A</v>
      </c>
      <c r="I93" s="26" t="s">
        <v>20</v>
      </c>
      <c r="J93" s="70">
        <v>18316</v>
      </c>
      <c r="K93" s="71">
        <v>0</v>
      </c>
      <c r="L93" s="71">
        <v>0</v>
      </c>
      <c r="M93" s="71">
        <v>0</v>
      </c>
      <c r="N93" s="71">
        <v>0</v>
      </c>
      <c r="O93" s="71">
        <v>58</v>
      </c>
      <c r="P93" s="71">
        <v>4.833333333333333</v>
      </c>
      <c r="Q93" s="71">
        <v>0</v>
      </c>
      <c r="R93" s="71">
        <v>0</v>
      </c>
      <c r="S93" s="134"/>
      <c r="T93" s="134" t="s">
        <v>176</v>
      </c>
      <c r="U93" s="134" t="s">
        <v>176</v>
      </c>
      <c r="V93" s="30" t="s">
        <v>25</v>
      </c>
      <c r="W93" s="58" t="s">
        <v>25</v>
      </c>
      <c r="X93" s="30" t="s">
        <v>25</v>
      </c>
      <c r="Y93" s="30" t="s">
        <v>25</v>
      </c>
      <c r="Z93" s="29" t="s">
        <v>454</v>
      </c>
      <c r="AA93" s="30" t="s">
        <v>25</v>
      </c>
      <c r="AB93" s="30">
        <v>9720</v>
      </c>
      <c r="AC93" s="29" t="s">
        <v>24</v>
      </c>
      <c r="AD93" s="29" t="s">
        <v>455</v>
      </c>
      <c r="AE93" s="22" t="s">
        <v>176</v>
      </c>
      <c r="AG93" s="30">
        <f t="shared" si="1"/>
        <v>9720</v>
      </c>
      <c r="AH93" s="147">
        <v>9720</v>
      </c>
      <c r="AI93" s="30">
        <v>1846.8</v>
      </c>
      <c r="AJ93" s="30">
        <v>11566.8</v>
      </c>
    </row>
    <row r="94" spans="1:36" x14ac:dyDescent="0.3">
      <c r="A94" s="22">
        <v>92</v>
      </c>
      <c r="B94" s="24">
        <v>1121010060</v>
      </c>
      <c r="C94" s="24" t="s">
        <v>20</v>
      </c>
      <c r="D94" s="117" t="s">
        <v>549</v>
      </c>
      <c r="E94" s="26" t="s">
        <v>22</v>
      </c>
      <c r="F94" s="114" t="s">
        <v>549</v>
      </c>
      <c r="G94" s="26" t="e">
        <v>#N/A</v>
      </c>
      <c r="H94" s="26" t="e">
        <v>#N/A</v>
      </c>
      <c r="I94" s="26" t="s">
        <v>20</v>
      </c>
      <c r="J94" s="70">
        <v>12887.01</v>
      </c>
      <c r="K94" s="71">
        <v>170</v>
      </c>
      <c r="L94" s="71">
        <v>168</v>
      </c>
      <c r="M94" s="71">
        <v>0</v>
      </c>
      <c r="N94" s="71">
        <v>0</v>
      </c>
      <c r="O94" s="71">
        <v>105</v>
      </c>
      <c r="P94" s="71">
        <v>8.75</v>
      </c>
      <c r="Q94" s="71">
        <v>0</v>
      </c>
      <c r="R94" s="71">
        <v>0</v>
      </c>
      <c r="S94" s="134"/>
      <c r="T94" s="134" t="s">
        <v>176</v>
      </c>
      <c r="U94" s="134" t="s">
        <v>176</v>
      </c>
      <c r="V94" s="30" t="s">
        <v>25</v>
      </c>
      <c r="W94" s="58" t="s">
        <v>25</v>
      </c>
      <c r="X94" s="30" t="s">
        <v>25</v>
      </c>
      <c r="Y94" s="30" t="s">
        <v>25</v>
      </c>
      <c r="Z94" s="29" t="s">
        <v>454</v>
      </c>
      <c r="AA94" s="30" t="s">
        <v>25</v>
      </c>
      <c r="AB94" s="30" t="s">
        <v>25</v>
      </c>
      <c r="AC94" s="29">
        <v>63627</v>
      </c>
      <c r="AD94" s="29">
        <v>111986</v>
      </c>
      <c r="AE94" s="22" t="s">
        <v>176</v>
      </c>
      <c r="AG94" s="30">
        <f t="shared" si="1"/>
        <v>63627</v>
      </c>
      <c r="AH94" s="147">
        <v>87806.5</v>
      </c>
      <c r="AI94" s="30">
        <v>16683.235000000001</v>
      </c>
      <c r="AJ94" s="30">
        <v>104489.735</v>
      </c>
    </row>
    <row r="95" spans="1:36" x14ac:dyDescent="0.3">
      <c r="A95" s="22">
        <v>93</v>
      </c>
      <c r="B95" s="24">
        <v>1121010814</v>
      </c>
      <c r="C95" s="24" t="s">
        <v>20</v>
      </c>
      <c r="D95" s="117" t="s">
        <v>550</v>
      </c>
      <c r="E95" s="26" t="s">
        <v>22</v>
      </c>
      <c r="F95" s="114" t="s">
        <v>550</v>
      </c>
      <c r="G95" s="26" t="e">
        <v>#N/A</v>
      </c>
      <c r="H95" s="26" t="e">
        <v>#N/A</v>
      </c>
      <c r="I95" s="26" t="s">
        <v>20</v>
      </c>
      <c r="J95" s="70">
        <v>32559</v>
      </c>
      <c r="K95" s="71">
        <v>0</v>
      </c>
      <c r="L95" s="71">
        <v>0</v>
      </c>
      <c r="M95" s="71">
        <v>0</v>
      </c>
      <c r="N95" s="71">
        <v>0</v>
      </c>
      <c r="O95" s="71">
        <v>60</v>
      </c>
      <c r="P95" s="71">
        <v>5</v>
      </c>
      <c r="Q95" s="71">
        <v>0</v>
      </c>
      <c r="R95" s="71">
        <v>0</v>
      </c>
      <c r="S95" s="134"/>
      <c r="T95" s="106">
        <v>9900</v>
      </c>
      <c r="U95" s="106">
        <v>8100</v>
      </c>
      <c r="V95" s="30" t="s">
        <v>25</v>
      </c>
      <c r="W95" s="58" t="s">
        <v>25</v>
      </c>
      <c r="X95" s="30" t="s">
        <v>25</v>
      </c>
      <c r="Y95" s="30" t="s">
        <v>25</v>
      </c>
      <c r="Z95" s="29" t="s">
        <v>454</v>
      </c>
      <c r="AA95" s="30" t="s">
        <v>25</v>
      </c>
      <c r="AB95" s="30" t="s">
        <v>25</v>
      </c>
      <c r="AC95" s="29" t="s">
        <v>24</v>
      </c>
      <c r="AD95" s="29" t="s">
        <v>455</v>
      </c>
      <c r="AE95" s="22" t="s">
        <v>37</v>
      </c>
      <c r="AG95" s="30">
        <f t="shared" si="1"/>
        <v>8100</v>
      </c>
      <c r="AH95" s="147">
        <v>9000</v>
      </c>
      <c r="AI95" s="30">
        <v>1710</v>
      </c>
      <c r="AJ95" s="30">
        <v>10710</v>
      </c>
    </row>
    <row r="96" spans="1:36" ht="33" x14ac:dyDescent="0.3">
      <c r="A96" s="22">
        <v>94</v>
      </c>
      <c r="B96" s="24">
        <v>1121010815</v>
      </c>
      <c r="C96" s="24" t="s">
        <v>20</v>
      </c>
      <c r="D96" s="117" t="s">
        <v>551</v>
      </c>
      <c r="E96" s="26" t="s">
        <v>22</v>
      </c>
      <c r="F96" s="114" t="s">
        <v>551</v>
      </c>
      <c r="G96" s="26" t="e">
        <v>#N/A</v>
      </c>
      <c r="H96" s="26" t="e">
        <v>#N/A</v>
      </c>
      <c r="I96" s="26" t="s">
        <v>20</v>
      </c>
      <c r="J96" s="70">
        <v>35272.006670000002</v>
      </c>
      <c r="K96" s="71">
        <v>0</v>
      </c>
      <c r="L96" s="71">
        <v>0</v>
      </c>
      <c r="M96" s="71">
        <v>0</v>
      </c>
      <c r="N96" s="71">
        <v>0</v>
      </c>
      <c r="O96" s="71">
        <v>30</v>
      </c>
      <c r="P96" s="71">
        <v>2.5</v>
      </c>
      <c r="Q96" s="71">
        <v>0</v>
      </c>
      <c r="R96" s="71">
        <v>0</v>
      </c>
      <c r="S96" s="134"/>
      <c r="T96" s="134" t="s">
        <v>37</v>
      </c>
      <c r="U96" s="106">
        <v>8900</v>
      </c>
      <c r="V96" s="30" t="s">
        <v>25</v>
      </c>
      <c r="W96" s="58" t="s">
        <v>25</v>
      </c>
      <c r="X96" s="30" t="s">
        <v>25</v>
      </c>
      <c r="Y96" s="30" t="s">
        <v>25</v>
      </c>
      <c r="Z96" s="29" t="s">
        <v>454</v>
      </c>
      <c r="AA96" s="30" t="s">
        <v>25</v>
      </c>
      <c r="AB96" s="30" t="s">
        <v>25</v>
      </c>
      <c r="AC96" s="29" t="s">
        <v>24</v>
      </c>
      <c r="AD96" s="29" t="s">
        <v>455</v>
      </c>
      <c r="AE96" s="22" t="s">
        <v>37</v>
      </c>
      <c r="AG96" s="30">
        <f t="shared" si="1"/>
        <v>8900</v>
      </c>
      <c r="AH96" s="147">
        <v>8900</v>
      </c>
      <c r="AI96" s="30">
        <v>1691</v>
      </c>
      <c r="AJ96" s="30">
        <v>10591</v>
      </c>
    </row>
    <row r="97" spans="1:36" ht="33" x14ac:dyDescent="0.3">
      <c r="A97" s="22">
        <v>95</v>
      </c>
      <c r="B97" s="24">
        <v>1121010025</v>
      </c>
      <c r="C97" s="24" t="s">
        <v>20</v>
      </c>
      <c r="D97" s="117" t="s">
        <v>552</v>
      </c>
      <c r="E97" s="26" t="s">
        <v>22</v>
      </c>
      <c r="F97" s="114" t="s">
        <v>552</v>
      </c>
      <c r="G97" s="26" t="e">
        <v>#N/A</v>
      </c>
      <c r="H97" s="26" t="e">
        <v>#N/A</v>
      </c>
      <c r="I97" s="26" t="s">
        <v>20</v>
      </c>
      <c r="J97" s="70">
        <v>32559</v>
      </c>
      <c r="K97" s="71">
        <v>49</v>
      </c>
      <c r="L97" s="71">
        <v>120</v>
      </c>
      <c r="M97" s="71">
        <v>241</v>
      </c>
      <c r="N97" s="71">
        <v>20.083333333333332</v>
      </c>
      <c r="O97" s="71">
        <v>64</v>
      </c>
      <c r="P97" s="71">
        <v>5.333333333333333</v>
      </c>
      <c r="Q97" s="71">
        <v>0</v>
      </c>
      <c r="R97" s="71">
        <v>0</v>
      </c>
      <c r="S97" s="134"/>
      <c r="T97" s="134" t="s">
        <v>176</v>
      </c>
      <c r="U97" s="134" t="s">
        <v>176</v>
      </c>
      <c r="V97" s="30" t="s">
        <v>25</v>
      </c>
      <c r="W97" s="58" t="s">
        <v>25</v>
      </c>
      <c r="X97" s="30" t="s">
        <v>25</v>
      </c>
      <c r="Y97" s="30" t="s">
        <v>25</v>
      </c>
      <c r="Z97" s="29" t="s">
        <v>454</v>
      </c>
      <c r="AA97" s="30">
        <v>9144</v>
      </c>
      <c r="AB97" s="30" t="s">
        <v>25</v>
      </c>
      <c r="AC97" s="29">
        <v>21347</v>
      </c>
      <c r="AD97" s="29" t="s">
        <v>455</v>
      </c>
      <c r="AE97" s="22" t="s">
        <v>176</v>
      </c>
      <c r="AG97" s="30">
        <f t="shared" si="1"/>
        <v>9144</v>
      </c>
      <c r="AH97" s="147">
        <v>15245.5</v>
      </c>
      <c r="AI97" s="30">
        <v>2896.645</v>
      </c>
      <c r="AJ97" s="30">
        <v>18142.145</v>
      </c>
    </row>
    <row r="98" spans="1:36" ht="33" x14ac:dyDescent="0.3">
      <c r="A98" s="22">
        <v>96</v>
      </c>
      <c r="B98" s="24">
        <v>1121010037</v>
      </c>
      <c r="C98" s="24" t="s">
        <v>20</v>
      </c>
      <c r="D98" s="117" t="s">
        <v>553</v>
      </c>
      <c r="E98" s="26" t="s">
        <v>22</v>
      </c>
      <c r="F98" s="114" t="s">
        <v>553</v>
      </c>
      <c r="G98" s="26" t="e">
        <v>#N/A</v>
      </c>
      <c r="H98" s="26" t="e">
        <v>#N/A</v>
      </c>
      <c r="I98" s="26" t="s">
        <v>20</v>
      </c>
      <c r="J98" s="70">
        <v>1</v>
      </c>
      <c r="K98" s="71">
        <v>0</v>
      </c>
      <c r="L98" s="71">
        <v>0</v>
      </c>
      <c r="M98" s="71">
        <v>0</v>
      </c>
      <c r="N98" s="71">
        <v>0</v>
      </c>
      <c r="O98" s="71">
        <v>0</v>
      </c>
      <c r="P98" s="71">
        <v>0</v>
      </c>
      <c r="Q98" s="71">
        <v>0</v>
      </c>
      <c r="R98" s="71">
        <v>0</v>
      </c>
      <c r="S98" s="134"/>
      <c r="T98" s="106">
        <v>7900</v>
      </c>
      <c r="U98" s="134" t="s">
        <v>37</v>
      </c>
      <c r="V98" s="30" t="s">
        <v>25</v>
      </c>
      <c r="W98" s="58" t="s">
        <v>25</v>
      </c>
      <c r="X98" s="30" t="s">
        <v>25</v>
      </c>
      <c r="Y98" s="30" t="s">
        <v>25</v>
      </c>
      <c r="Z98" s="29" t="s">
        <v>454</v>
      </c>
      <c r="AA98" s="30" t="s">
        <v>25</v>
      </c>
      <c r="AB98" s="30" t="s">
        <v>25</v>
      </c>
      <c r="AC98" s="29" t="s">
        <v>24</v>
      </c>
      <c r="AD98" s="29" t="s">
        <v>455</v>
      </c>
      <c r="AE98" s="22" t="s">
        <v>37</v>
      </c>
      <c r="AG98" s="30">
        <f t="shared" si="1"/>
        <v>7900</v>
      </c>
      <c r="AH98" s="147">
        <v>7900</v>
      </c>
      <c r="AI98" s="30">
        <v>1501</v>
      </c>
      <c r="AJ98" s="30">
        <v>9401</v>
      </c>
    </row>
    <row r="99" spans="1:36" ht="33" x14ac:dyDescent="0.3">
      <c r="A99" s="22">
        <v>97</v>
      </c>
      <c r="B99" s="74">
        <v>1121010813</v>
      </c>
      <c r="C99" s="24"/>
      <c r="D99" s="117" t="s">
        <v>554</v>
      </c>
      <c r="E99" s="26" t="s">
        <v>22</v>
      </c>
      <c r="F99" s="117" t="s">
        <v>554</v>
      </c>
      <c r="G99" s="26"/>
      <c r="H99" s="26"/>
      <c r="I99" s="26"/>
      <c r="J99" s="70"/>
      <c r="K99" s="71"/>
      <c r="L99" s="71"/>
      <c r="M99" s="71"/>
      <c r="N99" s="71"/>
      <c r="O99" s="71"/>
      <c r="P99" s="71"/>
      <c r="Q99" s="71"/>
      <c r="R99" s="71"/>
      <c r="S99" s="134"/>
      <c r="T99" s="106">
        <v>12900</v>
      </c>
      <c r="U99" s="134" t="s">
        <v>37</v>
      </c>
      <c r="V99" s="30" t="s">
        <v>25</v>
      </c>
      <c r="W99" s="58" t="s">
        <v>25</v>
      </c>
      <c r="X99" s="30" t="s">
        <v>25</v>
      </c>
      <c r="Y99" s="30" t="s">
        <v>25</v>
      </c>
      <c r="Z99" s="29" t="s">
        <v>454</v>
      </c>
      <c r="AA99" s="30" t="s">
        <v>25</v>
      </c>
      <c r="AB99" s="30" t="s">
        <v>25</v>
      </c>
      <c r="AC99" s="29" t="s">
        <v>24</v>
      </c>
      <c r="AD99" s="29" t="s">
        <v>455</v>
      </c>
      <c r="AE99" s="22" t="s">
        <v>37</v>
      </c>
      <c r="AG99" s="30"/>
      <c r="AH99" s="147">
        <v>12900</v>
      </c>
      <c r="AI99" s="30">
        <v>2451</v>
      </c>
      <c r="AJ99" s="30">
        <v>15351</v>
      </c>
    </row>
    <row r="100" spans="1:36" x14ac:dyDescent="0.3">
      <c r="A100" s="22">
        <v>98</v>
      </c>
      <c r="B100" s="24">
        <v>1121010061</v>
      </c>
      <c r="C100" s="24" t="s">
        <v>20</v>
      </c>
      <c r="D100" s="117" t="s">
        <v>555</v>
      </c>
      <c r="E100" s="26" t="s">
        <v>22</v>
      </c>
      <c r="F100" s="114" t="s">
        <v>555</v>
      </c>
      <c r="G100" s="26" t="e">
        <v>#N/A</v>
      </c>
      <c r="H100" s="26" t="e">
        <v>#N/A</v>
      </c>
      <c r="I100" s="26" t="s">
        <v>20</v>
      </c>
      <c r="J100" s="70">
        <v>16957.986669999998</v>
      </c>
      <c r="K100" s="71">
        <v>0</v>
      </c>
      <c r="L100" s="71">
        <v>94</v>
      </c>
      <c r="M100" s="71">
        <v>19</v>
      </c>
      <c r="N100" s="71">
        <v>1.5833333333333333</v>
      </c>
      <c r="O100" s="71">
        <v>60</v>
      </c>
      <c r="P100" s="71">
        <v>5</v>
      </c>
      <c r="Q100" s="71">
        <v>0</v>
      </c>
      <c r="R100" s="71">
        <v>0</v>
      </c>
      <c r="S100" s="134"/>
      <c r="T100" s="134" t="s">
        <v>176</v>
      </c>
      <c r="U100" s="134" t="s">
        <v>176</v>
      </c>
      <c r="V100" s="30" t="s">
        <v>25</v>
      </c>
      <c r="W100" s="58" t="s">
        <v>25</v>
      </c>
      <c r="X100" s="30" t="s">
        <v>25</v>
      </c>
      <c r="Y100" s="30" t="s">
        <v>25</v>
      </c>
      <c r="Z100" s="29" t="s">
        <v>454</v>
      </c>
      <c r="AA100" s="30">
        <v>9824</v>
      </c>
      <c r="AB100" s="30" t="s">
        <v>25</v>
      </c>
      <c r="AC100" s="29">
        <v>18325</v>
      </c>
      <c r="AD100" s="29" t="s">
        <v>455</v>
      </c>
      <c r="AE100" s="22" t="s">
        <v>176</v>
      </c>
      <c r="AG100" s="30">
        <f t="shared" ref="AG100:AG126" si="2">MIN(V100:AD100)</f>
        <v>9824</v>
      </c>
      <c r="AH100" s="147">
        <v>14074.5</v>
      </c>
      <c r="AI100" s="30">
        <v>2674.1550000000002</v>
      </c>
      <c r="AJ100" s="30">
        <v>16748.654999999999</v>
      </c>
    </row>
    <row r="101" spans="1:36" ht="33" x14ac:dyDescent="0.3">
      <c r="A101" s="22">
        <v>99</v>
      </c>
      <c r="B101" s="24">
        <v>1104090032</v>
      </c>
      <c r="C101" s="24" t="s">
        <v>20</v>
      </c>
      <c r="D101" s="117" t="s">
        <v>556</v>
      </c>
      <c r="E101" s="26" t="s">
        <v>32</v>
      </c>
      <c r="F101" s="114" t="s">
        <v>556</v>
      </c>
      <c r="G101" s="26" t="e">
        <v>#N/A</v>
      </c>
      <c r="H101" s="26" t="e">
        <v>#N/A</v>
      </c>
      <c r="I101" s="26" t="s">
        <v>20</v>
      </c>
      <c r="J101" s="70">
        <v>6457.05</v>
      </c>
      <c r="K101" s="71">
        <v>0</v>
      </c>
      <c r="L101" s="71">
        <v>0</v>
      </c>
      <c r="M101" s="71">
        <v>1</v>
      </c>
      <c r="N101" s="71">
        <v>8.3333333333333329E-2</v>
      </c>
      <c r="O101" s="71">
        <v>5</v>
      </c>
      <c r="P101" s="71">
        <v>0.41666666666666669</v>
      </c>
      <c r="Q101" s="71">
        <v>0</v>
      </c>
      <c r="R101" s="71">
        <v>0</v>
      </c>
      <c r="S101" s="134"/>
      <c r="T101" s="134" t="s">
        <v>176</v>
      </c>
      <c r="U101" s="134" t="s">
        <v>176</v>
      </c>
      <c r="V101" s="30" t="s">
        <v>25</v>
      </c>
      <c r="W101" s="58" t="s">
        <v>25</v>
      </c>
      <c r="X101" s="30" t="s">
        <v>25</v>
      </c>
      <c r="Y101" s="30" t="s">
        <v>25</v>
      </c>
      <c r="Z101" s="29" t="s">
        <v>454</v>
      </c>
      <c r="AA101" s="30" t="s">
        <v>25</v>
      </c>
      <c r="AB101" s="30">
        <v>6580</v>
      </c>
      <c r="AC101" s="29" t="s">
        <v>24</v>
      </c>
      <c r="AD101" s="29" t="s">
        <v>24</v>
      </c>
      <c r="AE101" s="22" t="s">
        <v>176</v>
      </c>
      <c r="AG101" s="30">
        <f t="shared" si="2"/>
        <v>6580</v>
      </c>
      <c r="AH101" s="147">
        <v>6580</v>
      </c>
      <c r="AI101" s="30">
        <v>1250.2</v>
      </c>
      <c r="AJ101" s="30">
        <v>7830.2</v>
      </c>
    </row>
    <row r="102" spans="1:36" x14ac:dyDescent="0.3">
      <c r="A102" s="22">
        <v>100</v>
      </c>
      <c r="B102" s="24">
        <v>11110005153</v>
      </c>
      <c r="C102" s="24" t="s">
        <v>20</v>
      </c>
      <c r="D102" s="117" t="s">
        <v>557</v>
      </c>
      <c r="E102" s="26" t="s">
        <v>22</v>
      </c>
      <c r="F102" s="114" t="s">
        <v>557</v>
      </c>
      <c r="G102" s="26" t="e">
        <v>#N/A</v>
      </c>
      <c r="H102" s="26" t="e">
        <v>#N/A</v>
      </c>
      <c r="I102" s="26" t="s">
        <v>20</v>
      </c>
      <c r="J102" s="70">
        <v>1</v>
      </c>
      <c r="K102" s="71">
        <v>0</v>
      </c>
      <c r="L102" s="71">
        <v>0</v>
      </c>
      <c r="M102" s="71">
        <v>0</v>
      </c>
      <c r="N102" s="71">
        <v>0</v>
      </c>
      <c r="O102" s="71">
        <v>0</v>
      </c>
      <c r="P102" s="71">
        <v>0</v>
      </c>
      <c r="Q102" s="71">
        <v>0</v>
      </c>
      <c r="R102" s="71">
        <v>0</v>
      </c>
      <c r="S102" s="134"/>
      <c r="T102" s="134" t="s">
        <v>176</v>
      </c>
      <c r="U102" s="134" t="s">
        <v>176</v>
      </c>
      <c r="V102" s="30" t="s">
        <v>25</v>
      </c>
      <c r="W102" s="58" t="s">
        <v>25</v>
      </c>
      <c r="X102" s="30" t="s">
        <v>25</v>
      </c>
      <c r="Y102" s="30" t="s">
        <v>25</v>
      </c>
      <c r="Z102" s="29">
        <v>15100</v>
      </c>
      <c r="AA102" s="30" t="s">
        <v>25</v>
      </c>
      <c r="AB102" s="30" t="s">
        <v>25</v>
      </c>
      <c r="AC102" s="29" t="s">
        <v>24</v>
      </c>
      <c r="AD102" s="29" t="s">
        <v>24</v>
      </c>
      <c r="AE102" s="22" t="s">
        <v>176</v>
      </c>
      <c r="AG102" s="30">
        <f t="shared" si="2"/>
        <v>15100</v>
      </c>
      <c r="AH102" s="147">
        <v>15100</v>
      </c>
      <c r="AI102" s="30">
        <v>2869</v>
      </c>
      <c r="AJ102" s="30">
        <v>17969</v>
      </c>
    </row>
    <row r="103" spans="1:36" x14ac:dyDescent="0.3">
      <c r="A103" s="22">
        <v>101</v>
      </c>
      <c r="B103" s="24">
        <v>1121010012</v>
      </c>
      <c r="C103" s="24" t="s">
        <v>20</v>
      </c>
      <c r="D103" s="117" t="s">
        <v>558</v>
      </c>
      <c r="E103" s="26" t="s">
        <v>22</v>
      </c>
      <c r="F103" s="114" t="s">
        <v>558</v>
      </c>
      <c r="G103" s="26" t="e">
        <v>#N/A</v>
      </c>
      <c r="H103" s="26" t="e">
        <v>#N/A</v>
      </c>
      <c r="I103" s="26" t="s">
        <v>20</v>
      </c>
      <c r="J103" s="70">
        <v>285600</v>
      </c>
      <c r="K103" s="71">
        <v>0</v>
      </c>
      <c r="L103" s="71">
        <v>36</v>
      </c>
      <c r="M103" s="71">
        <v>14</v>
      </c>
      <c r="N103" s="71">
        <v>1.1666666666666667</v>
      </c>
      <c r="O103" s="71">
        <v>5</v>
      </c>
      <c r="P103" s="71">
        <v>0.41666666666666669</v>
      </c>
      <c r="Q103" s="71">
        <v>0</v>
      </c>
      <c r="R103" s="71">
        <v>0</v>
      </c>
      <c r="S103" s="134"/>
      <c r="T103" s="134" t="s">
        <v>176</v>
      </c>
      <c r="U103" s="134" t="s">
        <v>176</v>
      </c>
      <c r="V103" s="30" t="s">
        <v>25</v>
      </c>
      <c r="W103" s="58" t="s">
        <v>25</v>
      </c>
      <c r="X103" s="30">
        <v>259535</v>
      </c>
      <c r="Y103" s="30" t="s">
        <v>25</v>
      </c>
      <c r="Z103" s="29" t="s">
        <v>454</v>
      </c>
      <c r="AA103" s="30" t="s">
        <v>25</v>
      </c>
      <c r="AB103" s="30" t="s">
        <v>25</v>
      </c>
      <c r="AC103" s="29" t="s">
        <v>24</v>
      </c>
      <c r="AD103" s="29" t="s">
        <v>24</v>
      </c>
      <c r="AE103" s="22" t="s">
        <v>176</v>
      </c>
      <c r="AG103" s="30">
        <f t="shared" si="2"/>
        <v>259535</v>
      </c>
      <c r="AH103" s="147">
        <v>259535</v>
      </c>
      <c r="AI103" s="30">
        <v>49311.65</v>
      </c>
      <c r="AJ103" s="30">
        <v>308846.65000000002</v>
      </c>
    </row>
    <row r="104" spans="1:36" ht="33" x14ac:dyDescent="0.3">
      <c r="A104" s="22">
        <v>102</v>
      </c>
      <c r="B104" s="24">
        <v>1121090907</v>
      </c>
      <c r="C104" s="24" t="s">
        <v>20</v>
      </c>
      <c r="D104" s="117" t="s">
        <v>559</v>
      </c>
      <c r="E104" s="26" t="s">
        <v>22</v>
      </c>
      <c r="F104" s="114" t="s">
        <v>559</v>
      </c>
      <c r="G104" s="26" t="e">
        <v>#N/A</v>
      </c>
      <c r="H104" s="26" t="e">
        <v>#N/A</v>
      </c>
      <c r="I104" s="26" t="s">
        <v>20</v>
      </c>
      <c r="J104" s="70">
        <v>24.053450000000002</v>
      </c>
      <c r="K104" s="71">
        <v>0</v>
      </c>
      <c r="L104" s="71">
        <v>0</v>
      </c>
      <c r="M104" s="71">
        <v>0</v>
      </c>
      <c r="N104" s="71">
        <v>0</v>
      </c>
      <c r="O104" s="71">
        <v>0</v>
      </c>
      <c r="P104" s="71">
        <v>0</v>
      </c>
      <c r="Q104" s="71">
        <v>0</v>
      </c>
      <c r="R104" s="71">
        <v>1000</v>
      </c>
      <c r="S104" s="134"/>
      <c r="T104" s="134" t="s">
        <v>176</v>
      </c>
      <c r="U104" s="134" t="s">
        <v>176</v>
      </c>
      <c r="V104" s="30" t="s">
        <v>25</v>
      </c>
      <c r="W104" s="58" t="s">
        <v>25</v>
      </c>
      <c r="X104" s="30" t="s">
        <v>25</v>
      </c>
      <c r="Y104" s="30" t="s">
        <v>25</v>
      </c>
      <c r="Z104" s="29" t="s">
        <v>454</v>
      </c>
      <c r="AA104" s="30" t="s">
        <v>25</v>
      </c>
      <c r="AB104" s="30">
        <v>17017</v>
      </c>
      <c r="AC104" s="29" t="s">
        <v>24</v>
      </c>
      <c r="AD104" s="29" t="s">
        <v>24</v>
      </c>
      <c r="AE104" s="22" t="s">
        <v>176</v>
      </c>
      <c r="AG104" s="30">
        <f t="shared" si="2"/>
        <v>17017</v>
      </c>
      <c r="AH104" s="147">
        <v>17017</v>
      </c>
      <c r="AI104" s="30">
        <v>3233.23</v>
      </c>
      <c r="AJ104" s="30">
        <v>20250.23</v>
      </c>
    </row>
    <row r="105" spans="1:36" ht="33" x14ac:dyDescent="0.3">
      <c r="A105" s="22">
        <v>103</v>
      </c>
      <c r="B105" s="24">
        <v>1048017713</v>
      </c>
      <c r="C105" s="24" t="s">
        <v>20</v>
      </c>
      <c r="D105" s="117" t="s">
        <v>560</v>
      </c>
      <c r="E105" s="26" t="s">
        <v>22</v>
      </c>
      <c r="F105" s="114" t="s">
        <v>560</v>
      </c>
      <c r="G105" s="26" t="e">
        <v>#N/A</v>
      </c>
      <c r="H105" s="26" t="e">
        <v>#N/A</v>
      </c>
      <c r="I105" s="26" t="s">
        <v>20</v>
      </c>
      <c r="J105" s="70">
        <v>1</v>
      </c>
      <c r="K105" s="71">
        <v>0</v>
      </c>
      <c r="L105" s="71">
        <v>0</v>
      </c>
      <c r="M105" s="71">
        <v>0</v>
      </c>
      <c r="N105" s="71">
        <v>0</v>
      </c>
      <c r="O105" s="71">
        <v>0</v>
      </c>
      <c r="P105" s="71">
        <v>0</v>
      </c>
      <c r="Q105" s="71">
        <v>0</v>
      </c>
      <c r="R105" s="71">
        <v>0</v>
      </c>
      <c r="S105" s="134"/>
      <c r="T105" s="134" t="s">
        <v>176</v>
      </c>
      <c r="U105" s="134" t="s">
        <v>176</v>
      </c>
      <c r="V105" s="30" t="s">
        <v>25</v>
      </c>
      <c r="W105" s="58" t="s">
        <v>25</v>
      </c>
      <c r="X105" s="30">
        <v>287646</v>
      </c>
      <c r="Y105" s="30" t="s">
        <v>25</v>
      </c>
      <c r="Z105" s="29" t="s">
        <v>454</v>
      </c>
      <c r="AA105" s="30">
        <v>257124</v>
      </c>
      <c r="AB105" s="30" t="s">
        <v>25</v>
      </c>
      <c r="AC105" s="29" t="s">
        <v>24</v>
      </c>
      <c r="AD105" s="29" t="s">
        <v>24</v>
      </c>
      <c r="AE105" s="22" t="s">
        <v>176</v>
      </c>
      <c r="AG105" s="30">
        <f t="shared" si="2"/>
        <v>257124</v>
      </c>
      <c r="AH105" s="147">
        <v>272385</v>
      </c>
      <c r="AI105" s="30">
        <v>51753.15</v>
      </c>
      <c r="AJ105" s="30">
        <v>324138.15000000002</v>
      </c>
    </row>
    <row r="106" spans="1:36" ht="33" x14ac:dyDescent="0.3">
      <c r="A106" s="22">
        <v>104</v>
      </c>
      <c r="B106" s="24">
        <v>1048017714</v>
      </c>
      <c r="C106" s="24" t="s">
        <v>20</v>
      </c>
      <c r="D106" s="117" t="s">
        <v>561</v>
      </c>
      <c r="E106" s="26" t="s">
        <v>22</v>
      </c>
      <c r="F106" s="114" t="s">
        <v>561</v>
      </c>
      <c r="G106" s="26" t="e">
        <v>#N/A</v>
      </c>
      <c r="H106" s="26" t="e">
        <v>#N/A</v>
      </c>
      <c r="I106" s="26" t="s">
        <v>20</v>
      </c>
      <c r="J106" s="70">
        <v>1</v>
      </c>
      <c r="K106" s="71">
        <v>0</v>
      </c>
      <c r="L106" s="71">
        <v>0</v>
      </c>
      <c r="M106" s="71">
        <v>0</v>
      </c>
      <c r="N106" s="71">
        <v>0</v>
      </c>
      <c r="O106" s="71">
        <v>0</v>
      </c>
      <c r="P106" s="71">
        <v>0</v>
      </c>
      <c r="Q106" s="71">
        <v>0</v>
      </c>
      <c r="R106" s="71">
        <v>0</v>
      </c>
      <c r="S106" s="134"/>
      <c r="T106" s="134" t="s">
        <v>176</v>
      </c>
      <c r="U106" s="134" t="s">
        <v>176</v>
      </c>
      <c r="V106" s="30" t="s">
        <v>25</v>
      </c>
      <c r="W106" s="58" t="s">
        <v>25</v>
      </c>
      <c r="X106" s="30">
        <v>61890</v>
      </c>
      <c r="Y106" s="30" t="s">
        <v>25</v>
      </c>
      <c r="Z106" s="29" t="s">
        <v>454</v>
      </c>
      <c r="AA106" s="30">
        <v>23941</v>
      </c>
      <c r="AB106" s="30" t="s">
        <v>25</v>
      </c>
      <c r="AC106" s="29" t="s">
        <v>24</v>
      </c>
      <c r="AD106" s="29" t="s">
        <v>24</v>
      </c>
      <c r="AE106" s="22" t="s">
        <v>176</v>
      </c>
      <c r="AG106" s="30">
        <f t="shared" si="2"/>
        <v>23941</v>
      </c>
      <c r="AH106" s="147">
        <v>42915.5</v>
      </c>
      <c r="AI106" s="30">
        <v>8153.9449999999997</v>
      </c>
      <c r="AJ106" s="30">
        <v>51069.445</v>
      </c>
    </row>
    <row r="107" spans="1:36" ht="33" x14ac:dyDescent="0.3">
      <c r="A107" s="22">
        <v>105</v>
      </c>
      <c r="B107" s="24">
        <v>1123229206</v>
      </c>
      <c r="C107" s="24" t="s">
        <v>20</v>
      </c>
      <c r="D107" s="117" t="s">
        <v>562</v>
      </c>
      <c r="E107" s="26" t="s">
        <v>22</v>
      </c>
      <c r="F107" s="114" t="s">
        <v>562</v>
      </c>
      <c r="G107" s="26" t="e">
        <v>#N/A</v>
      </c>
      <c r="H107" s="26" t="e">
        <v>#N/A</v>
      </c>
      <c r="I107" s="26" t="s">
        <v>20</v>
      </c>
      <c r="J107" s="70">
        <v>670.03</v>
      </c>
      <c r="K107" s="71">
        <v>20</v>
      </c>
      <c r="L107" s="71">
        <v>173</v>
      </c>
      <c r="M107" s="71">
        <v>245</v>
      </c>
      <c r="N107" s="71">
        <v>20.416666666666668</v>
      </c>
      <c r="O107" s="71">
        <v>110</v>
      </c>
      <c r="P107" s="71">
        <v>9.1666666666666661</v>
      </c>
      <c r="Q107" s="71">
        <v>0</v>
      </c>
      <c r="R107" s="71">
        <v>0</v>
      </c>
      <c r="S107" s="134"/>
      <c r="T107" s="134" t="s">
        <v>176</v>
      </c>
      <c r="U107" s="134" t="s">
        <v>176</v>
      </c>
      <c r="V107" s="30" t="s">
        <v>25</v>
      </c>
      <c r="W107" s="58" t="s">
        <v>25</v>
      </c>
      <c r="X107" s="30" t="s">
        <v>25</v>
      </c>
      <c r="Y107" s="30" t="s">
        <v>25</v>
      </c>
      <c r="Z107" s="29" t="s">
        <v>454</v>
      </c>
      <c r="AA107" s="30" t="s">
        <v>25</v>
      </c>
      <c r="AB107" s="30">
        <v>794</v>
      </c>
      <c r="AC107" s="29" t="s">
        <v>24</v>
      </c>
      <c r="AD107" s="29" t="s">
        <v>24</v>
      </c>
      <c r="AE107" s="22" t="s">
        <v>176</v>
      </c>
      <c r="AG107" s="30">
        <f t="shared" si="2"/>
        <v>794</v>
      </c>
      <c r="AH107" s="147">
        <v>794</v>
      </c>
      <c r="AI107" s="30">
        <v>150.86000000000001</v>
      </c>
      <c r="AJ107" s="30">
        <v>944.86</v>
      </c>
    </row>
    <row r="108" spans="1:36" x14ac:dyDescent="0.3">
      <c r="A108" s="22">
        <v>106</v>
      </c>
      <c r="B108" s="24">
        <v>1123299017</v>
      </c>
      <c r="C108" s="24" t="s">
        <v>20</v>
      </c>
      <c r="D108" s="117" t="s">
        <v>563</v>
      </c>
      <c r="E108" s="26" t="s">
        <v>22</v>
      </c>
      <c r="F108" s="114" t="s">
        <v>563</v>
      </c>
      <c r="G108" s="26" t="e">
        <v>#N/A</v>
      </c>
      <c r="H108" s="26" t="e">
        <v>#N/A</v>
      </c>
      <c r="I108" s="26" t="s">
        <v>20</v>
      </c>
      <c r="J108" s="70">
        <v>1</v>
      </c>
      <c r="K108" s="71">
        <v>0</v>
      </c>
      <c r="L108" s="71">
        <v>0</v>
      </c>
      <c r="M108" s="71">
        <v>0</v>
      </c>
      <c r="N108" s="71">
        <v>0</v>
      </c>
      <c r="O108" s="71">
        <v>0</v>
      </c>
      <c r="P108" s="71">
        <v>0</v>
      </c>
      <c r="Q108" s="71">
        <v>0</v>
      </c>
      <c r="R108" s="71">
        <v>0</v>
      </c>
      <c r="S108" s="134"/>
      <c r="T108" s="134" t="s">
        <v>176</v>
      </c>
      <c r="U108" s="134" t="s">
        <v>176</v>
      </c>
      <c r="V108" s="30" t="s">
        <v>25</v>
      </c>
      <c r="W108" s="58" t="s">
        <v>25</v>
      </c>
      <c r="X108" s="30" t="s">
        <v>25</v>
      </c>
      <c r="Y108" s="30" t="s">
        <v>25</v>
      </c>
      <c r="Z108" s="29" t="s">
        <v>454</v>
      </c>
      <c r="AA108" s="30" t="s">
        <v>25</v>
      </c>
      <c r="AB108" s="30">
        <v>680</v>
      </c>
      <c r="AC108" s="29" t="s">
        <v>24</v>
      </c>
      <c r="AD108" s="29" t="s">
        <v>24</v>
      </c>
      <c r="AE108" s="22" t="s">
        <v>176</v>
      </c>
      <c r="AG108" s="30">
        <f t="shared" si="2"/>
        <v>680</v>
      </c>
      <c r="AH108" s="147">
        <v>680</v>
      </c>
      <c r="AI108" s="30">
        <v>129.19999999999999</v>
      </c>
      <c r="AJ108" s="30">
        <v>809.2</v>
      </c>
    </row>
    <row r="109" spans="1:36" ht="33" x14ac:dyDescent="0.3">
      <c r="A109" s="22">
        <v>107</v>
      </c>
      <c r="B109" s="24">
        <v>1123229531</v>
      </c>
      <c r="C109" s="24" t="s">
        <v>20</v>
      </c>
      <c r="D109" s="117" t="s">
        <v>564</v>
      </c>
      <c r="E109" s="26" t="s">
        <v>22</v>
      </c>
      <c r="F109" s="114" t="s">
        <v>564</v>
      </c>
      <c r="G109" s="26" t="e">
        <v>#N/A</v>
      </c>
      <c r="H109" s="26" t="e">
        <v>#N/A</v>
      </c>
      <c r="I109" s="26" t="s">
        <v>20</v>
      </c>
      <c r="J109" s="70">
        <v>10</v>
      </c>
      <c r="K109" s="71">
        <v>0</v>
      </c>
      <c r="L109" s="71">
        <v>0</v>
      </c>
      <c r="M109" s="71">
        <v>0</v>
      </c>
      <c r="N109" s="71">
        <v>0</v>
      </c>
      <c r="O109" s="71">
        <v>0</v>
      </c>
      <c r="P109" s="71">
        <v>0</v>
      </c>
      <c r="Q109" s="71">
        <v>0</v>
      </c>
      <c r="R109" s="71">
        <v>0</v>
      </c>
      <c r="S109" s="134"/>
      <c r="T109" s="134" t="s">
        <v>176</v>
      </c>
      <c r="U109" s="134" t="s">
        <v>176</v>
      </c>
      <c r="V109" s="30" t="s">
        <v>25</v>
      </c>
      <c r="W109" s="58" t="s">
        <v>25</v>
      </c>
      <c r="X109" s="30" t="s">
        <v>25</v>
      </c>
      <c r="Y109" s="30" t="s">
        <v>25</v>
      </c>
      <c r="Z109" s="29" t="s">
        <v>454</v>
      </c>
      <c r="AA109" s="30">
        <v>924</v>
      </c>
      <c r="AB109" s="30" t="s">
        <v>25</v>
      </c>
      <c r="AC109" s="29" t="s">
        <v>24</v>
      </c>
      <c r="AD109" s="29" t="s">
        <v>24</v>
      </c>
      <c r="AE109" s="22" t="s">
        <v>176</v>
      </c>
      <c r="AG109" s="30">
        <f t="shared" si="2"/>
        <v>924</v>
      </c>
      <c r="AH109" s="147">
        <v>924</v>
      </c>
      <c r="AI109" s="30">
        <v>175.56</v>
      </c>
      <c r="AJ109" s="30">
        <v>1099.56</v>
      </c>
    </row>
    <row r="110" spans="1:36" ht="33" x14ac:dyDescent="0.3">
      <c r="A110" s="22">
        <v>108</v>
      </c>
      <c r="B110" s="24">
        <v>1123229532</v>
      </c>
      <c r="C110" s="24" t="s">
        <v>20</v>
      </c>
      <c r="D110" s="117" t="s">
        <v>565</v>
      </c>
      <c r="E110" s="26" t="s">
        <v>22</v>
      </c>
      <c r="F110" s="114" t="s">
        <v>565</v>
      </c>
      <c r="G110" s="26" t="e">
        <v>#N/A</v>
      </c>
      <c r="H110" s="26" t="e">
        <v>#N/A</v>
      </c>
      <c r="I110" s="26" t="s">
        <v>20</v>
      </c>
      <c r="J110" s="70">
        <v>1</v>
      </c>
      <c r="K110" s="71">
        <v>0</v>
      </c>
      <c r="L110" s="71">
        <v>0</v>
      </c>
      <c r="M110" s="71">
        <v>0</v>
      </c>
      <c r="N110" s="71">
        <v>0</v>
      </c>
      <c r="O110" s="71">
        <v>0</v>
      </c>
      <c r="P110" s="71">
        <v>0</v>
      </c>
      <c r="Q110" s="71">
        <v>0</v>
      </c>
      <c r="R110" s="71">
        <v>0</v>
      </c>
      <c r="S110" s="134"/>
      <c r="T110" s="134" t="s">
        <v>176</v>
      </c>
      <c r="U110" s="134" t="s">
        <v>176</v>
      </c>
      <c r="V110" s="30" t="s">
        <v>25</v>
      </c>
      <c r="W110" s="58" t="s">
        <v>25</v>
      </c>
      <c r="X110" s="30" t="s">
        <v>25</v>
      </c>
      <c r="Y110" s="30" t="s">
        <v>25</v>
      </c>
      <c r="Z110" s="29" t="s">
        <v>454</v>
      </c>
      <c r="AA110" s="30" t="s">
        <v>25</v>
      </c>
      <c r="AB110" s="30">
        <v>907</v>
      </c>
      <c r="AC110" s="29" t="s">
        <v>24</v>
      </c>
      <c r="AD110" s="29" t="s">
        <v>24</v>
      </c>
      <c r="AE110" s="22" t="s">
        <v>176</v>
      </c>
      <c r="AG110" s="30">
        <f t="shared" si="2"/>
        <v>907</v>
      </c>
      <c r="AH110" s="147">
        <v>907</v>
      </c>
      <c r="AI110" s="30">
        <v>172.33</v>
      </c>
      <c r="AJ110" s="30">
        <v>1079.33</v>
      </c>
    </row>
    <row r="111" spans="1:36" ht="33" x14ac:dyDescent="0.3">
      <c r="A111" s="22">
        <v>109</v>
      </c>
      <c r="B111" s="24">
        <v>1123229533</v>
      </c>
      <c r="C111" s="24" t="s">
        <v>20</v>
      </c>
      <c r="D111" s="117" t="s">
        <v>566</v>
      </c>
      <c r="E111" s="26" t="s">
        <v>22</v>
      </c>
      <c r="F111" s="114" t="s">
        <v>566</v>
      </c>
      <c r="G111" s="26" t="e">
        <v>#N/A</v>
      </c>
      <c r="H111" s="26" t="e">
        <v>#N/A</v>
      </c>
      <c r="I111" s="26" t="s">
        <v>20</v>
      </c>
      <c r="J111" s="70">
        <v>1</v>
      </c>
      <c r="K111" s="71">
        <v>0</v>
      </c>
      <c r="L111" s="71">
        <v>0</v>
      </c>
      <c r="M111" s="71">
        <v>0</v>
      </c>
      <c r="N111" s="71">
        <v>0</v>
      </c>
      <c r="O111" s="71">
        <v>0</v>
      </c>
      <c r="P111" s="71">
        <v>0</v>
      </c>
      <c r="Q111" s="71">
        <v>0</v>
      </c>
      <c r="R111" s="71">
        <v>0</v>
      </c>
      <c r="S111" s="134"/>
      <c r="T111" s="134" t="s">
        <v>176</v>
      </c>
      <c r="U111" s="134" t="s">
        <v>176</v>
      </c>
      <c r="V111" s="30" t="s">
        <v>25</v>
      </c>
      <c r="W111" s="58" t="s">
        <v>25</v>
      </c>
      <c r="X111" s="30" t="s">
        <v>25</v>
      </c>
      <c r="Y111" s="30" t="s">
        <v>25</v>
      </c>
      <c r="Z111" s="29" t="s">
        <v>454</v>
      </c>
      <c r="AA111" s="30" t="s">
        <v>25</v>
      </c>
      <c r="AB111" s="30">
        <v>680</v>
      </c>
      <c r="AC111" s="29" t="s">
        <v>24</v>
      </c>
      <c r="AD111" s="29" t="s">
        <v>24</v>
      </c>
      <c r="AE111" s="22" t="s">
        <v>176</v>
      </c>
      <c r="AG111" s="30">
        <f t="shared" si="2"/>
        <v>680</v>
      </c>
      <c r="AH111" s="147">
        <v>680</v>
      </c>
      <c r="AI111" s="30">
        <v>129.19999999999999</v>
      </c>
      <c r="AJ111" s="30">
        <v>809.2</v>
      </c>
    </row>
    <row r="112" spans="1:36" x14ac:dyDescent="0.3">
      <c r="A112" s="22">
        <v>110</v>
      </c>
      <c r="B112" s="24">
        <v>1123299050</v>
      </c>
      <c r="C112" s="24" t="s">
        <v>20</v>
      </c>
      <c r="D112" s="117" t="s">
        <v>567</v>
      </c>
      <c r="E112" s="26" t="s">
        <v>22</v>
      </c>
      <c r="F112" s="114" t="s">
        <v>567</v>
      </c>
      <c r="G112" s="26" t="e">
        <v>#N/A</v>
      </c>
      <c r="H112" s="26" t="e">
        <v>#N/A</v>
      </c>
      <c r="I112" s="26" t="s">
        <v>20</v>
      </c>
      <c r="J112" s="70">
        <v>1162.02</v>
      </c>
      <c r="K112" s="71">
        <v>0</v>
      </c>
      <c r="L112" s="71">
        <v>0</v>
      </c>
      <c r="M112" s="71">
        <v>0</v>
      </c>
      <c r="N112" s="71">
        <v>0</v>
      </c>
      <c r="O112" s="71">
        <v>30</v>
      </c>
      <c r="P112" s="71">
        <v>2.5</v>
      </c>
      <c r="Q112" s="71">
        <v>0</v>
      </c>
      <c r="R112" s="71">
        <v>40</v>
      </c>
      <c r="S112" s="134"/>
      <c r="T112" s="134" t="s">
        <v>176</v>
      </c>
      <c r="U112" s="134" t="s">
        <v>176</v>
      </c>
      <c r="V112" s="30" t="s">
        <v>25</v>
      </c>
      <c r="W112" s="58" t="s">
        <v>25</v>
      </c>
      <c r="X112" s="30" t="s">
        <v>25</v>
      </c>
      <c r="Y112" s="30" t="s">
        <v>25</v>
      </c>
      <c r="Z112" s="29" t="s">
        <v>454</v>
      </c>
      <c r="AA112" s="30" t="s">
        <v>25</v>
      </c>
      <c r="AB112" s="30" t="s">
        <v>25</v>
      </c>
      <c r="AC112" s="29">
        <v>1286</v>
      </c>
      <c r="AD112" s="29" t="s">
        <v>24</v>
      </c>
      <c r="AE112" s="22" t="s">
        <v>176</v>
      </c>
      <c r="AG112" s="30">
        <f t="shared" si="2"/>
        <v>1286</v>
      </c>
      <c r="AH112" s="147">
        <v>1286</v>
      </c>
      <c r="AI112" s="30">
        <v>244.34</v>
      </c>
      <c r="AJ112" s="30">
        <v>1530.34</v>
      </c>
    </row>
    <row r="113" spans="1:36" ht="33" x14ac:dyDescent="0.3">
      <c r="A113" s="22">
        <v>111</v>
      </c>
      <c r="B113" s="24">
        <v>1129099100</v>
      </c>
      <c r="C113" s="24" t="s">
        <v>20</v>
      </c>
      <c r="D113" s="117" t="s">
        <v>568</v>
      </c>
      <c r="E113" s="26" t="s">
        <v>22</v>
      </c>
      <c r="F113" s="114" t="s">
        <v>568</v>
      </c>
      <c r="G113" s="26" t="e">
        <v>#N/A</v>
      </c>
      <c r="H113" s="26" t="e">
        <v>#N/A</v>
      </c>
      <c r="I113" s="26" t="s">
        <v>20</v>
      </c>
      <c r="J113" s="70">
        <v>1</v>
      </c>
      <c r="K113" s="71">
        <v>0</v>
      </c>
      <c r="L113" s="71">
        <v>0</v>
      </c>
      <c r="M113" s="71">
        <v>0</v>
      </c>
      <c r="N113" s="71">
        <v>0</v>
      </c>
      <c r="O113" s="71">
        <v>0</v>
      </c>
      <c r="P113" s="71">
        <v>0</v>
      </c>
      <c r="Q113" s="71">
        <v>0</v>
      </c>
      <c r="R113" s="71">
        <v>0</v>
      </c>
      <c r="S113" s="134"/>
      <c r="T113" s="134" t="s">
        <v>176</v>
      </c>
      <c r="U113" s="134" t="s">
        <v>176</v>
      </c>
      <c r="V113" s="30" t="s">
        <v>25</v>
      </c>
      <c r="W113" s="58" t="s">
        <v>25</v>
      </c>
      <c r="X113" s="30" t="s">
        <v>25</v>
      </c>
      <c r="Y113" s="30" t="s">
        <v>25</v>
      </c>
      <c r="Z113" s="29" t="s">
        <v>454</v>
      </c>
      <c r="AA113" s="30" t="s">
        <v>25</v>
      </c>
      <c r="AB113" s="30">
        <v>1350</v>
      </c>
      <c r="AC113" s="29" t="s">
        <v>24</v>
      </c>
      <c r="AD113" s="29" t="s">
        <v>24</v>
      </c>
      <c r="AE113" s="22" t="s">
        <v>176</v>
      </c>
      <c r="AG113" s="30">
        <f t="shared" si="2"/>
        <v>1350</v>
      </c>
      <c r="AH113" s="147">
        <v>1350</v>
      </c>
      <c r="AI113" s="30">
        <v>256.5</v>
      </c>
      <c r="AJ113" s="30">
        <v>1606.5</v>
      </c>
    </row>
    <row r="114" spans="1:36" ht="33" x14ac:dyDescent="0.3">
      <c r="A114" s="22">
        <v>112</v>
      </c>
      <c r="B114" s="24">
        <v>1129099101</v>
      </c>
      <c r="C114" s="24" t="s">
        <v>20</v>
      </c>
      <c r="D114" s="117" t="s">
        <v>569</v>
      </c>
      <c r="E114" s="26" t="s">
        <v>22</v>
      </c>
      <c r="F114" s="114" t="s">
        <v>569</v>
      </c>
      <c r="G114" s="26" t="e">
        <v>#N/A</v>
      </c>
      <c r="H114" s="26" t="e">
        <v>#N/A</v>
      </c>
      <c r="I114" s="26" t="s">
        <v>20</v>
      </c>
      <c r="J114" s="70">
        <v>1</v>
      </c>
      <c r="K114" s="71">
        <v>0</v>
      </c>
      <c r="L114" s="71">
        <v>0</v>
      </c>
      <c r="M114" s="71">
        <v>0</v>
      </c>
      <c r="N114" s="71">
        <v>0</v>
      </c>
      <c r="O114" s="71">
        <v>0</v>
      </c>
      <c r="P114" s="71">
        <v>0</v>
      </c>
      <c r="Q114" s="71">
        <v>0</v>
      </c>
      <c r="R114" s="71">
        <v>0</v>
      </c>
      <c r="S114" s="134"/>
      <c r="T114" s="134" t="s">
        <v>176</v>
      </c>
      <c r="U114" s="134" t="s">
        <v>176</v>
      </c>
      <c r="V114" s="30" t="s">
        <v>25</v>
      </c>
      <c r="W114" s="58" t="s">
        <v>25</v>
      </c>
      <c r="X114" s="30" t="s">
        <v>25</v>
      </c>
      <c r="Y114" s="30" t="s">
        <v>25</v>
      </c>
      <c r="Z114" s="29" t="s">
        <v>454</v>
      </c>
      <c r="AA114" s="30" t="s">
        <v>25</v>
      </c>
      <c r="AB114" s="30">
        <v>1485</v>
      </c>
      <c r="AC114" s="29" t="s">
        <v>24</v>
      </c>
      <c r="AD114" s="29" t="s">
        <v>24</v>
      </c>
      <c r="AE114" s="22" t="s">
        <v>176</v>
      </c>
      <c r="AG114" s="30">
        <f t="shared" si="2"/>
        <v>1485</v>
      </c>
      <c r="AH114" s="147">
        <v>1485</v>
      </c>
      <c r="AI114" s="30">
        <v>282.14999999999998</v>
      </c>
      <c r="AJ114" s="30">
        <v>1767.15</v>
      </c>
    </row>
    <row r="115" spans="1:36" ht="33" x14ac:dyDescent="0.3">
      <c r="A115" s="22">
        <v>113</v>
      </c>
      <c r="B115" s="24">
        <v>1129099102</v>
      </c>
      <c r="C115" s="24" t="s">
        <v>20</v>
      </c>
      <c r="D115" s="117" t="s">
        <v>570</v>
      </c>
      <c r="E115" s="26" t="s">
        <v>22</v>
      </c>
      <c r="F115" s="114" t="s">
        <v>570</v>
      </c>
      <c r="G115" s="26" t="e">
        <v>#N/A</v>
      </c>
      <c r="H115" s="26" t="e">
        <v>#N/A</v>
      </c>
      <c r="I115" s="26" t="s">
        <v>20</v>
      </c>
      <c r="J115" s="70">
        <v>1</v>
      </c>
      <c r="K115" s="71">
        <v>0</v>
      </c>
      <c r="L115" s="71">
        <v>0</v>
      </c>
      <c r="M115" s="71">
        <v>0</v>
      </c>
      <c r="N115" s="71">
        <v>0</v>
      </c>
      <c r="O115" s="71">
        <v>0</v>
      </c>
      <c r="P115" s="71">
        <v>0</v>
      </c>
      <c r="Q115" s="71">
        <v>0</v>
      </c>
      <c r="R115" s="71">
        <v>0</v>
      </c>
      <c r="S115" s="134"/>
      <c r="T115" s="134" t="s">
        <v>176</v>
      </c>
      <c r="U115" s="134" t="s">
        <v>176</v>
      </c>
      <c r="V115" s="30" t="s">
        <v>25</v>
      </c>
      <c r="W115" s="58" t="s">
        <v>25</v>
      </c>
      <c r="X115" s="30" t="s">
        <v>25</v>
      </c>
      <c r="Y115" s="30" t="s">
        <v>25</v>
      </c>
      <c r="Z115" s="29" t="s">
        <v>454</v>
      </c>
      <c r="AA115" s="30" t="s">
        <v>25</v>
      </c>
      <c r="AB115" s="30">
        <v>2025</v>
      </c>
      <c r="AC115" s="29" t="s">
        <v>24</v>
      </c>
      <c r="AD115" s="29" t="s">
        <v>24</v>
      </c>
      <c r="AE115" s="22" t="s">
        <v>176</v>
      </c>
      <c r="AG115" s="30">
        <f t="shared" si="2"/>
        <v>2025</v>
      </c>
      <c r="AH115" s="147">
        <v>2025</v>
      </c>
      <c r="AI115" s="30">
        <v>384.75</v>
      </c>
      <c r="AJ115" s="30">
        <v>2409.75</v>
      </c>
    </row>
    <row r="116" spans="1:36" ht="33" x14ac:dyDescent="0.3">
      <c r="A116" s="22">
        <v>114</v>
      </c>
      <c r="B116" s="24">
        <v>1129099104</v>
      </c>
      <c r="C116" s="24" t="s">
        <v>20</v>
      </c>
      <c r="D116" s="117" t="s">
        <v>571</v>
      </c>
      <c r="E116" s="26" t="s">
        <v>22</v>
      </c>
      <c r="F116" s="114" t="s">
        <v>571</v>
      </c>
      <c r="G116" s="26" t="e">
        <v>#N/A</v>
      </c>
      <c r="H116" s="26" t="e">
        <v>#N/A</v>
      </c>
      <c r="I116" s="26" t="s">
        <v>20</v>
      </c>
      <c r="J116" s="70">
        <v>1</v>
      </c>
      <c r="K116" s="71">
        <v>0</v>
      </c>
      <c r="L116" s="71">
        <v>0</v>
      </c>
      <c r="M116" s="71">
        <v>0</v>
      </c>
      <c r="N116" s="71">
        <v>0</v>
      </c>
      <c r="O116" s="71">
        <v>0</v>
      </c>
      <c r="P116" s="71">
        <v>0</v>
      </c>
      <c r="Q116" s="71">
        <v>0</v>
      </c>
      <c r="R116" s="71">
        <v>0</v>
      </c>
      <c r="S116" s="134"/>
      <c r="T116" s="134" t="s">
        <v>176</v>
      </c>
      <c r="U116" s="134" t="s">
        <v>176</v>
      </c>
      <c r="V116" s="30" t="s">
        <v>25</v>
      </c>
      <c r="W116" s="58" t="s">
        <v>25</v>
      </c>
      <c r="X116" s="30" t="s">
        <v>25</v>
      </c>
      <c r="Y116" s="30" t="s">
        <v>25</v>
      </c>
      <c r="Z116" s="29" t="s">
        <v>454</v>
      </c>
      <c r="AA116" s="30" t="s">
        <v>25</v>
      </c>
      <c r="AB116" s="30">
        <v>2700</v>
      </c>
      <c r="AC116" s="29" t="s">
        <v>24</v>
      </c>
      <c r="AD116" s="29" t="s">
        <v>24</v>
      </c>
      <c r="AE116" s="22" t="s">
        <v>176</v>
      </c>
      <c r="AG116" s="30">
        <f t="shared" si="2"/>
        <v>2700</v>
      </c>
      <c r="AH116" s="147">
        <v>2700</v>
      </c>
      <c r="AI116" s="30">
        <v>513</v>
      </c>
      <c r="AJ116" s="30">
        <v>3213</v>
      </c>
    </row>
    <row r="117" spans="1:36" ht="33" x14ac:dyDescent="0.3">
      <c r="A117" s="22">
        <v>115</v>
      </c>
      <c r="B117" s="24">
        <v>1129099108</v>
      </c>
      <c r="C117" s="24" t="s">
        <v>20</v>
      </c>
      <c r="D117" s="117" t="s">
        <v>572</v>
      </c>
      <c r="E117" s="26" t="s">
        <v>22</v>
      </c>
      <c r="F117" s="114" t="s">
        <v>572</v>
      </c>
      <c r="G117" s="26" t="e">
        <v>#N/A</v>
      </c>
      <c r="H117" s="26" t="e">
        <v>#N/A</v>
      </c>
      <c r="I117" s="26" t="s">
        <v>20</v>
      </c>
      <c r="J117" s="70">
        <v>2001.95</v>
      </c>
      <c r="K117" s="71">
        <v>0</v>
      </c>
      <c r="L117" s="71">
        <v>0</v>
      </c>
      <c r="M117" s="71">
        <v>0</v>
      </c>
      <c r="N117" s="71">
        <v>0</v>
      </c>
      <c r="O117" s="71">
        <v>5</v>
      </c>
      <c r="P117" s="71">
        <v>0.41666666666666669</v>
      </c>
      <c r="Q117" s="71">
        <v>0</v>
      </c>
      <c r="R117" s="71">
        <v>0</v>
      </c>
      <c r="S117" s="134"/>
      <c r="T117" s="134" t="s">
        <v>176</v>
      </c>
      <c r="U117" s="134" t="s">
        <v>176</v>
      </c>
      <c r="V117" s="30" t="s">
        <v>25</v>
      </c>
      <c r="W117" s="58" t="s">
        <v>25</v>
      </c>
      <c r="X117" s="30" t="s">
        <v>25</v>
      </c>
      <c r="Y117" s="30" t="s">
        <v>25</v>
      </c>
      <c r="Z117" s="29" t="s">
        <v>454</v>
      </c>
      <c r="AA117" s="30" t="s">
        <v>25</v>
      </c>
      <c r="AB117" s="30">
        <v>2565</v>
      </c>
      <c r="AC117" s="29" t="s">
        <v>24</v>
      </c>
      <c r="AD117" s="29" t="s">
        <v>24</v>
      </c>
      <c r="AE117" s="22" t="s">
        <v>176</v>
      </c>
      <c r="AG117" s="30">
        <f t="shared" si="2"/>
        <v>2565</v>
      </c>
      <c r="AH117" s="147">
        <v>2565</v>
      </c>
      <c r="AI117" s="30">
        <v>487.35</v>
      </c>
      <c r="AJ117" s="30">
        <v>3052.35</v>
      </c>
    </row>
    <row r="118" spans="1:36" ht="49.5" x14ac:dyDescent="0.3">
      <c r="A118" s="22">
        <v>116</v>
      </c>
      <c r="B118" s="24">
        <v>1128077143</v>
      </c>
      <c r="C118" s="24" t="s">
        <v>20</v>
      </c>
      <c r="D118" s="117" t="s">
        <v>573</v>
      </c>
      <c r="E118" s="26" t="s">
        <v>22</v>
      </c>
      <c r="F118" s="114" t="s">
        <v>573</v>
      </c>
      <c r="G118" s="26" t="e">
        <v>#N/A</v>
      </c>
      <c r="H118" s="26" t="e">
        <v>#N/A</v>
      </c>
      <c r="I118" s="26" t="s">
        <v>20</v>
      </c>
      <c r="J118" s="70">
        <v>1</v>
      </c>
      <c r="K118" s="71">
        <v>0</v>
      </c>
      <c r="L118" s="71">
        <v>0</v>
      </c>
      <c r="M118" s="71">
        <v>0</v>
      </c>
      <c r="N118" s="71">
        <v>0</v>
      </c>
      <c r="O118" s="71">
        <v>0</v>
      </c>
      <c r="P118" s="71">
        <v>0</v>
      </c>
      <c r="Q118" s="71">
        <v>0</v>
      </c>
      <c r="R118" s="71">
        <v>0</v>
      </c>
      <c r="S118" s="134"/>
      <c r="T118" s="134" t="s">
        <v>176</v>
      </c>
      <c r="U118" s="134" t="s">
        <v>176</v>
      </c>
      <c r="V118" s="30" t="s">
        <v>25</v>
      </c>
      <c r="W118" s="58" t="s">
        <v>25</v>
      </c>
      <c r="X118" s="30" t="s">
        <v>25</v>
      </c>
      <c r="Y118" s="30">
        <v>3600</v>
      </c>
      <c r="Z118" s="29" t="s">
        <v>454</v>
      </c>
      <c r="AA118" s="30" t="s">
        <v>25</v>
      </c>
      <c r="AB118" s="30" t="s">
        <v>25</v>
      </c>
      <c r="AC118" s="29">
        <v>4980</v>
      </c>
      <c r="AD118" s="29" t="s">
        <v>24</v>
      </c>
      <c r="AE118" s="22" t="s">
        <v>176</v>
      </c>
      <c r="AG118" s="30">
        <f t="shared" si="2"/>
        <v>3600</v>
      </c>
      <c r="AH118" s="147">
        <v>4290</v>
      </c>
      <c r="AI118" s="30">
        <v>815.1</v>
      </c>
      <c r="AJ118" s="30">
        <v>5105.1000000000004</v>
      </c>
    </row>
    <row r="119" spans="1:36" ht="33" x14ac:dyDescent="0.3">
      <c r="A119" s="22">
        <v>117</v>
      </c>
      <c r="B119" s="24">
        <v>1128077161</v>
      </c>
      <c r="C119" s="24" t="s">
        <v>20</v>
      </c>
      <c r="D119" s="117" t="s">
        <v>574</v>
      </c>
      <c r="E119" s="26" t="s">
        <v>22</v>
      </c>
      <c r="F119" s="114" t="s">
        <v>574</v>
      </c>
      <c r="G119" s="26" t="e">
        <v>#N/A</v>
      </c>
      <c r="H119" s="26" t="e">
        <v>#N/A</v>
      </c>
      <c r="I119" s="26" t="s">
        <v>20</v>
      </c>
      <c r="J119" s="70">
        <v>16130.02</v>
      </c>
      <c r="K119" s="71">
        <v>0</v>
      </c>
      <c r="L119" s="71">
        <v>0</v>
      </c>
      <c r="M119" s="71">
        <v>0</v>
      </c>
      <c r="N119" s="71">
        <v>0</v>
      </c>
      <c r="O119" s="71">
        <v>119</v>
      </c>
      <c r="P119" s="71">
        <v>9.9166666666666661</v>
      </c>
      <c r="Q119" s="71">
        <v>0</v>
      </c>
      <c r="R119" s="71">
        <v>29</v>
      </c>
      <c r="S119" s="134"/>
      <c r="T119" s="134" t="s">
        <v>176</v>
      </c>
      <c r="U119" s="134" t="s">
        <v>176</v>
      </c>
      <c r="V119" s="30" t="s">
        <v>25</v>
      </c>
      <c r="W119" s="58" t="s">
        <v>25</v>
      </c>
      <c r="X119" s="30" t="s">
        <v>25</v>
      </c>
      <c r="Y119" s="30" t="s">
        <v>25</v>
      </c>
      <c r="Z119" s="29" t="s">
        <v>454</v>
      </c>
      <c r="AA119" s="30" t="s">
        <v>25</v>
      </c>
      <c r="AB119" s="30" t="s">
        <v>25</v>
      </c>
      <c r="AC119" s="29">
        <v>17931</v>
      </c>
      <c r="AD119" s="29" t="s">
        <v>24</v>
      </c>
      <c r="AE119" s="22" t="s">
        <v>176</v>
      </c>
      <c r="AG119" s="30">
        <f t="shared" si="2"/>
        <v>17931</v>
      </c>
      <c r="AH119" s="147">
        <v>17931</v>
      </c>
      <c r="AI119" s="30">
        <v>3406.89</v>
      </c>
      <c r="AJ119" s="30">
        <v>21337.89</v>
      </c>
    </row>
    <row r="120" spans="1:36" ht="66" x14ac:dyDescent="0.3">
      <c r="A120" s="22">
        <v>118</v>
      </c>
      <c r="B120" s="24">
        <v>1128077149</v>
      </c>
      <c r="C120" s="24" t="s">
        <v>20</v>
      </c>
      <c r="D120" s="117" t="s">
        <v>575</v>
      </c>
      <c r="E120" s="26" t="s">
        <v>22</v>
      </c>
      <c r="F120" s="114" t="s">
        <v>575</v>
      </c>
      <c r="G120" s="26" t="e">
        <v>#N/A</v>
      </c>
      <c r="H120" s="26" t="e">
        <v>#N/A</v>
      </c>
      <c r="I120" s="26" t="s">
        <v>20</v>
      </c>
      <c r="J120" s="70">
        <v>17314.5</v>
      </c>
      <c r="K120" s="71">
        <v>113</v>
      </c>
      <c r="L120" s="71">
        <v>134</v>
      </c>
      <c r="M120" s="71">
        <v>108</v>
      </c>
      <c r="N120" s="71">
        <v>9</v>
      </c>
      <c r="O120" s="71">
        <v>100</v>
      </c>
      <c r="P120" s="71">
        <v>8.3333333333333339</v>
      </c>
      <c r="Q120" s="71">
        <v>0</v>
      </c>
      <c r="R120" s="71">
        <v>0</v>
      </c>
      <c r="S120" s="134"/>
      <c r="T120" s="134" t="s">
        <v>176</v>
      </c>
      <c r="U120" s="134" t="s">
        <v>176</v>
      </c>
      <c r="V120" s="30" t="s">
        <v>25</v>
      </c>
      <c r="W120" s="58" t="s">
        <v>25</v>
      </c>
      <c r="X120" s="30">
        <v>2177</v>
      </c>
      <c r="Y120" s="30">
        <v>1650</v>
      </c>
      <c r="Z120" s="29" t="s">
        <v>454</v>
      </c>
      <c r="AA120" s="30" t="s">
        <v>25</v>
      </c>
      <c r="AB120" s="30" t="s">
        <v>25</v>
      </c>
      <c r="AC120" s="29" t="s">
        <v>24</v>
      </c>
      <c r="AD120" s="29" t="s">
        <v>24</v>
      </c>
      <c r="AE120" s="22" t="s">
        <v>176</v>
      </c>
      <c r="AG120" s="30">
        <f t="shared" si="2"/>
        <v>1650</v>
      </c>
      <c r="AH120" s="147">
        <v>1913.5</v>
      </c>
      <c r="AI120" s="30">
        <v>363.565</v>
      </c>
      <c r="AJ120" s="30">
        <v>2277.0650000000001</v>
      </c>
    </row>
    <row r="121" spans="1:36" ht="33" x14ac:dyDescent="0.3">
      <c r="A121" s="22">
        <v>119</v>
      </c>
      <c r="B121" s="24">
        <v>1043289123</v>
      </c>
      <c r="C121" s="24" t="s">
        <v>20</v>
      </c>
      <c r="D121" s="117" t="s">
        <v>576</v>
      </c>
      <c r="E121" s="26" t="s">
        <v>22</v>
      </c>
      <c r="F121" s="114" t="s">
        <v>576</v>
      </c>
      <c r="G121" s="26" t="e">
        <v>#N/A</v>
      </c>
      <c r="H121" s="26" t="e">
        <v>#N/A</v>
      </c>
      <c r="I121" s="26" t="s">
        <v>20</v>
      </c>
      <c r="J121" s="70">
        <v>12801.98</v>
      </c>
      <c r="K121" s="71">
        <v>0</v>
      </c>
      <c r="L121" s="71">
        <v>45</v>
      </c>
      <c r="M121" s="71">
        <v>56</v>
      </c>
      <c r="N121" s="71">
        <v>4.666666666666667</v>
      </c>
      <c r="O121" s="71">
        <v>5</v>
      </c>
      <c r="P121" s="71">
        <v>0.41666666666666669</v>
      </c>
      <c r="Q121" s="71">
        <v>0</v>
      </c>
      <c r="R121" s="71">
        <v>10</v>
      </c>
      <c r="S121" s="134"/>
      <c r="T121" s="134" t="s">
        <v>176</v>
      </c>
      <c r="U121" s="134" t="s">
        <v>176</v>
      </c>
      <c r="V121" s="30">
        <v>6179</v>
      </c>
      <c r="W121" s="58" t="s">
        <v>25</v>
      </c>
      <c r="X121" s="30">
        <v>4070</v>
      </c>
      <c r="Y121" s="30" t="s">
        <v>25</v>
      </c>
      <c r="Z121" s="29" t="s">
        <v>454</v>
      </c>
      <c r="AA121" s="30" t="s">
        <v>25</v>
      </c>
      <c r="AB121" s="30" t="s">
        <v>25</v>
      </c>
      <c r="AC121" s="29" t="s">
        <v>24</v>
      </c>
      <c r="AD121" s="29" t="s">
        <v>455</v>
      </c>
      <c r="AE121" s="22" t="s">
        <v>176</v>
      </c>
      <c r="AG121" s="30">
        <f t="shared" si="2"/>
        <v>4070</v>
      </c>
      <c r="AH121" s="147">
        <v>5124.5</v>
      </c>
      <c r="AI121" s="30">
        <v>973.65499999999997</v>
      </c>
      <c r="AJ121" s="30">
        <v>6098.1549999999997</v>
      </c>
    </row>
    <row r="122" spans="1:36" x14ac:dyDescent="0.3">
      <c r="A122" s="22">
        <v>120</v>
      </c>
      <c r="B122" s="24">
        <v>1043289306</v>
      </c>
      <c r="C122" s="24" t="s">
        <v>20</v>
      </c>
      <c r="D122" s="117" t="s">
        <v>577</v>
      </c>
      <c r="E122" s="26" t="s">
        <v>22</v>
      </c>
      <c r="F122" s="114" t="s">
        <v>577</v>
      </c>
      <c r="G122" s="26" t="e">
        <v>#N/A</v>
      </c>
      <c r="H122" s="26" t="e">
        <v>#N/A</v>
      </c>
      <c r="I122" s="26" t="s">
        <v>20</v>
      </c>
      <c r="J122" s="70">
        <v>5702.56</v>
      </c>
      <c r="K122" s="71">
        <v>0</v>
      </c>
      <c r="L122" s="71">
        <v>0</v>
      </c>
      <c r="M122" s="71">
        <v>0</v>
      </c>
      <c r="N122" s="71">
        <v>0</v>
      </c>
      <c r="O122" s="71">
        <v>0</v>
      </c>
      <c r="P122" s="71">
        <v>0</v>
      </c>
      <c r="Q122" s="71">
        <v>0</v>
      </c>
      <c r="R122" s="71">
        <v>0</v>
      </c>
      <c r="S122" s="134"/>
      <c r="T122" s="134" t="s">
        <v>176</v>
      </c>
      <c r="U122" s="134" t="s">
        <v>176</v>
      </c>
      <c r="V122" s="30">
        <v>8091</v>
      </c>
      <c r="W122" s="58" t="s">
        <v>25</v>
      </c>
      <c r="X122" s="30">
        <v>4975</v>
      </c>
      <c r="Y122" s="30" t="s">
        <v>25</v>
      </c>
      <c r="Z122" s="29" t="s">
        <v>454</v>
      </c>
      <c r="AA122" s="30" t="s">
        <v>25</v>
      </c>
      <c r="AB122" s="30" t="s">
        <v>25</v>
      </c>
      <c r="AC122" s="29" t="s">
        <v>24</v>
      </c>
      <c r="AD122" s="29" t="s">
        <v>455</v>
      </c>
      <c r="AE122" s="22" t="s">
        <v>176</v>
      </c>
      <c r="AG122" s="30">
        <f t="shared" si="2"/>
        <v>4975</v>
      </c>
      <c r="AH122" s="147">
        <v>6533</v>
      </c>
      <c r="AI122" s="30">
        <v>1241.27</v>
      </c>
      <c r="AJ122" s="30">
        <v>7774.27</v>
      </c>
    </row>
    <row r="123" spans="1:36" x14ac:dyDescent="0.3">
      <c r="A123" s="22">
        <v>121</v>
      </c>
      <c r="B123" s="24">
        <v>1043289122</v>
      </c>
      <c r="C123" s="24" t="s">
        <v>20</v>
      </c>
      <c r="D123" s="117" t="s">
        <v>578</v>
      </c>
      <c r="E123" s="26" t="s">
        <v>22</v>
      </c>
      <c r="F123" s="114" t="s">
        <v>578</v>
      </c>
      <c r="G123" s="26" t="e">
        <v>#N/A</v>
      </c>
      <c r="H123" s="26" t="e">
        <v>#N/A</v>
      </c>
      <c r="I123" s="26" t="s">
        <v>20</v>
      </c>
      <c r="J123" s="70">
        <v>12959.07692</v>
      </c>
      <c r="K123" s="71">
        <v>0</v>
      </c>
      <c r="L123" s="71">
        <v>80</v>
      </c>
      <c r="M123" s="71">
        <v>13</v>
      </c>
      <c r="N123" s="71">
        <v>1.0833333333333333</v>
      </c>
      <c r="O123" s="71">
        <v>0</v>
      </c>
      <c r="P123" s="71">
        <v>0</v>
      </c>
      <c r="Q123" s="71">
        <v>0</v>
      </c>
      <c r="R123" s="71">
        <v>0</v>
      </c>
      <c r="S123" s="134"/>
      <c r="T123" s="134" t="s">
        <v>176</v>
      </c>
      <c r="U123" s="134" t="s">
        <v>176</v>
      </c>
      <c r="V123" s="30">
        <v>11214</v>
      </c>
      <c r="W123" s="58" t="s">
        <v>25</v>
      </c>
      <c r="X123" s="30">
        <v>6730</v>
      </c>
      <c r="Y123" s="30" t="s">
        <v>25</v>
      </c>
      <c r="Z123" s="29" t="s">
        <v>454</v>
      </c>
      <c r="AA123" s="30" t="s">
        <v>25</v>
      </c>
      <c r="AB123" s="30" t="s">
        <v>25</v>
      </c>
      <c r="AC123" s="29" t="s">
        <v>24</v>
      </c>
      <c r="AD123" s="29" t="s">
        <v>455</v>
      </c>
      <c r="AE123" s="22" t="s">
        <v>176</v>
      </c>
      <c r="AG123" s="30">
        <f t="shared" si="2"/>
        <v>6730</v>
      </c>
      <c r="AH123" s="147">
        <v>8972</v>
      </c>
      <c r="AI123" s="30">
        <v>1704.68</v>
      </c>
      <c r="AJ123" s="30">
        <v>10676.68</v>
      </c>
    </row>
    <row r="124" spans="1:36" ht="33" x14ac:dyDescent="0.3">
      <c r="A124" s="22">
        <v>122</v>
      </c>
      <c r="B124" s="24">
        <v>1043289666</v>
      </c>
      <c r="C124" s="24" t="s">
        <v>20</v>
      </c>
      <c r="D124" s="117" t="s">
        <v>579</v>
      </c>
      <c r="E124" s="26" t="s">
        <v>22</v>
      </c>
      <c r="F124" s="114" t="s">
        <v>579</v>
      </c>
      <c r="G124" s="26" t="e">
        <v>#N/A</v>
      </c>
      <c r="H124" s="26" t="e">
        <v>#N/A</v>
      </c>
      <c r="I124" s="26" t="s">
        <v>20</v>
      </c>
      <c r="J124" s="70">
        <v>1</v>
      </c>
      <c r="K124" s="71">
        <v>0</v>
      </c>
      <c r="L124" s="71">
        <v>0</v>
      </c>
      <c r="M124" s="71">
        <v>0</v>
      </c>
      <c r="N124" s="71">
        <v>0</v>
      </c>
      <c r="O124" s="71">
        <v>0</v>
      </c>
      <c r="P124" s="71">
        <v>0</v>
      </c>
      <c r="Q124" s="71">
        <v>0</v>
      </c>
      <c r="R124" s="71">
        <v>0</v>
      </c>
      <c r="S124" s="134"/>
      <c r="T124" s="134" t="s">
        <v>176</v>
      </c>
      <c r="U124" s="134" t="s">
        <v>176</v>
      </c>
      <c r="V124" s="30">
        <v>11214</v>
      </c>
      <c r="W124" s="58" t="s">
        <v>25</v>
      </c>
      <c r="X124" s="30" t="s">
        <v>25</v>
      </c>
      <c r="Y124" s="30" t="s">
        <v>25</v>
      </c>
      <c r="Z124" s="29" t="s">
        <v>454</v>
      </c>
      <c r="AA124" s="30">
        <v>7165</v>
      </c>
      <c r="AB124" s="30" t="s">
        <v>25</v>
      </c>
      <c r="AC124" s="29" t="s">
        <v>24</v>
      </c>
      <c r="AD124" s="29" t="s">
        <v>455</v>
      </c>
      <c r="AE124" s="22" t="s">
        <v>176</v>
      </c>
      <c r="AG124" s="30">
        <f t="shared" si="2"/>
        <v>7165</v>
      </c>
      <c r="AH124" s="147">
        <v>9189.5</v>
      </c>
      <c r="AI124" s="30">
        <v>1746.0050000000001</v>
      </c>
      <c r="AJ124" s="30">
        <v>10935.505000000001</v>
      </c>
    </row>
    <row r="125" spans="1:36" ht="33" x14ac:dyDescent="0.3">
      <c r="A125" s="22">
        <v>123</v>
      </c>
      <c r="B125" s="24">
        <v>1043289667</v>
      </c>
      <c r="C125" s="24" t="s">
        <v>20</v>
      </c>
      <c r="D125" s="117" t="s">
        <v>580</v>
      </c>
      <c r="E125" s="26" t="s">
        <v>22</v>
      </c>
      <c r="F125" s="114" t="s">
        <v>580</v>
      </c>
      <c r="G125" s="26" t="e">
        <v>#N/A</v>
      </c>
      <c r="H125" s="26" t="e">
        <v>#N/A</v>
      </c>
      <c r="I125" s="26" t="s">
        <v>20</v>
      </c>
      <c r="J125" s="70">
        <v>1</v>
      </c>
      <c r="K125" s="71">
        <v>0</v>
      </c>
      <c r="L125" s="71">
        <v>0</v>
      </c>
      <c r="M125" s="71">
        <v>0</v>
      </c>
      <c r="N125" s="71">
        <v>0</v>
      </c>
      <c r="O125" s="71">
        <v>0</v>
      </c>
      <c r="P125" s="71">
        <v>0</v>
      </c>
      <c r="Q125" s="71">
        <v>0</v>
      </c>
      <c r="R125" s="71">
        <v>0</v>
      </c>
      <c r="S125" s="134"/>
      <c r="T125" s="134" t="s">
        <v>176</v>
      </c>
      <c r="U125" s="134" t="s">
        <v>176</v>
      </c>
      <c r="V125" s="30">
        <v>6179</v>
      </c>
      <c r="W125" s="58" t="s">
        <v>25</v>
      </c>
      <c r="X125" s="30" t="s">
        <v>25</v>
      </c>
      <c r="Y125" s="30" t="s">
        <v>25</v>
      </c>
      <c r="Z125" s="29" t="s">
        <v>454</v>
      </c>
      <c r="AA125" s="30">
        <v>4115</v>
      </c>
      <c r="AB125" s="30" t="s">
        <v>25</v>
      </c>
      <c r="AC125" s="29" t="s">
        <v>24</v>
      </c>
      <c r="AD125" s="29" t="s">
        <v>455</v>
      </c>
      <c r="AE125" s="22" t="s">
        <v>176</v>
      </c>
      <c r="AG125" s="30">
        <f t="shared" si="2"/>
        <v>4115</v>
      </c>
      <c r="AH125" s="147">
        <v>5147</v>
      </c>
      <c r="AI125" s="30">
        <v>977.93</v>
      </c>
      <c r="AJ125" s="30">
        <v>6124.93</v>
      </c>
    </row>
    <row r="126" spans="1:36" ht="33" x14ac:dyDescent="0.3">
      <c r="A126" s="22">
        <v>124</v>
      </c>
      <c r="B126" s="24">
        <v>1043289668</v>
      </c>
      <c r="C126" s="24" t="s">
        <v>20</v>
      </c>
      <c r="D126" s="117" t="s">
        <v>581</v>
      </c>
      <c r="E126" s="26" t="s">
        <v>22</v>
      </c>
      <c r="F126" s="114" t="s">
        <v>581</v>
      </c>
      <c r="G126" s="26" t="e">
        <v>#N/A</v>
      </c>
      <c r="H126" s="26" t="e">
        <v>#N/A</v>
      </c>
      <c r="I126" s="26" t="s">
        <v>20</v>
      </c>
      <c r="J126" s="70">
        <v>1</v>
      </c>
      <c r="K126" s="71">
        <v>0</v>
      </c>
      <c r="L126" s="71">
        <v>0</v>
      </c>
      <c r="M126" s="71">
        <v>0</v>
      </c>
      <c r="N126" s="71">
        <v>0</v>
      </c>
      <c r="O126" s="71">
        <v>0</v>
      </c>
      <c r="P126" s="71">
        <v>0</v>
      </c>
      <c r="Q126" s="71">
        <v>0</v>
      </c>
      <c r="R126" s="71">
        <v>0</v>
      </c>
      <c r="S126" s="134"/>
      <c r="T126" s="134" t="s">
        <v>176</v>
      </c>
      <c r="U126" s="134" t="s">
        <v>176</v>
      </c>
      <c r="V126" s="30">
        <v>22087</v>
      </c>
      <c r="W126" s="58" t="s">
        <v>25</v>
      </c>
      <c r="X126" s="30" t="s">
        <v>25</v>
      </c>
      <c r="Y126" s="30" t="s">
        <v>25</v>
      </c>
      <c r="Z126" s="29" t="s">
        <v>454</v>
      </c>
      <c r="AA126" s="30">
        <v>14710</v>
      </c>
      <c r="AB126" s="30" t="s">
        <v>25</v>
      </c>
      <c r="AC126" s="29" t="s">
        <v>24</v>
      </c>
      <c r="AD126" s="29" t="s">
        <v>455</v>
      </c>
      <c r="AE126" s="22" t="s">
        <v>176</v>
      </c>
      <c r="AG126" s="30">
        <f t="shared" si="2"/>
        <v>14710</v>
      </c>
      <c r="AH126" s="147">
        <v>18398.5</v>
      </c>
      <c r="AI126" s="30">
        <v>3495.7150000000001</v>
      </c>
      <c r="AJ126" s="30">
        <v>21894.215</v>
      </c>
    </row>
    <row r="127" spans="1:36" ht="33" x14ac:dyDescent="0.3">
      <c r="A127" s="22">
        <v>125</v>
      </c>
      <c r="B127" s="24">
        <v>1043289669</v>
      </c>
      <c r="C127" s="24" t="s">
        <v>20</v>
      </c>
      <c r="D127" s="117" t="s">
        <v>582</v>
      </c>
      <c r="E127" s="26" t="s">
        <v>22</v>
      </c>
      <c r="F127" s="114" t="s">
        <v>582</v>
      </c>
      <c r="G127" s="26" t="e">
        <v>#N/A</v>
      </c>
      <c r="H127" s="26" t="e">
        <v>#N/A</v>
      </c>
      <c r="I127" s="26" t="s">
        <v>20</v>
      </c>
      <c r="J127" s="70">
        <v>1</v>
      </c>
      <c r="K127" s="71">
        <v>0</v>
      </c>
      <c r="L127" s="71">
        <v>0</v>
      </c>
      <c r="M127" s="71">
        <v>0</v>
      </c>
      <c r="N127" s="71">
        <v>0</v>
      </c>
      <c r="O127" s="71">
        <v>0</v>
      </c>
      <c r="P127" s="71">
        <v>0</v>
      </c>
      <c r="Q127" s="71">
        <v>0</v>
      </c>
      <c r="R127" s="71">
        <v>0</v>
      </c>
      <c r="S127" s="134"/>
      <c r="T127" s="134" t="s">
        <v>176</v>
      </c>
      <c r="U127" s="134" t="s">
        <v>176</v>
      </c>
      <c r="V127" s="30">
        <v>33972</v>
      </c>
      <c r="W127" s="58" t="s">
        <v>25</v>
      </c>
      <c r="X127" s="30" t="s">
        <v>25</v>
      </c>
      <c r="Y127" s="30" t="s">
        <v>25</v>
      </c>
      <c r="Z127" s="29" t="s">
        <v>454</v>
      </c>
      <c r="AA127" s="30" t="s">
        <v>25</v>
      </c>
      <c r="AB127" s="30" t="s">
        <v>25</v>
      </c>
      <c r="AC127" s="29" t="s">
        <v>24</v>
      </c>
      <c r="AD127" s="29" t="s">
        <v>455</v>
      </c>
      <c r="AE127" s="22" t="s">
        <v>176</v>
      </c>
      <c r="AG127" s="30">
        <f>MIN(V127:AD127)</f>
        <v>33972</v>
      </c>
      <c r="AH127" s="147">
        <v>33972</v>
      </c>
      <c r="AI127" s="30">
        <v>6454.68</v>
      </c>
      <c r="AJ127" s="30">
        <v>40426.68</v>
      </c>
    </row>
    <row r="128" spans="1:36" ht="33" x14ac:dyDescent="0.3">
      <c r="A128" s="22">
        <v>126</v>
      </c>
      <c r="B128" s="24">
        <v>1043289670</v>
      </c>
      <c r="C128" s="24" t="s">
        <v>20</v>
      </c>
      <c r="D128" s="117" t="s">
        <v>583</v>
      </c>
      <c r="E128" s="26" t="s">
        <v>22</v>
      </c>
      <c r="F128" s="114" t="s">
        <v>583</v>
      </c>
      <c r="G128" s="26" t="e">
        <v>#N/A</v>
      </c>
      <c r="H128" s="26" t="e">
        <v>#N/A</v>
      </c>
      <c r="I128" s="26" t="s">
        <v>20</v>
      </c>
      <c r="J128" s="70">
        <v>1</v>
      </c>
      <c r="K128" s="71">
        <v>0</v>
      </c>
      <c r="L128" s="71">
        <v>0</v>
      </c>
      <c r="M128" s="71">
        <v>0</v>
      </c>
      <c r="N128" s="71">
        <v>0</v>
      </c>
      <c r="O128" s="71">
        <v>0</v>
      </c>
      <c r="P128" s="71">
        <v>0</v>
      </c>
      <c r="Q128" s="71">
        <v>0</v>
      </c>
      <c r="R128" s="71">
        <v>0</v>
      </c>
      <c r="S128" s="134"/>
      <c r="T128" s="134" t="s">
        <v>176</v>
      </c>
      <c r="U128" s="134" t="s">
        <v>176</v>
      </c>
      <c r="V128" s="30">
        <v>8091</v>
      </c>
      <c r="W128" s="58" t="s">
        <v>25</v>
      </c>
      <c r="X128" s="30" t="s">
        <v>25</v>
      </c>
      <c r="Y128" s="30" t="s">
        <v>25</v>
      </c>
      <c r="Z128" s="29" t="s">
        <v>454</v>
      </c>
      <c r="AA128" s="30" t="s">
        <v>25</v>
      </c>
      <c r="AB128" s="30" t="s">
        <v>25</v>
      </c>
      <c r="AC128" s="29" t="s">
        <v>24</v>
      </c>
      <c r="AD128" s="29" t="s">
        <v>455</v>
      </c>
      <c r="AE128" s="22" t="s">
        <v>176</v>
      </c>
      <c r="AG128" s="30">
        <f>MIN(V128:AD128)</f>
        <v>8091</v>
      </c>
      <c r="AH128" s="147">
        <v>8091</v>
      </c>
      <c r="AI128" s="30">
        <v>1537.29</v>
      </c>
      <c r="AJ128" s="30">
        <v>9628.2900000000009</v>
      </c>
    </row>
    <row r="129" spans="1:36" ht="33" x14ac:dyDescent="0.3">
      <c r="A129" s="22">
        <v>127</v>
      </c>
      <c r="B129" s="24">
        <v>1043292611</v>
      </c>
      <c r="C129" s="24" t="s">
        <v>20</v>
      </c>
      <c r="D129" s="117" t="s">
        <v>584</v>
      </c>
      <c r="E129" s="26" t="s">
        <v>22</v>
      </c>
      <c r="F129" s="114" t="s">
        <v>584</v>
      </c>
      <c r="G129" s="26" t="e">
        <v>#N/A</v>
      </c>
      <c r="H129" s="26" t="e">
        <v>#N/A</v>
      </c>
      <c r="I129" s="26" t="s">
        <v>20</v>
      </c>
      <c r="J129" s="70">
        <v>9530.75</v>
      </c>
      <c r="K129" s="71">
        <v>12</v>
      </c>
      <c r="L129" s="71">
        <v>0</v>
      </c>
      <c r="M129" s="71">
        <v>10</v>
      </c>
      <c r="N129" s="71">
        <v>0.83333333333333337</v>
      </c>
      <c r="O129" s="71">
        <v>0</v>
      </c>
      <c r="P129" s="71">
        <v>0</v>
      </c>
      <c r="Q129" s="71">
        <v>0</v>
      </c>
      <c r="R129" s="71">
        <v>0</v>
      </c>
      <c r="S129" s="134"/>
      <c r="T129" s="134" t="s">
        <v>176</v>
      </c>
      <c r="U129" s="134" t="s">
        <v>176</v>
      </c>
      <c r="V129" s="30">
        <v>39895</v>
      </c>
      <c r="W129" s="58" t="s">
        <v>25</v>
      </c>
      <c r="X129" s="30" t="s">
        <v>25</v>
      </c>
      <c r="Y129" s="30" t="s">
        <v>25</v>
      </c>
      <c r="Z129" s="29" t="s">
        <v>454</v>
      </c>
      <c r="AA129" s="30" t="s">
        <v>25</v>
      </c>
      <c r="AB129" s="30" t="s">
        <v>25</v>
      </c>
      <c r="AC129" s="29" t="s">
        <v>24</v>
      </c>
      <c r="AD129" s="29" t="s">
        <v>24</v>
      </c>
      <c r="AE129" s="22" t="s">
        <v>176</v>
      </c>
      <c r="AG129" s="30">
        <f>MIN(V129:AD129)</f>
        <v>39895</v>
      </c>
      <c r="AH129" s="147">
        <v>39895</v>
      </c>
      <c r="AI129" s="30">
        <v>7580.05</v>
      </c>
      <c r="AJ129" s="30">
        <v>47475.05</v>
      </c>
    </row>
    <row r="130" spans="1:36" x14ac:dyDescent="0.3">
      <c r="A130" s="22">
        <v>128</v>
      </c>
      <c r="B130" s="24">
        <v>1043292082</v>
      </c>
      <c r="C130" s="24" t="s">
        <v>20</v>
      </c>
      <c r="D130" s="117" t="s">
        <v>585</v>
      </c>
      <c r="E130" s="26" t="s">
        <v>22</v>
      </c>
      <c r="F130" s="114" t="s">
        <v>585</v>
      </c>
      <c r="G130" s="26" t="e">
        <v>#N/A</v>
      </c>
      <c r="H130" s="26" t="e">
        <v>#N/A</v>
      </c>
      <c r="I130" s="26" t="s">
        <v>20</v>
      </c>
      <c r="J130" s="70">
        <v>1</v>
      </c>
      <c r="K130" s="71">
        <v>0</v>
      </c>
      <c r="L130" s="71">
        <v>0</v>
      </c>
      <c r="M130" s="71">
        <v>0</v>
      </c>
      <c r="N130" s="71">
        <v>0</v>
      </c>
      <c r="O130" s="71">
        <v>0</v>
      </c>
      <c r="P130" s="71">
        <v>0</v>
      </c>
      <c r="Q130" s="71">
        <v>0</v>
      </c>
      <c r="R130" s="71">
        <v>0</v>
      </c>
      <c r="S130" s="134"/>
      <c r="T130" s="134" t="s">
        <v>176</v>
      </c>
      <c r="U130" s="134" t="s">
        <v>176</v>
      </c>
      <c r="V130" s="30" t="s">
        <v>25</v>
      </c>
      <c r="W130" s="58" t="s">
        <v>25</v>
      </c>
      <c r="X130" s="30">
        <v>716</v>
      </c>
      <c r="Y130" s="30" t="s">
        <v>25</v>
      </c>
      <c r="Z130" s="29" t="s">
        <v>454</v>
      </c>
      <c r="AA130" s="30">
        <v>568</v>
      </c>
      <c r="AB130" s="30" t="s">
        <v>25</v>
      </c>
      <c r="AC130" s="29" t="s">
        <v>24</v>
      </c>
      <c r="AD130" s="29" t="s">
        <v>455</v>
      </c>
      <c r="AE130" s="22" t="s">
        <v>176</v>
      </c>
      <c r="AG130" s="42">
        <f>MIN(V130:AD130)</f>
        <v>568</v>
      </c>
      <c r="AH130" s="30">
        <v>642</v>
      </c>
      <c r="AI130" s="30">
        <v>121.98</v>
      </c>
      <c r="AJ130" s="30">
        <v>763.98</v>
      </c>
    </row>
    <row r="131" spans="1:36" s="49" customFormat="1" x14ac:dyDescent="0.3">
      <c r="B131" s="46"/>
      <c r="C131" s="46"/>
      <c r="D131" s="78"/>
      <c r="E131" s="48"/>
      <c r="F131" s="78"/>
      <c r="G131" s="46"/>
      <c r="H131" s="46"/>
      <c r="I131" s="46"/>
      <c r="J131" s="46"/>
      <c r="K131" s="46"/>
      <c r="L131" s="46"/>
      <c r="M131" s="46"/>
      <c r="N131" s="46"/>
      <c r="O131" s="46"/>
      <c r="P131" s="46"/>
      <c r="Q131" s="46"/>
      <c r="R131" s="46"/>
      <c r="T131" s="51"/>
      <c r="V131" s="51"/>
      <c r="W131" s="50"/>
      <c r="X131" s="51"/>
      <c r="Y131" s="51"/>
      <c r="Z131" s="52"/>
      <c r="AA131" s="51"/>
      <c r="AB131" s="51"/>
      <c r="AC131" s="52"/>
    </row>
    <row r="132" spans="1:36" s="49" customFormat="1" x14ac:dyDescent="0.3">
      <c r="B132" s="46"/>
      <c r="C132" s="46"/>
      <c r="D132" s="78"/>
      <c r="E132" s="48"/>
      <c r="F132" s="78"/>
      <c r="G132" s="46"/>
      <c r="H132" s="46"/>
      <c r="I132" s="46"/>
      <c r="J132" s="46"/>
      <c r="K132" s="46"/>
      <c r="L132" s="46"/>
      <c r="M132" s="46"/>
      <c r="N132" s="46"/>
      <c r="O132" s="46"/>
      <c r="P132" s="46"/>
      <c r="Q132" s="46"/>
      <c r="R132" s="46"/>
      <c r="T132" s="51"/>
      <c r="V132" s="51"/>
      <c r="W132" s="50"/>
      <c r="X132" s="51"/>
      <c r="Y132" s="51"/>
      <c r="Z132" s="52"/>
      <c r="AA132" s="51"/>
      <c r="AB132" s="51"/>
      <c r="AC132" s="52"/>
    </row>
    <row r="133" spans="1:36" s="49" customFormat="1" x14ac:dyDescent="0.3">
      <c r="B133" s="46"/>
      <c r="C133" s="46"/>
      <c r="D133" s="78"/>
      <c r="E133" s="48"/>
      <c r="F133" s="78"/>
      <c r="G133" s="46"/>
      <c r="H133" s="46"/>
      <c r="I133" s="46"/>
      <c r="J133" s="46"/>
      <c r="K133" s="46"/>
      <c r="L133" s="46"/>
      <c r="M133" s="46"/>
      <c r="N133" s="46"/>
      <c r="O133" s="46"/>
      <c r="P133" s="46"/>
      <c r="Q133" s="46"/>
      <c r="R133" s="46"/>
      <c r="T133" s="51"/>
      <c r="V133" s="51"/>
      <c r="W133" s="50"/>
      <c r="X133" s="51"/>
      <c r="Y133" s="51"/>
      <c r="Z133" s="52"/>
      <c r="AA133" s="51"/>
      <c r="AB133" s="51"/>
      <c r="AC133" s="52"/>
    </row>
    <row r="134" spans="1:36" s="49" customFormat="1" x14ac:dyDescent="0.3">
      <c r="B134" s="46"/>
      <c r="C134" s="46"/>
      <c r="D134" s="78"/>
      <c r="E134" s="48"/>
      <c r="F134" s="78"/>
      <c r="G134" s="46"/>
      <c r="H134" s="46"/>
      <c r="I134" s="46"/>
      <c r="J134" s="46"/>
      <c r="K134" s="46"/>
      <c r="L134" s="46"/>
      <c r="M134" s="46"/>
      <c r="N134" s="46"/>
      <c r="O134" s="46"/>
      <c r="P134" s="46"/>
      <c r="Q134" s="46"/>
      <c r="R134" s="46"/>
      <c r="T134" s="51"/>
      <c r="V134" s="51"/>
      <c r="W134" s="50"/>
      <c r="X134" s="51"/>
      <c r="Y134" s="51"/>
      <c r="Z134" s="52"/>
      <c r="AA134" s="51"/>
      <c r="AB134" s="51"/>
      <c r="AC134" s="52"/>
    </row>
    <row r="135" spans="1:36" s="49" customFormat="1" x14ac:dyDescent="0.3">
      <c r="B135" s="46"/>
      <c r="C135" s="46"/>
      <c r="D135" s="78"/>
      <c r="E135" s="48"/>
      <c r="F135" s="78"/>
      <c r="G135" s="46"/>
      <c r="H135" s="46"/>
      <c r="I135" s="46"/>
      <c r="J135" s="46"/>
      <c r="K135" s="46"/>
      <c r="L135" s="46"/>
      <c r="M135" s="46"/>
      <c r="N135" s="46"/>
      <c r="O135" s="46"/>
      <c r="P135" s="46"/>
      <c r="Q135" s="46"/>
      <c r="R135" s="46"/>
      <c r="T135" s="51"/>
      <c r="V135" s="51"/>
      <c r="W135" s="50"/>
      <c r="X135" s="51"/>
      <c r="Y135" s="51"/>
      <c r="Z135" s="52"/>
      <c r="AA135" s="51"/>
      <c r="AB135" s="51"/>
      <c r="AC135" s="52"/>
    </row>
    <row r="136" spans="1:36" s="49" customFormat="1" x14ac:dyDescent="0.3">
      <c r="B136" s="46"/>
      <c r="C136" s="46"/>
      <c r="D136" s="78"/>
      <c r="E136" s="48"/>
      <c r="F136" s="78"/>
      <c r="G136" s="46"/>
      <c r="H136" s="46"/>
      <c r="I136" s="46"/>
      <c r="J136" s="46"/>
      <c r="K136" s="46"/>
      <c r="L136" s="46"/>
      <c r="M136" s="46"/>
      <c r="N136" s="46"/>
      <c r="O136" s="46"/>
      <c r="P136" s="46"/>
      <c r="Q136" s="46"/>
      <c r="R136" s="46"/>
      <c r="T136" s="51"/>
      <c r="V136" s="51"/>
      <c r="W136" s="50"/>
      <c r="X136" s="51"/>
      <c r="Y136" s="51"/>
      <c r="Z136" s="52"/>
      <c r="AA136" s="51"/>
      <c r="AB136" s="51"/>
      <c r="AC136" s="52"/>
    </row>
    <row r="137" spans="1:36" s="49" customFormat="1" x14ac:dyDescent="0.3">
      <c r="B137" s="46"/>
      <c r="C137" s="46"/>
      <c r="D137" s="78"/>
      <c r="E137" s="48"/>
      <c r="F137" s="78"/>
      <c r="G137" s="46"/>
      <c r="H137" s="46"/>
      <c r="I137" s="46"/>
      <c r="J137" s="46"/>
      <c r="K137" s="46"/>
      <c r="L137" s="46"/>
      <c r="M137" s="46"/>
      <c r="N137" s="46"/>
      <c r="O137" s="46"/>
      <c r="P137" s="46"/>
      <c r="Q137" s="46"/>
      <c r="R137" s="46"/>
      <c r="T137" s="51"/>
      <c r="V137" s="51"/>
      <c r="W137" s="50"/>
      <c r="X137" s="51"/>
      <c r="Y137" s="51"/>
      <c r="Z137" s="52"/>
      <c r="AA137" s="51"/>
      <c r="AB137" s="51"/>
      <c r="AC137" s="52"/>
    </row>
    <row r="138" spans="1:36" s="49" customFormat="1" x14ac:dyDescent="0.3">
      <c r="B138" s="46"/>
      <c r="C138" s="46"/>
      <c r="D138" s="78"/>
      <c r="E138" s="48"/>
      <c r="F138" s="78"/>
      <c r="G138" s="46"/>
      <c r="H138" s="46"/>
      <c r="I138" s="46"/>
      <c r="J138" s="46"/>
      <c r="K138" s="46"/>
      <c r="L138" s="46"/>
      <c r="M138" s="46"/>
      <c r="N138" s="46"/>
      <c r="O138" s="46"/>
      <c r="P138" s="46"/>
      <c r="Q138" s="46"/>
      <c r="R138" s="46"/>
      <c r="T138" s="51"/>
      <c r="V138" s="51"/>
      <c r="W138" s="50"/>
      <c r="X138" s="51"/>
      <c r="Y138" s="51"/>
      <c r="Z138" s="52"/>
      <c r="AA138" s="51"/>
      <c r="AB138" s="51"/>
      <c r="AC138" s="52"/>
    </row>
    <row r="139" spans="1:36" s="49" customFormat="1" x14ac:dyDescent="0.3">
      <c r="B139" s="46"/>
      <c r="C139" s="46"/>
      <c r="D139" s="78"/>
      <c r="E139" s="48"/>
      <c r="F139" s="78"/>
      <c r="G139" s="46"/>
      <c r="H139" s="46"/>
      <c r="I139" s="46"/>
      <c r="J139" s="46"/>
      <c r="K139" s="46"/>
      <c r="L139" s="46"/>
      <c r="M139" s="46"/>
      <c r="N139" s="46"/>
      <c r="O139" s="46"/>
      <c r="P139" s="46"/>
      <c r="Q139" s="46"/>
      <c r="R139" s="46"/>
      <c r="T139" s="51"/>
      <c r="V139" s="51"/>
      <c r="W139" s="50"/>
      <c r="X139" s="51"/>
      <c r="Y139" s="51"/>
      <c r="Z139" s="52"/>
      <c r="AA139" s="51"/>
      <c r="AB139" s="51"/>
      <c r="AC139" s="52"/>
    </row>
    <row r="140" spans="1:36" s="49" customFormat="1" x14ac:dyDescent="0.3">
      <c r="B140" s="46"/>
      <c r="C140" s="46"/>
      <c r="D140" s="78"/>
      <c r="E140" s="48"/>
      <c r="F140" s="78"/>
      <c r="G140" s="46"/>
      <c r="H140" s="46"/>
      <c r="I140" s="46"/>
      <c r="J140" s="46"/>
      <c r="K140" s="46"/>
      <c r="L140" s="46"/>
      <c r="M140" s="46"/>
      <c r="N140" s="46"/>
      <c r="O140" s="46"/>
      <c r="P140" s="46"/>
      <c r="Q140" s="46"/>
      <c r="R140" s="46"/>
      <c r="T140" s="51"/>
      <c r="V140" s="51"/>
      <c r="W140" s="50"/>
      <c r="X140" s="51"/>
      <c r="Y140" s="51"/>
      <c r="Z140" s="52"/>
      <c r="AA140" s="51"/>
      <c r="AB140" s="51"/>
      <c r="AC140" s="52"/>
    </row>
    <row r="141" spans="1:36" s="49" customFormat="1" x14ac:dyDescent="0.3">
      <c r="B141" s="46"/>
      <c r="C141" s="46"/>
      <c r="D141" s="78"/>
      <c r="E141" s="48"/>
      <c r="F141" s="78"/>
      <c r="G141" s="46"/>
      <c r="H141" s="46"/>
      <c r="I141" s="46"/>
      <c r="J141" s="46"/>
      <c r="K141" s="46"/>
      <c r="L141" s="46"/>
      <c r="M141" s="46"/>
      <c r="N141" s="46"/>
      <c r="O141" s="46"/>
      <c r="P141" s="46"/>
      <c r="Q141" s="46"/>
      <c r="R141" s="46"/>
      <c r="T141" s="51"/>
      <c r="V141" s="51"/>
      <c r="W141" s="50"/>
      <c r="X141" s="51"/>
      <c r="Y141" s="51"/>
      <c r="Z141" s="52"/>
      <c r="AA141" s="51"/>
      <c r="AB141" s="51"/>
      <c r="AC141" s="52"/>
    </row>
    <row r="142" spans="1:36" s="49" customFormat="1" x14ac:dyDescent="0.3">
      <c r="B142" s="46"/>
      <c r="C142" s="46"/>
      <c r="D142" s="78"/>
      <c r="E142" s="48"/>
      <c r="F142" s="78"/>
      <c r="G142" s="46"/>
      <c r="H142" s="46"/>
      <c r="I142" s="46"/>
      <c r="J142" s="46"/>
      <c r="K142" s="46"/>
      <c r="L142" s="46"/>
      <c r="M142" s="46"/>
      <c r="N142" s="46"/>
      <c r="O142" s="46"/>
      <c r="P142" s="46"/>
      <c r="Q142" s="46"/>
      <c r="R142" s="46"/>
      <c r="T142" s="51"/>
      <c r="V142" s="51"/>
      <c r="W142" s="50"/>
      <c r="X142" s="51"/>
      <c r="Y142" s="51"/>
      <c r="Z142" s="52"/>
      <c r="AA142" s="51"/>
      <c r="AB142" s="51"/>
      <c r="AC142" s="52"/>
    </row>
    <row r="143" spans="1:36" s="49" customFormat="1" x14ac:dyDescent="0.3">
      <c r="B143" s="46"/>
      <c r="C143" s="46"/>
      <c r="D143" s="78"/>
      <c r="E143" s="48"/>
      <c r="F143" s="78"/>
      <c r="G143" s="46"/>
      <c r="H143" s="46"/>
      <c r="I143" s="46"/>
      <c r="J143" s="46"/>
      <c r="K143" s="46"/>
      <c r="L143" s="46"/>
      <c r="M143" s="46"/>
      <c r="N143" s="46"/>
      <c r="O143" s="46"/>
      <c r="P143" s="46"/>
      <c r="Q143" s="46"/>
      <c r="R143" s="46"/>
      <c r="T143" s="51"/>
      <c r="V143" s="51"/>
      <c r="W143" s="50"/>
      <c r="X143" s="51"/>
      <c r="Y143" s="51"/>
      <c r="Z143" s="52"/>
      <c r="AA143" s="51"/>
      <c r="AB143" s="51"/>
      <c r="AC143" s="52"/>
    </row>
    <row r="144" spans="1:36" s="49" customFormat="1" x14ac:dyDescent="0.3">
      <c r="B144" s="46"/>
      <c r="C144" s="46"/>
      <c r="D144" s="78"/>
      <c r="E144" s="48"/>
      <c r="F144" s="78"/>
      <c r="G144" s="46"/>
      <c r="H144" s="46"/>
      <c r="I144" s="46"/>
      <c r="J144" s="46"/>
      <c r="K144" s="46"/>
      <c r="L144" s="46"/>
      <c r="M144" s="46"/>
      <c r="N144" s="46"/>
      <c r="O144" s="46"/>
      <c r="P144" s="46"/>
      <c r="Q144" s="46"/>
      <c r="R144" s="46"/>
      <c r="T144" s="51"/>
      <c r="V144" s="51"/>
      <c r="W144" s="50"/>
      <c r="X144" s="51"/>
      <c r="Y144" s="51"/>
      <c r="Z144" s="52"/>
      <c r="AA144" s="51"/>
      <c r="AB144" s="51"/>
      <c r="AC144" s="52"/>
    </row>
    <row r="145" spans="2:29" s="49" customFormat="1" x14ac:dyDescent="0.3">
      <c r="B145" s="46"/>
      <c r="C145" s="46"/>
      <c r="D145" s="78"/>
      <c r="E145" s="48"/>
      <c r="F145" s="78"/>
      <c r="G145" s="46"/>
      <c r="H145" s="46"/>
      <c r="I145" s="46"/>
      <c r="J145" s="46"/>
      <c r="K145" s="46"/>
      <c r="L145" s="46"/>
      <c r="M145" s="46"/>
      <c r="N145" s="46"/>
      <c r="O145" s="46"/>
      <c r="P145" s="46"/>
      <c r="Q145" s="46"/>
      <c r="R145" s="46"/>
      <c r="T145" s="51"/>
      <c r="V145" s="51"/>
      <c r="W145" s="50"/>
      <c r="X145" s="51"/>
      <c r="Y145" s="51"/>
      <c r="Z145" s="52"/>
      <c r="AA145" s="51"/>
      <c r="AB145" s="51"/>
      <c r="AC145" s="52"/>
    </row>
    <row r="146" spans="2:29" s="49" customFormat="1" x14ac:dyDescent="0.3">
      <c r="B146" s="46"/>
      <c r="C146" s="46"/>
      <c r="D146" s="78"/>
      <c r="E146" s="48"/>
      <c r="F146" s="78"/>
      <c r="G146" s="46"/>
      <c r="H146" s="46"/>
      <c r="I146" s="46"/>
      <c r="J146" s="46"/>
      <c r="K146" s="46"/>
      <c r="L146" s="46"/>
      <c r="M146" s="46"/>
      <c r="N146" s="46"/>
      <c r="O146" s="46"/>
      <c r="P146" s="46"/>
      <c r="Q146" s="46"/>
      <c r="R146" s="46"/>
      <c r="T146" s="51"/>
      <c r="V146" s="51"/>
      <c r="W146" s="50"/>
      <c r="X146" s="51"/>
      <c r="Y146" s="51"/>
      <c r="Z146" s="52"/>
      <c r="AA146" s="51"/>
      <c r="AB146" s="51"/>
      <c r="AC146" s="52"/>
    </row>
    <row r="147" spans="2:29" s="49" customFormat="1" x14ac:dyDescent="0.3">
      <c r="B147" s="46"/>
      <c r="C147" s="46"/>
      <c r="D147" s="78"/>
      <c r="E147" s="48"/>
      <c r="F147" s="78"/>
      <c r="G147" s="46"/>
      <c r="H147" s="46"/>
      <c r="I147" s="46"/>
      <c r="J147" s="46"/>
      <c r="K147" s="46"/>
      <c r="L147" s="46"/>
      <c r="M147" s="46"/>
      <c r="N147" s="46"/>
      <c r="O147" s="46"/>
      <c r="P147" s="46"/>
      <c r="Q147" s="46"/>
      <c r="R147" s="46"/>
      <c r="T147" s="51"/>
      <c r="V147" s="51"/>
      <c r="W147" s="50"/>
      <c r="X147" s="51"/>
      <c r="Y147" s="51"/>
      <c r="Z147" s="52"/>
      <c r="AA147" s="51"/>
      <c r="AB147" s="51"/>
      <c r="AC147" s="52"/>
    </row>
    <row r="148" spans="2:29" s="49" customFormat="1" x14ac:dyDescent="0.3">
      <c r="B148" s="46"/>
      <c r="C148" s="46"/>
      <c r="D148" s="78"/>
      <c r="E148" s="48"/>
      <c r="F148" s="78"/>
      <c r="G148" s="46"/>
      <c r="H148" s="46"/>
      <c r="I148" s="46"/>
      <c r="J148" s="46"/>
      <c r="K148" s="46"/>
      <c r="L148" s="46"/>
      <c r="M148" s="46"/>
      <c r="N148" s="46"/>
      <c r="O148" s="46"/>
      <c r="P148" s="46"/>
      <c r="Q148" s="46"/>
      <c r="R148" s="46"/>
      <c r="T148" s="51"/>
      <c r="V148" s="51"/>
      <c r="W148" s="50"/>
      <c r="X148" s="51"/>
      <c r="Y148" s="51"/>
      <c r="Z148" s="52"/>
      <c r="AA148" s="51"/>
      <c r="AB148" s="51"/>
      <c r="AC148" s="52"/>
    </row>
    <row r="149" spans="2:29" s="49" customFormat="1" x14ac:dyDescent="0.3">
      <c r="B149" s="46"/>
      <c r="C149" s="46"/>
      <c r="D149" s="78"/>
      <c r="E149" s="48"/>
      <c r="F149" s="78"/>
      <c r="G149" s="46"/>
      <c r="H149" s="46"/>
      <c r="I149" s="46"/>
      <c r="J149" s="46"/>
      <c r="K149" s="46"/>
      <c r="L149" s="46"/>
      <c r="M149" s="46"/>
      <c r="N149" s="46"/>
      <c r="O149" s="46"/>
      <c r="P149" s="46"/>
      <c r="Q149" s="46"/>
      <c r="R149" s="46"/>
      <c r="T149" s="51"/>
      <c r="V149" s="51"/>
      <c r="W149" s="50"/>
      <c r="X149" s="51"/>
      <c r="Y149" s="51"/>
      <c r="Z149" s="52"/>
      <c r="AA149" s="51"/>
      <c r="AB149" s="51"/>
      <c r="AC149" s="52"/>
    </row>
    <row r="150" spans="2:29" s="49" customFormat="1" x14ac:dyDescent="0.3">
      <c r="B150" s="46"/>
      <c r="C150" s="46"/>
      <c r="D150" s="78"/>
      <c r="E150" s="48"/>
      <c r="F150" s="78"/>
      <c r="G150" s="46"/>
      <c r="H150" s="46"/>
      <c r="I150" s="46"/>
      <c r="J150" s="46"/>
      <c r="K150" s="46"/>
      <c r="L150" s="46"/>
      <c r="M150" s="46"/>
      <c r="N150" s="46"/>
      <c r="O150" s="46"/>
      <c r="P150" s="46"/>
      <c r="Q150" s="46"/>
      <c r="R150" s="46"/>
      <c r="T150" s="51"/>
      <c r="V150" s="51"/>
      <c r="W150" s="50"/>
      <c r="X150" s="51"/>
      <c r="Y150" s="51"/>
      <c r="Z150" s="52"/>
      <c r="AA150" s="51"/>
      <c r="AB150" s="51"/>
      <c r="AC150" s="52"/>
    </row>
    <row r="151" spans="2:29" s="49" customFormat="1" x14ac:dyDescent="0.3">
      <c r="B151" s="46"/>
      <c r="C151" s="46"/>
      <c r="D151" s="78"/>
      <c r="E151" s="48"/>
      <c r="F151" s="78"/>
      <c r="G151" s="46"/>
      <c r="H151" s="46"/>
      <c r="I151" s="46"/>
      <c r="J151" s="46"/>
      <c r="K151" s="46"/>
      <c r="L151" s="46"/>
      <c r="M151" s="46"/>
      <c r="N151" s="46"/>
      <c r="O151" s="46"/>
      <c r="P151" s="46"/>
      <c r="Q151" s="46"/>
      <c r="R151" s="46"/>
      <c r="T151" s="51"/>
      <c r="V151" s="51"/>
      <c r="W151" s="50"/>
      <c r="X151" s="51"/>
      <c r="Y151" s="51"/>
      <c r="Z151" s="52"/>
      <c r="AA151" s="51"/>
      <c r="AB151" s="51"/>
      <c r="AC151" s="52"/>
    </row>
    <row r="152" spans="2:29" s="49" customFormat="1" x14ac:dyDescent="0.3">
      <c r="B152" s="46"/>
      <c r="C152" s="46"/>
      <c r="D152" s="78"/>
      <c r="E152" s="48"/>
      <c r="F152" s="78"/>
      <c r="G152" s="46"/>
      <c r="H152" s="46"/>
      <c r="I152" s="46"/>
      <c r="J152" s="46"/>
      <c r="K152" s="46"/>
      <c r="L152" s="46"/>
      <c r="M152" s="46"/>
      <c r="N152" s="46"/>
      <c r="O152" s="46"/>
      <c r="P152" s="46"/>
      <c r="Q152" s="46"/>
      <c r="R152" s="46"/>
      <c r="T152" s="51"/>
      <c r="V152" s="51"/>
      <c r="W152" s="50"/>
      <c r="X152" s="51"/>
      <c r="Y152" s="51"/>
      <c r="Z152" s="52"/>
      <c r="AA152" s="51"/>
      <c r="AB152" s="51"/>
      <c r="AC152" s="52"/>
    </row>
    <row r="153" spans="2:29" s="49" customFormat="1" x14ac:dyDescent="0.3">
      <c r="B153" s="46"/>
      <c r="C153" s="46"/>
      <c r="D153" s="78"/>
      <c r="E153" s="48"/>
      <c r="F153" s="78"/>
      <c r="G153" s="46"/>
      <c r="H153" s="46"/>
      <c r="I153" s="46"/>
      <c r="J153" s="46"/>
      <c r="K153" s="46"/>
      <c r="L153" s="46"/>
      <c r="M153" s="46"/>
      <c r="N153" s="46"/>
      <c r="O153" s="46"/>
      <c r="P153" s="46"/>
      <c r="Q153" s="46"/>
      <c r="R153" s="46"/>
      <c r="T153" s="51"/>
      <c r="V153" s="51"/>
      <c r="W153" s="50"/>
      <c r="X153" s="51"/>
      <c r="Y153" s="51"/>
      <c r="Z153" s="52"/>
      <c r="AA153" s="51"/>
      <c r="AB153" s="51"/>
      <c r="AC153" s="52"/>
    </row>
    <row r="154" spans="2:29" s="49" customFormat="1" x14ac:dyDescent="0.3">
      <c r="B154" s="46"/>
      <c r="C154" s="46"/>
      <c r="D154" s="78"/>
      <c r="E154" s="48"/>
      <c r="F154" s="78"/>
      <c r="G154" s="46"/>
      <c r="H154" s="46"/>
      <c r="I154" s="46"/>
      <c r="J154" s="46"/>
      <c r="K154" s="46"/>
      <c r="L154" s="46"/>
      <c r="M154" s="46"/>
      <c r="N154" s="46"/>
      <c r="O154" s="46"/>
      <c r="P154" s="46"/>
      <c r="Q154" s="46"/>
      <c r="R154" s="46"/>
      <c r="T154" s="51"/>
      <c r="V154" s="51"/>
      <c r="W154" s="50"/>
      <c r="X154" s="51"/>
      <c r="Y154" s="51"/>
      <c r="Z154" s="52"/>
      <c r="AA154" s="51"/>
      <c r="AB154" s="51"/>
      <c r="AC154" s="52"/>
    </row>
    <row r="155" spans="2:29" s="49" customFormat="1" x14ac:dyDescent="0.3">
      <c r="B155" s="46"/>
      <c r="C155" s="46"/>
      <c r="D155" s="78"/>
      <c r="E155" s="48"/>
      <c r="F155" s="78"/>
      <c r="G155" s="46"/>
      <c r="H155" s="46"/>
      <c r="I155" s="46"/>
      <c r="J155" s="46"/>
      <c r="K155" s="46"/>
      <c r="L155" s="46"/>
      <c r="M155" s="46"/>
      <c r="N155" s="46"/>
      <c r="O155" s="46"/>
      <c r="P155" s="46"/>
      <c r="Q155" s="46"/>
      <c r="R155" s="46"/>
      <c r="T155" s="51"/>
      <c r="V155" s="51"/>
      <c r="W155" s="50"/>
      <c r="X155" s="51"/>
      <c r="Y155" s="51"/>
      <c r="Z155" s="52"/>
      <c r="AA155" s="51"/>
      <c r="AB155" s="51"/>
      <c r="AC155" s="52"/>
    </row>
    <row r="156" spans="2:29" s="49" customFormat="1" x14ac:dyDescent="0.3">
      <c r="B156" s="46"/>
      <c r="C156" s="46"/>
      <c r="D156" s="78"/>
      <c r="E156" s="48"/>
      <c r="F156" s="78"/>
      <c r="G156" s="46"/>
      <c r="H156" s="46"/>
      <c r="I156" s="46"/>
      <c r="J156" s="46"/>
      <c r="K156" s="46"/>
      <c r="L156" s="46"/>
      <c r="M156" s="46"/>
      <c r="N156" s="46"/>
      <c r="O156" s="46"/>
      <c r="P156" s="46"/>
      <c r="Q156" s="46"/>
      <c r="R156" s="46"/>
      <c r="T156" s="51"/>
      <c r="V156" s="51"/>
      <c r="W156" s="50"/>
      <c r="X156" s="51"/>
      <c r="Y156" s="51"/>
      <c r="Z156" s="52"/>
      <c r="AA156" s="51"/>
      <c r="AB156" s="51"/>
      <c r="AC156" s="52"/>
    </row>
    <row r="157" spans="2:29" s="49" customFormat="1" x14ac:dyDescent="0.3">
      <c r="B157" s="46"/>
      <c r="C157" s="46"/>
      <c r="D157" s="78"/>
      <c r="E157" s="48"/>
      <c r="F157" s="78"/>
      <c r="G157" s="46"/>
      <c r="H157" s="46"/>
      <c r="I157" s="46"/>
      <c r="J157" s="46"/>
      <c r="K157" s="46"/>
      <c r="L157" s="46"/>
      <c r="M157" s="46"/>
      <c r="N157" s="46"/>
      <c r="O157" s="46"/>
      <c r="P157" s="46"/>
      <c r="Q157" s="46"/>
      <c r="R157" s="46"/>
      <c r="T157" s="51"/>
      <c r="V157" s="51"/>
      <c r="W157" s="50"/>
      <c r="X157" s="51"/>
      <c r="Y157" s="51"/>
      <c r="Z157" s="52"/>
      <c r="AA157" s="51"/>
      <c r="AB157" s="51"/>
      <c r="AC157" s="52"/>
    </row>
    <row r="158" spans="2:29" s="49" customFormat="1" x14ac:dyDescent="0.3">
      <c r="B158" s="46"/>
      <c r="C158" s="46"/>
      <c r="D158" s="78"/>
      <c r="E158" s="48"/>
      <c r="F158" s="78"/>
      <c r="G158" s="46"/>
      <c r="H158" s="46"/>
      <c r="I158" s="46"/>
      <c r="J158" s="46"/>
      <c r="K158" s="46"/>
      <c r="L158" s="46"/>
      <c r="M158" s="46"/>
      <c r="N158" s="46"/>
      <c r="O158" s="46"/>
      <c r="P158" s="46"/>
      <c r="Q158" s="46"/>
      <c r="R158" s="46"/>
      <c r="T158" s="51"/>
      <c r="V158" s="51"/>
      <c r="W158" s="50"/>
      <c r="X158" s="51"/>
      <c r="Y158" s="51"/>
      <c r="Z158" s="52"/>
      <c r="AA158" s="51"/>
      <c r="AB158" s="51"/>
      <c r="AC158" s="52"/>
    </row>
    <row r="159" spans="2:29" s="49" customFormat="1" x14ac:dyDescent="0.3">
      <c r="B159" s="46"/>
      <c r="C159" s="46"/>
      <c r="D159" s="78"/>
      <c r="E159" s="48"/>
      <c r="F159" s="78"/>
      <c r="G159" s="46"/>
      <c r="H159" s="46"/>
      <c r="I159" s="46"/>
      <c r="J159" s="46"/>
      <c r="K159" s="46"/>
      <c r="L159" s="46"/>
      <c r="M159" s="46"/>
      <c r="N159" s="46"/>
      <c r="O159" s="46"/>
      <c r="P159" s="46"/>
      <c r="Q159" s="46"/>
      <c r="R159" s="46"/>
      <c r="T159" s="51"/>
      <c r="V159" s="51"/>
      <c r="W159" s="50"/>
      <c r="X159" s="51"/>
      <c r="Y159" s="51"/>
      <c r="Z159" s="52"/>
      <c r="AA159" s="51"/>
      <c r="AB159" s="51"/>
      <c r="AC159" s="52"/>
    </row>
    <row r="160" spans="2:29" s="49" customFormat="1" x14ac:dyDescent="0.3">
      <c r="B160" s="46"/>
      <c r="C160" s="46"/>
      <c r="D160" s="78"/>
      <c r="E160" s="48"/>
      <c r="F160" s="78"/>
      <c r="G160" s="46"/>
      <c r="H160" s="46"/>
      <c r="I160" s="46"/>
      <c r="J160" s="46"/>
      <c r="K160" s="46"/>
      <c r="L160" s="46"/>
      <c r="M160" s="46"/>
      <c r="N160" s="46"/>
      <c r="O160" s="46"/>
      <c r="P160" s="46"/>
      <c r="Q160" s="46"/>
      <c r="R160" s="46"/>
      <c r="T160" s="51"/>
      <c r="V160" s="51"/>
      <c r="W160" s="50"/>
      <c r="X160" s="51"/>
      <c r="Y160" s="51"/>
      <c r="Z160" s="52"/>
      <c r="AA160" s="51"/>
      <c r="AB160" s="51"/>
      <c r="AC160" s="52"/>
    </row>
    <row r="161" spans="2:29" s="49" customFormat="1" x14ac:dyDescent="0.3">
      <c r="B161" s="46"/>
      <c r="C161" s="46"/>
      <c r="D161" s="78"/>
      <c r="E161" s="48"/>
      <c r="F161" s="78"/>
      <c r="G161" s="46"/>
      <c r="H161" s="46"/>
      <c r="I161" s="46"/>
      <c r="J161" s="46"/>
      <c r="K161" s="46"/>
      <c r="L161" s="46"/>
      <c r="M161" s="46"/>
      <c r="N161" s="46"/>
      <c r="O161" s="46"/>
      <c r="P161" s="46"/>
      <c r="Q161" s="46"/>
      <c r="R161" s="46"/>
      <c r="T161" s="51"/>
      <c r="V161" s="51"/>
      <c r="W161" s="50"/>
      <c r="X161" s="51"/>
      <c r="Y161" s="51"/>
      <c r="Z161" s="52"/>
      <c r="AA161" s="51"/>
      <c r="AB161" s="51"/>
      <c r="AC161" s="52"/>
    </row>
    <row r="162" spans="2:29" s="49" customFormat="1" x14ac:dyDescent="0.3">
      <c r="B162" s="46"/>
      <c r="C162" s="46"/>
      <c r="D162" s="78"/>
      <c r="E162" s="48"/>
      <c r="F162" s="78"/>
      <c r="G162" s="46"/>
      <c r="H162" s="46"/>
      <c r="I162" s="46"/>
      <c r="J162" s="46"/>
      <c r="K162" s="46"/>
      <c r="L162" s="46"/>
      <c r="M162" s="46"/>
      <c r="N162" s="46"/>
      <c r="O162" s="46"/>
      <c r="P162" s="46"/>
      <c r="Q162" s="46"/>
      <c r="R162" s="46"/>
      <c r="T162" s="51"/>
      <c r="V162" s="51"/>
      <c r="W162" s="50"/>
      <c r="X162" s="51"/>
      <c r="Y162" s="51"/>
      <c r="Z162" s="52"/>
      <c r="AA162" s="51"/>
      <c r="AB162" s="51"/>
      <c r="AC162" s="52"/>
    </row>
    <row r="163" spans="2:29" s="49" customFormat="1" x14ac:dyDescent="0.3">
      <c r="B163" s="46"/>
      <c r="C163" s="46"/>
      <c r="D163" s="78"/>
      <c r="E163" s="48"/>
      <c r="F163" s="78"/>
      <c r="G163" s="46"/>
      <c r="H163" s="46"/>
      <c r="I163" s="46"/>
      <c r="J163" s="46"/>
      <c r="K163" s="46"/>
      <c r="L163" s="46"/>
      <c r="M163" s="46"/>
      <c r="N163" s="46"/>
      <c r="O163" s="46"/>
      <c r="P163" s="46"/>
      <c r="Q163" s="46"/>
      <c r="R163" s="46"/>
      <c r="T163" s="51"/>
      <c r="V163" s="51"/>
      <c r="W163" s="50"/>
      <c r="X163" s="51"/>
      <c r="Y163" s="51"/>
      <c r="Z163" s="52"/>
      <c r="AA163" s="51"/>
      <c r="AB163" s="51"/>
      <c r="AC163" s="52"/>
    </row>
    <row r="164" spans="2:29" s="49" customFormat="1" x14ac:dyDescent="0.3">
      <c r="B164" s="46"/>
      <c r="C164" s="46"/>
      <c r="D164" s="78"/>
      <c r="E164" s="48"/>
      <c r="F164" s="78"/>
      <c r="G164" s="46"/>
      <c r="H164" s="46"/>
      <c r="I164" s="46"/>
      <c r="J164" s="46"/>
      <c r="K164" s="46"/>
      <c r="L164" s="46"/>
      <c r="M164" s="46"/>
      <c r="N164" s="46"/>
      <c r="O164" s="46"/>
      <c r="P164" s="46"/>
      <c r="Q164" s="46"/>
      <c r="R164" s="46"/>
      <c r="T164" s="51"/>
      <c r="V164" s="51"/>
      <c r="W164" s="50"/>
      <c r="X164" s="51"/>
      <c r="Y164" s="51"/>
      <c r="Z164" s="52"/>
      <c r="AA164" s="51"/>
      <c r="AB164" s="51"/>
      <c r="AC164" s="52"/>
    </row>
    <row r="165" spans="2:29" s="49" customFormat="1" x14ac:dyDescent="0.3">
      <c r="B165" s="46"/>
      <c r="C165" s="46"/>
      <c r="D165" s="78"/>
      <c r="E165" s="48"/>
      <c r="F165" s="78"/>
      <c r="G165" s="46"/>
      <c r="H165" s="46"/>
      <c r="I165" s="46"/>
      <c r="J165" s="46"/>
      <c r="K165" s="46"/>
      <c r="L165" s="46"/>
      <c r="M165" s="46"/>
      <c r="N165" s="46"/>
      <c r="O165" s="46"/>
      <c r="P165" s="46"/>
      <c r="Q165" s="46"/>
      <c r="R165" s="46"/>
      <c r="T165" s="51"/>
      <c r="V165" s="51"/>
      <c r="W165" s="50"/>
      <c r="X165" s="51"/>
      <c r="Y165" s="51"/>
      <c r="Z165" s="52"/>
      <c r="AA165" s="51"/>
      <c r="AB165" s="51"/>
      <c r="AC165" s="52"/>
    </row>
    <row r="166" spans="2:29" s="49" customFormat="1" x14ac:dyDescent="0.3">
      <c r="B166" s="46"/>
      <c r="C166" s="46"/>
      <c r="D166" s="78"/>
      <c r="E166" s="48"/>
      <c r="F166" s="78"/>
      <c r="G166" s="46"/>
      <c r="H166" s="46"/>
      <c r="I166" s="46"/>
      <c r="J166" s="46"/>
      <c r="K166" s="46"/>
      <c r="L166" s="46"/>
      <c r="M166" s="46"/>
      <c r="N166" s="46"/>
      <c r="O166" s="46"/>
      <c r="P166" s="46"/>
      <c r="Q166" s="46"/>
      <c r="R166" s="46"/>
      <c r="T166" s="51"/>
      <c r="V166" s="51"/>
      <c r="W166" s="50"/>
      <c r="X166" s="51"/>
      <c r="Y166" s="51"/>
      <c r="Z166" s="52"/>
      <c r="AA166" s="51"/>
      <c r="AB166" s="51"/>
      <c r="AC166" s="52"/>
    </row>
    <row r="167" spans="2:29" s="49" customFormat="1" x14ac:dyDescent="0.3">
      <c r="B167" s="46"/>
      <c r="C167" s="46"/>
      <c r="D167" s="78"/>
      <c r="E167" s="48"/>
      <c r="F167" s="78"/>
      <c r="G167" s="46"/>
      <c r="H167" s="46"/>
      <c r="I167" s="46"/>
      <c r="J167" s="46"/>
      <c r="K167" s="46"/>
      <c r="L167" s="46"/>
      <c r="M167" s="46"/>
      <c r="N167" s="46"/>
      <c r="O167" s="46"/>
      <c r="P167" s="46"/>
      <c r="Q167" s="46"/>
      <c r="R167" s="46"/>
      <c r="T167" s="51"/>
      <c r="V167" s="51"/>
      <c r="W167" s="50"/>
      <c r="X167" s="51"/>
      <c r="Y167" s="51"/>
      <c r="Z167" s="52"/>
      <c r="AA167" s="51"/>
      <c r="AB167" s="51"/>
      <c r="AC167" s="52"/>
    </row>
    <row r="168" spans="2:29" s="49" customFormat="1" x14ac:dyDescent="0.3">
      <c r="B168" s="46"/>
      <c r="C168" s="46"/>
      <c r="D168" s="78"/>
      <c r="E168" s="48"/>
      <c r="F168" s="78"/>
      <c r="G168" s="46"/>
      <c r="H168" s="46"/>
      <c r="I168" s="46"/>
      <c r="J168" s="46"/>
      <c r="K168" s="46"/>
      <c r="L168" s="46"/>
      <c r="M168" s="46"/>
      <c r="N168" s="46"/>
      <c r="O168" s="46"/>
      <c r="P168" s="46"/>
      <c r="Q168" s="46"/>
      <c r="R168" s="46"/>
      <c r="T168" s="51"/>
      <c r="V168" s="51"/>
      <c r="W168" s="50"/>
      <c r="X168" s="51"/>
      <c r="Y168" s="51"/>
      <c r="Z168" s="52"/>
      <c r="AA168" s="51"/>
      <c r="AB168" s="51"/>
      <c r="AC168" s="52"/>
    </row>
    <row r="169" spans="2:29" s="49" customFormat="1" x14ac:dyDescent="0.3">
      <c r="B169" s="46"/>
      <c r="C169" s="46"/>
      <c r="D169" s="78"/>
      <c r="E169" s="48"/>
      <c r="F169" s="78"/>
      <c r="G169" s="46"/>
      <c r="H169" s="46"/>
      <c r="I169" s="46"/>
      <c r="J169" s="46"/>
      <c r="K169" s="46"/>
      <c r="L169" s="46"/>
      <c r="M169" s="46"/>
      <c r="N169" s="46"/>
      <c r="O169" s="46"/>
      <c r="P169" s="46"/>
      <c r="Q169" s="46"/>
      <c r="R169" s="46"/>
      <c r="T169" s="51"/>
      <c r="V169" s="51"/>
      <c r="W169" s="50"/>
      <c r="X169" s="51"/>
      <c r="Y169" s="51"/>
      <c r="Z169" s="52"/>
      <c r="AA169" s="51"/>
      <c r="AB169" s="51"/>
      <c r="AC169" s="52"/>
    </row>
    <row r="170" spans="2:29" s="49" customFormat="1" x14ac:dyDescent="0.3">
      <c r="B170" s="46"/>
      <c r="C170" s="46"/>
      <c r="D170" s="78"/>
      <c r="E170" s="48"/>
      <c r="F170" s="78"/>
      <c r="G170" s="46"/>
      <c r="H170" s="46"/>
      <c r="I170" s="46"/>
      <c r="J170" s="46"/>
      <c r="K170" s="46"/>
      <c r="L170" s="46"/>
      <c r="M170" s="46"/>
      <c r="N170" s="46"/>
      <c r="O170" s="46"/>
      <c r="P170" s="46"/>
      <c r="Q170" s="46"/>
      <c r="R170" s="46"/>
      <c r="T170" s="51"/>
      <c r="V170" s="51"/>
      <c r="W170" s="50"/>
      <c r="X170" s="51"/>
      <c r="Y170" s="51"/>
      <c r="Z170" s="52"/>
      <c r="AA170" s="51"/>
      <c r="AB170" s="51"/>
      <c r="AC170" s="52"/>
    </row>
    <row r="171" spans="2:29" s="49" customFormat="1" x14ac:dyDescent="0.3">
      <c r="B171" s="46"/>
      <c r="C171" s="46"/>
      <c r="D171" s="78"/>
      <c r="E171" s="48"/>
      <c r="F171" s="78"/>
      <c r="G171" s="46"/>
      <c r="H171" s="46"/>
      <c r="I171" s="46"/>
      <c r="J171" s="46"/>
      <c r="K171" s="46"/>
      <c r="L171" s="46"/>
      <c r="M171" s="46"/>
      <c r="N171" s="46"/>
      <c r="O171" s="46"/>
      <c r="P171" s="46"/>
      <c r="Q171" s="46"/>
      <c r="R171" s="46"/>
      <c r="T171" s="51"/>
      <c r="V171" s="51"/>
      <c r="W171" s="50"/>
      <c r="X171" s="51"/>
      <c r="Y171" s="51"/>
      <c r="Z171" s="52"/>
      <c r="AA171" s="51"/>
      <c r="AB171" s="51"/>
      <c r="AC171" s="52"/>
    </row>
    <row r="172" spans="2:29" s="49" customFormat="1" x14ac:dyDescent="0.3">
      <c r="B172" s="46"/>
      <c r="C172" s="46"/>
      <c r="D172" s="78"/>
      <c r="E172" s="48"/>
      <c r="F172" s="78"/>
      <c r="G172" s="46"/>
      <c r="H172" s="46"/>
      <c r="I172" s="46"/>
      <c r="J172" s="46"/>
      <c r="K172" s="46"/>
      <c r="L172" s="46"/>
      <c r="M172" s="46"/>
      <c r="N172" s="46"/>
      <c r="O172" s="46"/>
      <c r="P172" s="46"/>
      <c r="Q172" s="46"/>
      <c r="R172" s="46"/>
      <c r="T172" s="51"/>
      <c r="V172" s="51"/>
      <c r="W172" s="50"/>
      <c r="X172" s="51"/>
      <c r="Y172" s="51"/>
      <c r="Z172" s="52"/>
      <c r="AA172" s="51"/>
      <c r="AB172" s="51"/>
      <c r="AC172" s="52"/>
    </row>
    <row r="173" spans="2:29" s="49" customFormat="1" x14ac:dyDescent="0.3">
      <c r="B173" s="46"/>
      <c r="C173" s="46"/>
      <c r="D173" s="78"/>
      <c r="E173" s="48"/>
      <c r="F173" s="78"/>
      <c r="G173" s="46"/>
      <c r="H173" s="46"/>
      <c r="I173" s="46"/>
      <c r="J173" s="46"/>
      <c r="K173" s="46"/>
      <c r="L173" s="46"/>
      <c r="M173" s="46"/>
      <c r="N173" s="46"/>
      <c r="O173" s="46"/>
      <c r="P173" s="46"/>
      <c r="Q173" s="46"/>
      <c r="R173" s="46"/>
      <c r="T173" s="51"/>
      <c r="V173" s="51"/>
      <c r="W173" s="50"/>
      <c r="X173" s="51"/>
      <c r="Y173" s="51"/>
      <c r="Z173" s="52"/>
      <c r="AA173" s="51"/>
      <c r="AB173" s="51"/>
      <c r="AC173" s="52"/>
    </row>
    <row r="174" spans="2:29" s="49" customFormat="1" x14ac:dyDescent="0.3">
      <c r="B174" s="46"/>
      <c r="C174" s="46"/>
      <c r="D174" s="78"/>
      <c r="E174" s="48"/>
      <c r="F174" s="78"/>
      <c r="G174" s="46"/>
      <c r="H174" s="46"/>
      <c r="I174" s="46"/>
      <c r="J174" s="46"/>
      <c r="K174" s="46"/>
      <c r="L174" s="46"/>
      <c r="M174" s="46"/>
      <c r="N174" s="46"/>
      <c r="O174" s="46"/>
      <c r="P174" s="46"/>
      <c r="Q174" s="46"/>
      <c r="R174" s="46"/>
      <c r="T174" s="51"/>
      <c r="V174" s="51"/>
      <c r="W174" s="50"/>
      <c r="X174" s="51"/>
      <c r="Y174" s="51"/>
      <c r="Z174" s="52"/>
      <c r="AA174" s="51"/>
      <c r="AB174" s="51"/>
      <c r="AC174" s="52"/>
    </row>
    <row r="175" spans="2:29" s="49" customFormat="1" x14ac:dyDescent="0.3">
      <c r="B175" s="46"/>
      <c r="C175" s="46"/>
      <c r="D175" s="78"/>
      <c r="E175" s="48"/>
      <c r="F175" s="78"/>
      <c r="G175" s="46"/>
      <c r="H175" s="46"/>
      <c r="I175" s="46"/>
      <c r="J175" s="46"/>
      <c r="K175" s="46"/>
      <c r="L175" s="46"/>
      <c r="M175" s="46"/>
      <c r="N175" s="46"/>
      <c r="O175" s="46"/>
      <c r="P175" s="46"/>
      <c r="Q175" s="46"/>
      <c r="R175" s="46"/>
      <c r="T175" s="51"/>
      <c r="V175" s="51"/>
      <c r="W175" s="50"/>
      <c r="X175" s="51"/>
      <c r="Y175" s="51"/>
      <c r="Z175" s="52"/>
      <c r="AA175" s="51"/>
      <c r="AB175" s="51"/>
      <c r="AC175" s="52"/>
    </row>
    <row r="176" spans="2:29" s="49" customFormat="1" x14ac:dyDescent="0.3">
      <c r="B176" s="46"/>
      <c r="C176" s="46"/>
      <c r="D176" s="78"/>
      <c r="E176" s="48"/>
      <c r="F176" s="78"/>
      <c r="G176" s="46"/>
      <c r="H176" s="46"/>
      <c r="I176" s="46"/>
      <c r="J176" s="46"/>
      <c r="K176" s="46"/>
      <c r="L176" s="46"/>
      <c r="M176" s="46"/>
      <c r="N176" s="46"/>
      <c r="O176" s="46"/>
      <c r="P176" s="46"/>
      <c r="Q176" s="46"/>
      <c r="R176" s="46"/>
      <c r="T176" s="51"/>
      <c r="V176" s="51"/>
      <c r="W176" s="50"/>
      <c r="X176" s="51"/>
      <c r="Y176" s="51"/>
      <c r="Z176" s="52"/>
      <c r="AA176" s="51"/>
      <c r="AB176" s="51"/>
      <c r="AC176" s="52"/>
    </row>
    <row r="177" spans="2:29" s="49" customFormat="1" x14ac:dyDescent="0.3">
      <c r="B177" s="46"/>
      <c r="C177" s="46"/>
      <c r="D177" s="78"/>
      <c r="E177" s="48"/>
      <c r="F177" s="78"/>
      <c r="G177" s="46"/>
      <c r="H177" s="46"/>
      <c r="I177" s="46"/>
      <c r="J177" s="46"/>
      <c r="K177" s="46"/>
      <c r="L177" s="46"/>
      <c r="M177" s="46"/>
      <c r="N177" s="46"/>
      <c r="O177" s="46"/>
      <c r="P177" s="46"/>
      <c r="Q177" s="46"/>
      <c r="R177" s="46"/>
      <c r="T177" s="51"/>
      <c r="V177" s="51"/>
      <c r="W177" s="50"/>
      <c r="X177" s="51"/>
      <c r="Y177" s="51"/>
      <c r="Z177" s="52"/>
      <c r="AA177" s="51"/>
      <c r="AB177" s="51"/>
      <c r="AC177" s="52"/>
    </row>
    <row r="178" spans="2:29" s="49" customFormat="1" x14ac:dyDescent="0.3">
      <c r="B178" s="46"/>
      <c r="C178" s="46"/>
      <c r="D178" s="78"/>
      <c r="E178" s="48"/>
      <c r="F178" s="78"/>
      <c r="G178" s="46"/>
      <c r="H178" s="46"/>
      <c r="I178" s="46"/>
      <c r="J178" s="46"/>
      <c r="K178" s="46"/>
      <c r="L178" s="46"/>
      <c r="M178" s="46"/>
      <c r="N178" s="46"/>
      <c r="O178" s="46"/>
      <c r="P178" s="46"/>
      <c r="Q178" s="46"/>
      <c r="R178" s="46"/>
      <c r="T178" s="51"/>
      <c r="V178" s="51"/>
      <c r="W178" s="50"/>
      <c r="X178" s="51"/>
      <c r="Y178" s="51"/>
      <c r="Z178" s="52"/>
      <c r="AA178" s="51"/>
      <c r="AB178" s="51"/>
      <c r="AC178" s="52"/>
    </row>
    <row r="179" spans="2:29" s="49" customFormat="1" x14ac:dyDescent="0.3">
      <c r="B179" s="46"/>
      <c r="C179" s="46"/>
      <c r="D179" s="78"/>
      <c r="E179" s="48"/>
      <c r="F179" s="78"/>
      <c r="G179" s="46"/>
      <c r="H179" s="46"/>
      <c r="I179" s="46"/>
      <c r="J179" s="46"/>
      <c r="K179" s="46"/>
      <c r="L179" s="46"/>
      <c r="M179" s="46"/>
      <c r="N179" s="46"/>
      <c r="O179" s="46"/>
      <c r="P179" s="46"/>
      <c r="Q179" s="46"/>
      <c r="R179" s="46"/>
      <c r="T179" s="51"/>
      <c r="V179" s="51"/>
      <c r="W179" s="50"/>
      <c r="X179" s="51"/>
      <c r="Y179" s="51"/>
      <c r="Z179" s="52"/>
      <c r="AA179" s="51"/>
      <c r="AB179" s="51"/>
      <c r="AC179" s="52"/>
    </row>
    <row r="180" spans="2:29" s="49" customFormat="1" x14ac:dyDescent="0.3">
      <c r="B180" s="46"/>
      <c r="C180" s="46"/>
      <c r="D180" s="78"/>
      <c r="E180" s="48"/>
      <c r="F180" s="78"/>
      <c r="G180" s="46"/>
      <c r="H180" s="46"/>
      <c r="I180" s="46"/>
      <c r="J180" s="46"/>
      <c r="K180" s="46"/>
      <c r="L180" s="46"/>
      <c r="M180" s="46"/>
      <c r="N180" s="46"/>
      <c r="O180" s="46"/>
      <c r="P180" s="46"/>
      <c r="Q180" s="46"/>
      <c r="R180" s="46"/>
      <c r="T180" s="51"/>
      <c r="V180" s="51"/>
      <c r="W180" s="50"/>
      <c r="X180" s="51"/>
      <c r="Y180" s="51"/>
      <c r="Z180" s="52"/>
      <c r="AA180" s="51"/>
      <c r="AB180" s="51"/>
      <c r="AC180" s="52"/>
    </row>
    <row r="181" spans="2:29" s="49" customFormat="1" x14ac:dyDescent="0.3">
      <c r="B181" s="46"/>
      <c r="C181" s="46"/>
      <c r="D181" s="78"/>
      <c r="E181" s="48"/>
      <c r="F181" s="78"/>
      <c r="G181" s="46"/>
      <c r="H181" s="46"/>
      <c r="I181" s="46"/>
      <c r="J181" s="46"/>
      <c r="K181" s="46"/>
      <c r="L181" s="46"/>
      <c r="M181" s="46"/>
      <c r="N181" s="46"/>
      <c r="O181" s="46"/>
      <c r="P181" s="46"/>
      <c r="Q181" s="46"/>
      <c r="R181" s="46"/>
      <c r="T181" s="51"/>
      <c r="V181" s="51"/>
      <c r="W181" s="50"/>
      <c r="X181" s="51"/>
      <c r="Y181" s="51"/>
      <c r="Z181" s="52"/>
      <c r="AA181" s="51"/>
      <c r="AB181" s="51"/>
      <c r="AC181" s="52"/>
    </row>
    <row r="182" spans="2:29" s="49" customFormat="1" x14ac:dyDescent="0.3">
      <c r="B182" s="46"/>
      <c r="C182" s="46"/>
      <c r="D182" s="78"/>
      <c r="E182" s="48"/>
      <c r="F182" s="78"/>
      <c r="G182" s="46"/>
      <c r="H182" s="46"/>
      <c r="I182" s="46"/>
      <c r="J182" s="46"/>
      <c r="K182" s="46"/>
      <c r="L182" s="46"/>
      <c r="M182" s="46"/>
      <c r="N182" s="46"/>
      <c r="O182" s="46"/>
      <c r="P182" s="46"/>
      <c r="Q182" s="46"/>
      <c r="R182" s="46"/>
      <c r="T182" s="51"/>
      <c r="V182" s="51"/>
      <c r="W182" s="50"/>
      <c r="X182" s="51"/>
      <c r="Y182" s="51"/>
      <c r="Z182" s="52"/>
      <c r="AA182" s="51"/>
      <c r="AB182" s="51"/>
      <c r="AC182" s="52"/>
    </row>
    <row r="183" spans="2:29" s="49" customFormat="1" x14ac:dyDescent="0.3">
      <c r="B183" s="46"/>
      <c r="C183" s="46"/>
      <c r="D183" s="78"/>
      <c r="E183" s="48"/>
      <c r="F183" s="78"/>
      <c r="G183" s="46"/>
      <c r="H183" s="46"/>
      <c r="I183" s="46"/>
      <c r="J183" s="46"/>
      <c r="K183" s="46"/>
      <c r="L183" s="46"/>
      <c r="M183" s="46"/>
      <c r="N183" s="46"/>
      <c r="O183" s="46"/>
      <c r="P183" s="46"/>
      <c r="Q183" s="46"/>
      <c r="R183" s="46"/>
      <c r="T183" s="51"/>
      <c r="V183" s="51"/>
      <c r="W183" s="50"/>
      <c r="X183" s="51"/>
      <c r="Y183" s="51"/>
      <c r="Z183" s="52"/>
      <c r="AA183" s="51"/>
      <c r="AB183" s="51"/>
      <c r="AC183" s="52"/>
    </row>
    <row r="184" spans="2:29" s="49" customFormat="1" x14ac:dyDescent="0.3">
      <c r="B184" s="46"/>
      <c r="C184" s="46"/>
      <c r="D184" s="78"/>
      <c r="E184" s="48"/>
      <c r="F184" s="78"/>
      <c r="G184" s="46"/>
      <c r="H184" s="46"/>
      <c r="I184" s="46"/>
      <c r="J184" s="46"/>
      <c r="K184" s="46"/>
      <c r="L184" s="46"/>
      <c r="M184" s="46"/>
      <c r="N184" s="46"/>
      <c r="O184" s="46"/>
      <c r="P184" s="46"/>
      <c r="Q184" s="46"/>
      <c r="R184" s="46"/>
      <c r="T184" s="51"/>
      <c r="V184" s="51"/>
      <c r="W184" s="50"/>
      <c r="X184" s="51"/>
      <c r="Y184" s="51"/>
      <c r="Z184" s="52"/>
      <c r="AA184" s="51"/>
      <c r="AB184" s="51"/>
      <c r="AC184" s="52"/>
    </row>
    <row r="185" spans="2:29" s="49" customFormat="1" x14ac:dyDescent="0.3">
      <c r="B185" s="46"/>
      <c r="C185" s="46"/>
      <c r="D185" s="78"/>
      <c r="E185" s="48"/>
      <c r="F185" s="78"/>
      <c r="G185" s="46"/>
      <c r="H185" s="46"/>
      <c r="I185" s="46"/>
      <c r="J185" s="46"/>
      <c r="K185" s="46"/>
      <c r="L185" s="46"/>
      <c r="M185" s="46"/>
      <c r="N185" s="46"/>
      <c r="O185" s="46"/>
      <c r="P185" s="46"/>
      <c r="Q185" s="46"/>
      <c r="R185" s="46"/>
      <c r="T185" s="51"/>
      <c r="V185" s="51"/>
      <c r="W185" s="50"/>
      <c r="X185" s="51"/>
      <c r="Y185" s="51"/>
      <c r="Z185" s="52"/>
      <c r="AA185" s="51"/>
      <c r="AB185" s="51"/>
      <c r="AC185" s="52"/>
    </row>
    <row r="186" spans="2:29" s="49" customFormat="1" x14ac:dyDescent="0.3">
      <c r="B186" s="46"/>
      <c r="C186" s="46"/>
      <c r="D186" s="78"/>
      <c r="E186" s="48"/>
      <c r="F186" s="78"/>
      <c r="G186" s="46"/>
      <c r="H186" s="46"/>
      <c r="I186" s="46"/>
      <c r="J186" s="46"/>
      <c r="K186" s="46"/>
      <c r="L186" s="46"/>
      <c r="M186" s="46"/>
      <c r="N186" s="46"/>
      <c r="O186" s="46"/>
      <c r="P186" s="46"/>
      <c r="Q186" s="46"/>
      <c r="R186" s="46"/>
      <c r="T186" s="51"/>
      <c r="V186" s="51"/>
      <c r="W186" s="50"/>
      <c r="X186" s="51"/>
      <c r="Y186" s="51"/>
      <c r="Z186" s="52"/>
      <c r="AA186" s="51"/>
      <c r="AB186" s="51"/>
      <c r="AC186" s="52"/>
    </row>
    <row r="187" spans="2:29" s="49" customFormat="1" x14ac:dyDescent="0.3">
      <c r="B187" s="46"/>
      <c r="C187" s="46"/>
      <c r="D187" s="78"/>
      <c r="E187" s="48"/>
      <c r="F187" s="78"/>
      <c r="G187" s="46"/>
      <c r="H187" s="46"/>
      <c r="I187" s="46"/>
      <c r="J187" s="46"/>
      <c r="K187" s="46"/>
      <c r="L187" s="46"/>
      <c r="M187" s="46"/>
      <c r="N187" s="46"/>
      <c r="O187" s="46"/>
      <c r="P187" s="46"/>
      <c r="Q187" s="46"/>
      <c r="R187" s="46"/>
      <c r="T187" s="51"/>
      <c r="V187" s="51"/>
      <c r="W187" s="50"/>
      <c r="X187" s="51"/>
      <c r="Y187" s="51"/>
      <c r="Z187" s="52"/>
      <c r="AA187" s="51"/>
      <c r="AB187" s="51"/>
      <c r="AC187" s="52"/>
    </row>
    <row r="188" spans="2:29" s="49" customFormat="1" x14ac:dyDescent="0.3">
      <c r="B188" s="46"/>
      <c r="C188" s="46"/>
      <c r="D188" s="78"/>
      <c r="E188" s="48"/>
      <c r="F188" s="78"/>
      <c r="G188" s="46"/>
      <c r="H188" s="46"/>
      <c r="I188" s="46"/>
      <c r="J188" s="46"/>
      <c r="K188" s="46"/>
      <c r="L188" s="46"/>
      <c r="M188" s="46"/>
      <c r="N188" s="46"/>
      <c r="O188" s="46"/>
      <c r="P188" s="46"/>
      <c r="Q188" s="46"/>
      <c r="R188" s="46"/>
      <c r="T188" s="51"/>
      <c r="V188" s="51"/>
      <c r="W188" s="50"/>
      <c r="X188" s="51"/>
      <c r="Y188" s="51"/>
      <c r="Z188" s="52"/>
      <c r="AA188" s="51"/>
      <c r="AB188" s="51"/>
      <c r="AC188" s="52"/>
    </row>
    <row r="189" spans="2:29" s="49" customFormat="1" x14ac:dyDescent="0.3">
      <c r="B189" s="46"/>
      <c r="C189" s="46"/>
      <c r="D189" s="78"/>
      <c r="E189" s="48"/>
      <c r="F189" s="78"/>
      <c r="G189" s="46"/>
      <c r="H189" s="46"/>
      <c r="I189" s="46"/>
      <c r="J189" s="46"/>
      <c r="K189" s="46"/>
      <c r="L189" s="46"/>
      <c r="M189" s="46"/>
      <c r="N189" s="46"/>
      <c r="O189" s="46"/>
      <c r="P189" s="46"/>
      <c r="Q189" s="46"/>
      <c r="R189" s="46"/>
      <c r="T189" s="51"/>
      <c r="V189" s="51"/>
      <c r="W189" s="50"/>
      <c r="X189" s="51"/>
      <c r="Y189" s="51"/>
      <c r="Z189" s="52"/>
      <c r="AA189" s="51"/>
      <c r="AB189" s="51"/>
      <c r="AC189" s="52"/>
    </row>
    <row r="190" spans="2:29" s="49" customFormat="1" x14ac:dyDescent="0.3">
      <c r="B190" s="46"/>
      <c r="C190" s="46"/>
      <c r="D190" s="78"/>
      <c r="E190" s="48"/>
      <c r="F190" s="78"/>
      <c r="G190" s="46"/>
      <c r="H190" s="46"/>
      <c r="I190" s="46"/>
      <c r="J190" s="46"/>
      <c r="K190" s="46"/>
      <c r="L190" s="46"/>
      <c r="M190" s="46"/>
      <c r="N190" s="46"/>
      <c r="O190" s="46"/>
      <c r="P190" s="46"/>
      <c r="Q190" s="46"/>
      <c r="R190" s="46"/>
      <c r="T190" s="51"/>
      <c r="V190" s="51"/>
      <c r="W190" s="50"/>
      <c r="X190" s="51"/>
      <c r="Y190" s="51"/>
      <c r="Z190" s="52"/>
      <c r="AA190" s="51"/>
      <c r="AB190" s="51"/>
      <c r="AC190" s="52"/>
    </row>
    <row r="191" spans="2:29" s="49" customFormat="1" x14ac:dyDescent="0.3">
      <c r="B191" s="46"/>
      <c r="C191" s="46"/>
      <c r="D191" s="78"/>
      <c r="E191" s="48"/>
      <c r="F191" s="78"/>
      <c r="G191" s="46"/>
      <c r="H191" s="46"/>
      <c r="I191" s="46"/>
      <c r="J191" s="46"/>
      <c r="K191" s="46"/>
      <c r="L191" s="46"/>
      <c r="M191" s="46"/>
      <c r="N191" s="46"/>
      <c r="O191" s="46"/>
      <c r="P191" s="46"/>
      <c r="Q191" s="46"/>
      <c r="R191" s="46"/>
      <c r="T191" s="51"/>
      <c r="V191" s="51"/>
      <c r="W191" s="50"/>
      <c r="X191" s="51"/>
      <c r="Y191" s="51"/>
      <c r="Z191" s="52"/>
      <c r="AA191" s="51"/>
      <c r="AB191" s="51"/>
      <c r="AC191" s="52"/>
    </row>
    <row r="192" spans="2:29" s="49" customFormat="1" x14ac:dyDescent="0.3">
      <c r="B192" s="46"/>
      <c r="C192" s="46"/>
      <c r="D192" s="78"/>
      <c r="E192" s="48"/>
      <c r="F192" s="78"/>
      <c r="G192" s="46"/>
      <c r="H192" s="46"/>
      <c r="I192" s="46"/>
      <c r="J192" s="46"/>
      <c r="K192" s="46"/>
      <c r="L192" s="46"/>
      <c r="M192" s="46"/>
      <c r="N192" s="46"/>
      <c r="O192" s="46"/>
      <c r="P192" s="46"/>
      <c r="Q192" s="46"/>
      <c r="R192" s="46"/>
      <c r="T192" s="51"/>
      <c r="V192" s="51"/>
      <c r="W192" s="50"/>
      <c r="X192" s="51"/>
      <c r="Y192" s="51"/>
      <c r="Z192" s="52"/>
      <c r="AA192" s="51"/>
      <c r="AB192" s="51"/>
      <c r="AC192" s="52"/>
    </row>
    <row r="193" spans="2:29" s="49" customFormat="1" x14ac:dyDescent="0.3">
      <c r="B193" s="46"/>
      <c r="C193" s="46"/>
      <c r="D193" s="78"/>
      <c r="E193" s="48"/>
      <c r="F193" s="78"/>
      <c r="G193" s="46"/>
      <c r="H193" s="46"/>
      <c r="I193" s="46"/>
      <c r="J193" s="46"/>
      <c r="K193" s="46"/>
      <c r="L193" s="46"/>
      <c r="M193" s="46"/>
      <c r="N193" s="46"/>
      <c r="O193" s="46"/>
      <c r="P193" s="46"/>
      <c r="Q193" s="46"/>
      <c r="R193" s="46"/>
      <c r="T193" s="51"/>
      <c r="V193" s="51"/>
      <c r="W193" s="50"/>
      <c r="X193" s="51"/>
      <c r="Y193" s="51"/>
      <c r="Z193" s="52"/>
      <c r="AA193" s="51"/>
      <c r="AB193" s="51"/>
      <c r="AC193" s="52"/>
    </row>
    <row r="194" spans="2:29" s="49" customFormat="1" x14ac:dyDescent="0.3">
      <c r="B194" s="46"/>
      <c r="C194" s="46"/>
      <c r="D194" s="78"/>
      <c r="E194" s="48"/>
      <c r="F194" s="78"/>
      <c r="G194" s="46"/>
      <c r="H194" s="46"/>
      <c r="I194" s="46"/>
      <c r="J194" s="46"/>
      <c r="K194" s="46"/>
      <c r="L194" s="46"/>
      <c r="M194" s="46"/>
      <c r="N194" s="46"/>
      <c r="O194" s="46"/>
      <c r="P194" s="46"/>
      <c r="Q194" s="46"/>
      <c r="R194" s="46"/>
      <c r="T194" s="51"/>
      <c r="V194" s="51"/>
      <c r="W194" s="50"/>
      <c r="X194" s="51"/>
      <c r="Y194" s="51"/>
      <c r="Z194" s="52"/>
      <c r="AA194" s="51"/>
      <c r="AB194" s="51"/>
      <c r="AC194" s="52"/>
    </row>
    <row r="195" spans="2:29" s="49" customFormat="1" x14ac:dyDescent="0.3">
      <c r="B195" s="46"/>
      <c r="C195" s="46"/>
      <c r="D195" s="78"/>
      <c r="E195" s="48"/>
      <c r="F195" s="78"/>
      <c r="G195" s="46"/>
      <c r="H195" s="46"/>
      <c r="I195" s="46"/>
      <c r="J195" s="46"/>
      <c r="K195" s="46"/>
      <c r="L195" s="46"/>
      <c r="M195" s="46"/>
      <c r="N195" s="46"/>
      <c r="O195" s="46"/>
      <c r="P195" s="46"/>
      <c r="Q195" s="46"/>
      <c r="R195" s="46"/>
      <c r="T195" s="51"/>
      <c r="V195" s="51"/>
      <c r="W195" s="50"/>
      <c r="X195" s="51"/>
      <c r="Y195" s="51"/>
      <c r="Z195" s="52"/>
      <c r="AA195" s="51"/>
      <c r="AB195" s="51"/>
      <c r="AC195" s="52"/>
    </row>
    <row r="196" spans="2:29" s="49" customFormat="1" x14ac:dyDescent="0.3">
      <c r="B196" s="46"/>
      <c r="C196" s="46"/>
      <c r="D196" s="78"/>
      <c r="E196" s="48"/>
      <c r="F196" s="78"/>
      <c r="G196" s="46"/>
      <c r="H196" s="46"/>
      <c r="I196" s="46"/>
      <c r="J196" s="46"/>
      <c r="K196" s="46"/>
      <c r="L196" s="46"/>
      <c r="M196" s="46"/>
      <c r="N196" s="46"/>
      <c r="O196" s="46"/>
      <c r="P196" s="46"/>
      <c r="Q196" s="46"/>
      <c r="R196" s="46"/>
      <c r="T196" s="51"/>
      <c r="V196" s="51"/>
      <c r="W196" s="50"/>
      <c r="X196" s="51"/>
      <c r="Y196" s="51"/>
      <c r="Z196" s="52"/>
      <c r="AA196" s="51"/>
      <c r="AB196" s="51"/>
      <c r="AC196" s="52"/>
    </row>
    <row r="197" spans="2:29" s="49" customFormat="1" x14ac:dyDescent="0.3">
      <c r="B197" s="46"/>
      <c r="C197" s="46"/>
      <c r="D197" s="78"/>
      <c r="E197" s="48"/>
      <c r="F197" s="78"/>
      <c r="G197" s="46"/>
      <c r="H197" s="46"/>
      <c r="I197" s="46"/>
      <c r="J197" s="46"/>
      <c r="K197" s="46"/>
      <c r="L197" s="46"/>
      <c r="M197" s="46"/>
      <c r="N197" s="46"/>
      <c r="O197" s="46"/>
      <c r="P197" s="46"/>
      <c r="Q197" s="46"/>
      <c r="R197" s="46"/>
      <c r="T197" s="51"/>
      <c r="V197" s="51"/>
      <c r="W197" s="50"/>
      <c r="X197" s="51"/>
      <c r="Y197" s="51"/>
      <c r="Z197" s="52"/>
      <c r="AA197" s="51"/>
      <c r="AB197" s="51"/>
      <c r="AC197" s="52"/>
    </row>
    <row r="198" spans="2:29" s="49" customFormat="1" x14ac:dyDescent="0.3">
      <c r="B198" s="46"/>
      <c r="C198" s="46"/>
      <c r="D198" s="78"/>
      <c r="E198" s="48"/>
      <c r="F198" s="78"/>
      <c r="G198" s="46"/>
      <c r="H198" s="46"/>
      <c r="I198" s="46"/>
      <c r="J198" s="46"/>
      <c r="K198" s="46"/>
      <c r="L198" s="46"/>
      <c r="M198" s="46"/>
      <c r="N198" s="46"/>
      <c r="O198" s="46"/>
      <c r="P198" s="46"/>
      <c r="Q198" s="46"/>
      <c r="R198" s="46"/>
      <c r="T198" s="51"/>
      <c r="V198" s="51"/>
      <c r="W198" s="50"/>
      <c r="X198" s="51"/>
      <c r="Y198" s="51"/>
      <c r="Z198" s="52"/>
      <c r="AA198" s="51"/>
      <c r="AB198" s="51"/>
      <c r="AC198" s="52"/>
    </row>
    <row r="199" spans="2:29" s="49" customFormat="1" x14ac:dyDescent="0.3">
      <c r="B199" s="46"/>
      <c r="C199" s="46"/>
      <c r="D199" s="78"/>
      <c r="E199" s="48"/>
      <c r="F199" s="78"/>
      <c r="G199" s="46"/>
      <c r="H199" s="46"/>
      <c r="I199" s="46"/>
      <c r="J199" s="46"/>
      <c r="K199" s="46"/>
      <c r="L199" s="46"/>
      <c r="M199" s="46"/>
      <c r="N199" s="46"/>
      <c r="O199" s="46"/>
      <c r="P199" s="46"/>
      <c r="Q199" s="46"/>
      <c r="R199" s="46"/>
      <c r="T199" s="51"/>
      <c r="V199" s="51"/>
      <c r="W199" s="50"/>
      <c r="X199" s="51"/>
      <c r="Y199" s="51"/>
      <c r="Z199" s="52"/>
      <c r="AA199" s="51"/>
      <c r="AB199" s="51"/>
      <c r="AC199" s="52"/>
    </row>
    <row r="200" spans="2:29" s="49" customFormat="1" x14ac:dyDescent="0.3">
      <c r="B200" s="46"/>
      <c r="C200" s="46"/>
      <c r="D200" s="78"/>
      <c r="E200" s="48"/>
      <c r="F200" s="78"/>
      <c r="G200" s="46"/>
      <c r="H200" s="46"/>
      <c r="I200" s="46"/>
      <c r="J200" s="46"/>
      <c r="K200" s="46"/>
      <c r="L200" s="46"/>
      <c r="M200" s="46"/>
      <c r="N200" s="46"/>
      <c r="O200" s="46"/>
      <c r="P200" s="46"/>
      <c r="Q200" s="46"/>
      <c r="R200" s="46"/>
      <c r="T200" s="51"/>
      <c r="V200" s="51"/>
      <c r="W200" s="50"/>
      <c r="X200" s="51"/>
      <c r="Y200" s="51"/>
      <c r="Z200" s="52"/>
      <c r="AA200" s="51"/>
      <c r="AB200" s="51"/>
      <c r="AC200" s="52"/>
    </row>
    <row r="201" spans="2:29" s="49" customFormat="1" x14ac:dyDescent="0.3">
      <c r="B201" s="46"/>
      <c r="C201" s="46"/>
      <c r="D201" s="78"/>
      <c r="E201" s="48"/>
      <c r="F201" s="78"/>
      <c r="G201" s="46"/>
      <c r="H201" s="46"/>
      <c r="I201" s="46"/>
      <c r="J201" s="46"/>
      <c r="K201" s="46"/>
      <c r="L201" s="46"/>
      <c r="M201" s="46"/>
      <c r="N201" s="46"/>
      <c r="O201" s="46"/>
      <c r="P201" s="46"/>
      <c r="Q201" s="46"/>
      <c r="R201" s="46"/>
      <c r="T201" s="51"/>
      <c r="V201" s="51"/>
      <c r="W201" s="50"/>
      <c r="X201" s="51"/>
      <c r="Y201" s="51"/>
      <c r="Z201" s="52"/>
      <c r="AA201" s="51"/>
      <c r="AB201" s="51"/>
      <c r="AC201" s="52"/>
    </row>
    <row r="202" spans="2:29" s="49" customFormat="1" x14ac:dyDescent="0.3">
      <c r="B202" s="46"/>
      <c r="C202" s="46"/>
      <c r="D202" s="78"/>
      <c r="E202" s="48"/>
      <c r="F202" s="78"/>
      <c r="G202" s="46"/>
      <c r="H202" s="46"/>
      <c r="I202" s="46"/>
      <c r="J202" s="46"/>
      <c r="K202" s="46"/>
      <c r="L202" s="46"/>
      <c r="M202" s="46"/>
      <c r="N202" s="46"/>
      <c r="O202" s="46"/>
      <c r="P202" s="46"/>
      <c r="Q202" s="46"/>
      <c r="R202" s="46"/>
      <c r="T202" s="51"/>
      <c r="V202" s="51"/>
      <c r="W202" s="50"/>
      <c r="X202" s="51"/>
      <c r="Y202" s="51"/>
      <c r="Z202" s="52"/>
      <c r="AA202" s="51"/>
      <c r="AB202" s="51"/>
      <c r="AC202" s="52"/>
    </row>
    <row r="203" spans="2:29" s="49" customFormat="1" x14ac:dyDescent="0.3">
      <c r="B203" s="46"/>
      <c r="C203" s="46"/>
      <c r="D203" s="78"/>
      <c r="E203" s="48"/>
      <c r="F203" s="78"/>
      <c r="G203" s="46"/>
      <c r="H203" s="46"/>
      <c r="I203" s="46"/>
      <c r="J203" s="46"/>
      <c r="K203" s="46"/>
      <c r="L203" s="46"/>
      <c r="M203" s="46"/>
      <c r="N203" s="46"/>
      <c r="O203" s="46"/>
      <c r="P203" s="46"/>
      <c r="Q203" s="46"/>
      <c r="R203" s="46"/>
      <c r="T203" s="51"/>
      <c r="V203" s="51"/>
      <c r="W203" s="50"/>
      <c r="X203" s="51"/>
      <c r="Y203" s="51"/>
      <c r="Z203" s="52"/>
      <c r="AA203" s="51"/>
      <c r="AB203" s="51"/>
      <c r="AC203" s="52"/>
    </row>
    <row r="204" spans="2:29" s="49" customFormat="1" x14ac:dyDescent="0.3">
      <c r="B204" s="46"/>
      <c r="C204" s="46"/>
      <c r="D204" s="78"/>
      <c r="E204" s="48"/>
      <c r="F204" s="78"/>
      <c r="G204" s="46"/>
      <c r="H204" s="46"/>
      <c r="I204" s="46"/>
      <c r="J204" s="46"/>
      <c r="K204" s="46"/>
      <c r="L204" s="46"/>
      <c r="M204" s="46"/>
      <c r="N204" s="46"/>
      <c r="O204" s="46"/>
      <c r="P204" s="46"/>
      <c r="Q204" s="46"/>
      <c r="R204" s="46"/>
      <c r="T204" s="51"/>
      <c r="V204" s="51"/>
      <c r="W204" s="50"/>
      <c r="X204" s="51"/>
      <c r="Y204" s="51"/>
      <c r="Z204" s="52"/>
      <c r="AA204" s="51"/>
      <c r="AB204" s="51"/>
      <c r="AC204" s="52"/>
    </row>
    <row r="205" spans="2:29" s="49" customFormat="1" x14ac:dyDescent="0.3">
      <c r="B205" s="46"/>
      <c r="C205" s="46"/>
      <c r="D205" s="78"/>
      <c r="E205" s="48"/>
      <c r="F205" s="78"/>
      <c r="G205" s="46"/>
      <c r="H205" s="46"/>
      <c r="I205" s="46"/>
      <c r="J205" s="46"/>
      <c r="K205" s="46"/>
      <c r="L205" s="46"/>
      <c r="M205" s="46"/>
      <c r="N205" s="46"/>
      <c r="O205" s="46"/>
      <c r="P205" s="46"/>
      <c r="Q205" s="46"/>
      <c r="R205" s="46"/>
      <c r="T205" s="51"/>
      <c r="V205" s="51"/>
      <c r="W205" s="50"/>
      <c r="X205" s="51"/>
      <c r="Y205" s="51"/>
      <c r="Z205" s="52"/>
      <c r="AA205" s="51"/>
      <c r="AB205" s="51"/>
      <c r="AC205" s="52"/>
    </row>
    <row r="206" spans="2:29" s="49" customFormat="1" x14ac:dyDescent="0.3">
      <c r="B206" s="46"/>
      <c r="C206" s="46"/>
      <c r="D206" s="78"/>
      <c r="E206" s="48"/>
      <c r="F206" s="78"/>
      <c r="G206" s="46"/>
      <c r="H206" s="46"/>
      <c r="I206" s="46"/>
      <c r="J206" s="46"/>
      <c r="K206" s="46"/>
      <c r="L206" s="46"/>
      <c r="M206" s="46"/>
      <c r="N206" s="46"/>
      <c r="O206" s="46"/>
      <c r="P206" s="46"/>
      <c r="Q206" s="46"/>
      <c r="R206" s="46"/>
      <c r="T206" s="51"/>
      <c r="V206" s="51"/>
      <c r="W206" s="50"/>
      <c r="X206" s="51"/>
      <c r="Y206" s="51"/>
      <c r="Z206" s="52"/>
      <c r="AA206" s="51"/>
      <c r="AB206" s="51"/>
      <c r="AC206" s="52"/>
    </row>
    <row r="207" spans="2:29" s="49" customFormat="1" x14ac:dyDescent="0.3">
      <c r="B207" s="46"/>
      <c r="C207" s="46"/>
      <c r="D207" s="78"/>
      <c r="E207" s="48"/>
      <c r="F207" s="78"/>
      <c r="G207" s="46"/>
      <c r="H207" s="46"/>
      <c r="I207" s="46"/>
      <c r="J207" s="46"/>
      <c r="K207" s="46"/>
      <c r="L207" s="46"/>
      <c r="M207" s="46"/>
      <c r="N207" s="46"/>
      <c r="O207" s="46"/>
      <c r="P207" s="46"/>
      <c r="Q207" s="46"/>
      <c r="R207" s="46"/>
      <c r="T207" s="51"/>
      <c r="V207" s="51"/>
      <c r="W207" s="50"/>
      <c r="X207" s="51"/>
      <c r="Y207" s="51"/>
      <c r="Z207" s="52"/>
      <c r="AA207" s="51"/>
      <c r="AB207" s="51"/>
      <c r="AC207" s="52"/>
    </row>
    <row r="208" spans="2:29" s="49" customFormat="1" x14ac:dyDescent="0.3">
      <c r="B208" s="46"/>
      <c r="C208" s="46"/>
      <c r="D208" s="78"/>
      <c r="E208" s="48"/>
      <c r="F208" s="78"/>
      <c r="G208" s="46"/>
      <c r="H208" s="46"/>
      <c r="I208" s="46"/>
      <c r="J208" s="46"/>
      <c r="K208" s="46"/>
      <c r="L208" s="46"/>
      <c r="M208" s="46"/>
      <c r="N208" s="46"/>
      <c r="O208" s="46"/>
      <c r="P208" s="46"/>
      <c r="Q208" s="46"/>
      <c r="R208" s="46"/>
      <c r="T208" s="51"/>
      <c r="V208" s="51"/>
      <c r="W208" s="50"/>
      <c r="X208" s="51"/>
      <c r="Y208" s="51"/>
      <c r="Z208" s="52"/>
      <c r="AA208" s="51"/>
      <c r="AB208" s="51"/>
      <c r="AC208" s="52"/>
    </row>
    <row r="209" spans="2:29" s="49" customFormat="1" x14ac:dyDescent="0.3">
      <c r="B209" s="46"/>
      <c r="C209" s="46"/>
      <c r="D209" s="78"/>
      <c r="E209" s="48"/>
      <c r="F209" s="78"/>
      <c r="G209" s="46"/>
      <c r="H209" s="46"/>
      <c r="I209" s="46"/>
      <c r="J209" s="46"/>
      <c r="K209" s="46"/>
      <c r="L209" s="46"/>
      <c r="M209" s="46"/>
      <c r="N209" s="46"/>
      <c r="O209" s="46"/>
      <c r="P209" s="46"/>
      <c r="Q209" s="46"/>
      <c r="R209" s="46"/>
      <c r="T209" s="51"/>
      <c r="V209" s="51"/>
      <c r="W209" s="50"/>
      <c r="X209" s="51"/>
      <c r="Y209" s="51"/>
      <c r="Z209" s="52"/>
      <c r="AA209" s="51"/>
      <c r="AB209" s="51"/>
      <c r="AC209" s="52"/>
    </row>
    <row r="210" spans="2:29" s="49" customFormat="1" x14ac:dyDescent="0.3">
      <c r="B210" s="46"/>
      <c r="C210" s="46"/>
      <c r="D210" s="78"/>
      <c r="E210" s="48"/>
      <c r="F210" s="78"/>
      <c r="G210" s="46"/>
      <c r="H210" s="46"/>
      <c r="I210" s="46"/>
      <c r="J210" s="46"/>
      <c r="K210" s="46"/>
      <c r="L210" s="46"/>
      <c r="M210" s="46"/>
      <c r="N210" s="46"/>
      <c r="O210" s="46"/>
      <c r="P210" s="46"/>
      <c r="Q210" s="46"/>
      <c r="R210" s="46"/>
      <c r="T210" s="51"/>
      <c r="V210" s="51"/>
      <c r="W210" s="50"/>
      <c r="X210" s="51"/>
      <c r="Y210" s="51"/>
      <c r="Z210" s="52"/>
      <c r="AA210" s="51"/>
      <c r="AB210" s="51"/>
      <c r="AC210" s="52"/>
    </row>
    <row r="211" spans="2:29" s="49" customFormat="1" x14ac:dyDescent="0.3">
      <c r="B211" s="46"/>
      <c r="C211" s="46"/>
      <c r="D211" s="78"/>
      <c r="E211" s="48"/>
      <c r="F211" s="78"/>
      <c r="G211" s="46"/>
      <c r="H211" s="46"/>
      <c r="I211" s="46"/>
      <c r="J211" s="46"/>
      <c r="K211" s="46"/>
      <c r="L211" s="46"/>
      <c r="M211" s="46"/>
      <c r="N211" s="46"/>
      <c r="O211" s="46"/>
      <c r="P211" s="46"/>
      <c r="Q211" s="46"/>
      <c r="R211" s="46"/>
      <c r="T211" s="51"/>
      <c r="V211" s="51"/>
      <c r="W211" s="50"/>
      <c r="X211" s="51"/>
      <c r="Y211" s="51"/>
      <c r="Z211" s="52"/>
      <c r="AA211" s="51"/>
      <c r="AB211" s="51"/>
      <c r="AC211" s="52"/>
    </row>
    <row r="212" spans="2:29" s="49" customFormat="1" x14ac:dyDescent="0.3">
      <c r="B212" s="46"/>
      <c r="C212" s="46"/>
      <c r="D212" s="78"/>
      <c r="E212" s="48"/>
      <c r="F212" s="78"/>
      <c r="G212" s="46"/>
      <c r="H212" s="46"/>
      <c r="I212" s="46"/>
      <c r="J212" s="46"/>
      <c r="K212" s="46"/>
      <c r="L212" s="46"/>
      <c r="M212" s="46"/>
      <c r="N212" s="46"/>
      <c r="O212" s="46"/>
      <c r="P212" s="46"/>
      <c r="Q212" s="46"/>
      <c r="R212" s="46"/>
      <c r="T212" s="51"/>
      <c r="V212" s="51"/>
      <c r="W212" s="50"/>
      <c r="X212" s="51"/>
      <c r="Y212" s="51"/>
      <c r="Z212" s="52"/>
      <c r="AA212" s="51"/>
      <c r="AB212" s="51"/>
      <c r="AC212" s="52"/>
    </row>
    <row r="213" spans="2:29" s="49" customFormat="1" x14ac:dyDescent="0.3">
      <c r="B213" s="46"/>
      <c r="C213" s="46"/>
      <c r="D213" s="78"/>
      <c r="E213" s="48"/>
      <c r="F213" s="78"/>
      <c r="G213" s="46"/>
      <c r="H213" s="46"/>
      <c r="I213" s="46"/>
      <c r="J213" s="46"/>
      <c r="K213" s="46"/>
      <c r="L213" s="46"/>
      <c r="M213" s="46"/>
      <c r="N213" s="46"/>
      <c r="O213" s="46"/>
      <c r="P213" s="46"/>
      <c r="Q213" s="46"/>
      <c r="R213" s="46"/>
      <c r="T213" s="51"/>
      <c r="V213" s="51"/>
      <c r="W213" s="50"/>
      <c r="X213" s="51"/>
      <c r="Y213" s="51"/>
      <c r="Z213" s="52"/>
      <c r="AA213" s="51"/>
      <c r="AB213" s="51"/>
      <c r="AC213" s="52"/>
    </row>
    <row r="214" spans="2:29" s="49" customFormat="1" x14ac:dyDescent="0.3">
      <c r="B214" s="46"/>
      <c r="C214" s="46"/>
      <c r="D214" s="78"/>
      <c r="E214" s="48"/>
      <c r="F214" s="78"/>
      <c r="G214" s="46"/>
      <c r="H214" s="46"/>
      <c r="I214" s="46"/>
      <c r="J214" s="46"/>
      <c r="K214" s="46"/>
      <c r="L214" s="46"/>
      <c r="M214" s="46"/>
      <c r="N214" s="46"/>
      <c r="O214" s="46"/>
      <c r="P214" s="46"/>
      <c r="Q214" s="46"/>
      <c r="R214" s="46"/>
      <c r="T214" s="51"/>
      <c r="V214" s="51"/>
      <c r="W214" s="50"/>
      <c r="X214" s="51"/>
      <c r="Y214" s="51"/>
      <c r="Z214" s="52"/>
      <c r="AA214" s="51"/>
      <c r="AB214" s="51"/>
      <c r="AC214" s="52"/>
    </row>
    <row r="215" spans="2:29" s="49" customFormat="1" x14ac:dyDescent="0.3">
      <c r="B215" s="46"/>
      <c r="C215" s="46"/>
      <c r="D215" s="78"/>
      <c r="E215" s="48"/>
      <c r="F215" s="78"/>
      <c r="G215" s="46"/>
      <c r="H215" s="46"/>
      <c r="I215" s="46"/>
      <c r="J215" s="46"/>
      <c r="K215" s="46"/>
      <c r="L215" s="46"/>
      <c r="M215" s="46"/>
      <c r="N215" s="46"/>
      <c r="O215" s="46"/>
      <c r="P215" s="46"/>
      <c r="Q215" s="46"/>
      <c r="R215" s="46"/>
      <c r="T215" s="51"/>
      <c r="V215" s="51"/>
      <c r="W215" s="50"/>
      <c r="X215" s="51"/>
      <c r="Y215" s="51"/>
      <c r="Z215" s="52"/>
      <c r="AA215" s="51"/>
      <c r="AB215" s="51"/>
      <c r="AC215" s="52"/>
    </row>
    <row r="216" spans="2:29" s="49" customFormat="1" x14ac:dyDescent="0.3">
      <c r="B216" s="46"/>
      <c r="C216" s="46"/>
      <c r="D216" s="78"/>
      <c r="E216" s="48"/>
      <c r="F216" s="78"/>
      <c r="G216" s="46"/>
      <c r="H216" s="46"/>
      <c r="I216" s="46"/>
      <c r="J216" s="46"/>
      <c r="K216" s="46"/>
      <c r="L216" s="46"/>
      <c r="M216" s="46"/>
      <c r="N216" s="46"/>
      <c r="O216" s="46"/>
      <c r="P216" s="46"/>
      <c r="Q216" s="46"/>
      <c r="R216" s="46"/>
      <c r="T216" s="51"/>
      <c r="V216" s="51"/>
      <c r="W216" s="50"/>
      <c r="X216" s="51"/>
      <c r="Y216" s="51"/>
      <c r="Z216" s="52"/>
      <c r="AA216" s="51"/>
      <c r="AB216" s="51"/>
      <c r="AC216" s="52"/>
    </row>
    <row r="217" spans="2:29" s="49" customFormat="1" x14ac:dyDescent="0.3">
      <c r="B217" s="46"/>
      <c r="C217" s="46"/>
      <c r="D217" s="78"/>
      <c r="E217" s="48"/>
      <c r="F217" s="78"/>
      <c r="G217" s="46"/>
      <c r="H217" s="46"/>
      <c r="I217" s="46"/>
      <c r="J217" s="46"/>
      <c r="K217" s="46"/>
      <c r="L217" s="46"/>
      <c r="M217" s="46"/>
      <c r="N217" s="46"/>
      <c r="O217" s="46"/>
      <c r="P217" s="46"/>
      <c r="Q217" s="46"/>
      <c r="R217" s="46"/>
      <c r="T217" s="51"/>
      <c r="V217" s="51"/>
      <c r="W217" s="50"/>
      <c r="X217" s="51"/>
      <c r="Y217" s="51"/>
      <c r="Z217" s="52"/>
      <c r="AA217" s="51"/>
      <c r="AB217" s="51"/>
      <c r="AC217" s="52"/>
    </row>
    <row r="218" spans="2:29" s="49" customFormat="1" x14ac:dyDescent="0.3">
      <c r="B218" s="46"/>
      <c r="C218" s="46"/>
      <c r="D218" s="78"/>
      <c r="E218" s="48"/>
      <c r="F218" s="78"/>
      <c r="G218" s="46"/>
      <c r="H218" s="46"/>
      <c r="I218" s="46"/>
      <c r="J218" s="46"/>
      <c r="K218" s="46"/>
      <c r="L218" s="46"/>
      <c r="M218" s="46"/>
      <c r="N218" s="46"/>
      <c r="O218" s="46"/>
      <c r="P218" s="46"/>
      <c r="Q218" s="46"/>
      <c r="R218" s="46"/>
      <c r="T218" s="51"/>
      <c r="V218" s="51"/>
      <c r="W218" s="50"/>
      <c r="X218" s="51"/>
      <c r="Y218" s="51"/>
      <c r="Z218" s="52"/>
      <c r="AA218" s="51"/>
      <c r="AB218" s="51"/>
      <c r="AC218" s="52"/>
    </row>
    <row r="219" spans="2:29" s="49" customFormat="1" x14ac:dyDescent="0.3">
      <c r="B219" s="46"/>
      <c r="C219" s="46"/>
      <c r="D219" s="78"/>
      <c r="E219" s="48"/>
      <c r="F219" s="78"/>
      <c r="G219" s="46"/>
      <c r="H219" s="46"/>
      <c r="I219" s="46"/>
      <c r="J219" s="46"/>
      <c r="K219" s="46"/>
      <c r="L219" s="46"/>
      <c r="M219" s="46"/>
      <c r="N219" s="46"/>
      <c r="O219" s="46"/>
      <c r="P219" s="46"/>
      <c r="Q219" s="46"/>
      <c r="R219" s="46"/>
      <c r="T219" s="51"/>
      <c r="V219" s="51"/>
      <c r="W219" s="50"/>
      <c r="X219" s="51"/>
      <c r="Y219" s="51"/>
      <c r="Z219" s="52"/>
      <c r="AA219" s="51"/>
      <c r="AB219" s="51"/>
      <c r="AC219" s="52"/>
    </row>
    <row r="220" spans="2:29" s="49" customFormat="1" x14ac:dyDescent="0.3">
      <c r="B220" s="46"/>
      <c r="C220" s="46"/>
      <c r="D220" s="78"/>
      <c r="E220" s="48"/>
      <c r="F220" s="78"/>
      <c r="G220" s="46"/>
      <c r="H220" s="46"/>
      <c r="I220" s="46"/>
      <c r="J220" s="46"/>
      <c r="K220" s="46"/>
      <c r="L220" s="46"/>
      <c r="M220" s="46"/>
      <c r="N220" s="46"/>
      <c r="O220" s="46"/>
      <c r="P220" s="46"/>
      <c r="Q220" s="46"/>
      <c r="R220" s="46"/>
      <c r="T220" s="51"/>
      <c r="V220" s="51"/>
      <c r="W220" s="50"/>
      <c r="X220" s="51"/>
      <c r="Y220" s="51"/>
      <c r="Z220" s="52"/>
      <c r="AA220" s="51"/>
      <c r="AB220" s="51"/>
      <c r="AC220" s="52"/>
    </row>
    <row r="221" spans="2:29" s="49" customFormat="1" x14ac:dyDescent="0.3">
      <c r="B221" s="46"/>
      <c r="C221" s="46"/>
      <c r="D221" s="78"/>
      <c r="E221" s="48"/>
      <c r="F221" s="78"/>
      <c r="G221" s="46"/>
      <c r="H221" s="46"/>
      <c r="I221" s="46"/>
      <c r="J221" s="46"/>
      <c r="K221" s="46"/>
      <c r="L221" s="46"/>
      <c r="M221" s="46"/>
      <c r="N221" s="46"/>
      <c r="O221" s="46"/>
      <c r="P221" s="46"/>
      <c r="Q221" s="46"/>
      <c r="R221" s="46"/>
      <c r="T221" s="51"/>
      <c r="V221" s="51"/>
      <c r="W221" s="50"/>
      <c r="X221" s="51"/>
      <c r="Y221" s="51"/>
      <c r="Z221" s="52"/>
      <c r="AA221" s="51"/>
      <c r="AB221" s="51"/>
      <c r="AC221" s="52"/>
    </row>
    <row r="222" spans="2:29" s="49" customFormat="1" x14ac:dyDescent="0.3">
      <c r="B222" s="46"/>
      <c r="C222" s="46"/>
      <c r="D222" s="78"/>
      <c r="E222" s="48"/>
      <c r="F222" s="78"/>
      <c r="G222" s="46"/>
      <c r="H222" s="46"/>
      <c r="I222" s="46"/>
      <c r="J222" s="46"/>
      <c r="K222" s="46"/>
      <c r="L222" s="46"/>
      <c r="M222" s="46"/>
      <c r="N222" s="46"/>
      <c r="O222" s="46"/>
      <c r="P222" s="46"/>
      <c r="Q222" s="46"/>
      <c r="R222" s="46"/>
      <c r="T222" s="51"/>
      <c r="V222" s="51"/>
      <c r="W222" s="50"/>
      <c r="X222" s="51"/>
      <c r="Y222" s="51"/>
      <c r="Z222" s="52"/>
      <c r="AA222" s="51"/>
      <c r="AB222" s="51"/>
      <c r="AC222" s="52"/>
    </row>
    <row r="223" spans="2:29" s="49" customFormat="1" x14ac:dyDescent="0.3">
      <c r="B223" s="46"/>
      <c r="C223" s="46"/>
      <c r="D223" s="78"/>
      <c r="E223" s="48"/>
      <c r="F223" s="78"/>
      <c r="G223" s="46"/>
      <c r="H223" s="46"/>
      <c r="I223" s="46"/>
      <c r="J223" s="46"/>
      <c r="K223" s="46"/>
      <c r="L223" s="46"/>
      <c r="M223" s="46"/>
      <c r="N223" s="46"/>
      <c r="O223" s="46"/>
      <c r="P223" s="46"/>
      <c r="Q223" s="46"/>
      <c r="R223" s="46"/>
      <c r="T223" s="51"/>
      <c r="V223" s="51"/>
      <c r="W223" s="50"/>
      <c r="X223" s="51"/>
      <c r="Y223" s="51"/>
      <c r="Z223" s="52"/>
      <c r="AA223" s="51"/>
      <c r="AB223" s="51"/>
      <c r="AC223" s="52"/>
    </row>
    <row r="224" spans="2:29" s="49" customFormat="1" x14ac:dyDescent="0.3">
      <c r="B224" s="46"/>
      <c r="C224" s="46"/>
      <c r="D224" s="78"/>
      <c r="E224" s="48"/>
      <c r="F224" s="78"/>
      <c r="G224" s="46"/>
      <c r="H224" s="46"/>
      <c r="I224" s="46"/>
      <c r="J224" s="46"/>
      <c r="K224" s="46"/>
      <c r="L224" s="46"/>
      <c r="M224" s="46"/>
      <c r="N224" s="46"/>
      <c r="O224" s="46"/>
      <c r="P224" s="46"/>
      <c r="Q224" s="46"/>
      <c r="R224" s="46"/>
      <c r="T224" s="51"/>
      <c r="V224" s="51"/>
      <c r="W224" s="50"/>
      <c r="X224" s="51"/>
      <c r="Y224" s="51"/>
      <c r="Z224" s="52"/>
      <c r="AA224" s="51"/>
      <c r="AB224" s="51"/>
      <c r="AC224" s="52"/>
    </row>
    <row r="225" spans="2:29" s="49" customFormat="1" x14ac:dyDescent="0.3">
      <c r="B225" s="46"/>
      <c r="C225" s="46"/>
      <c r="D225" s="78"/>
      <c r="E225" s="48"/>
      <c r="F225" s="78"/>
      <c r="G225" s="46"/>
      <c r="H225" s="46"/>
      <c r="I225" s="46"/>
      <c r="J225" s="46"/>
      <c r="K225" s="46"/>
      <c r="L225" s="46"/>
      <c r="M225" s="46"/>
      <c r="N225" s="46"/>
      <c r="O225" s="46"/>
      <c r="P225" s="46"/>
      <c r="Q225" s="46"/>
      <c r="R225" s="46"/>
      <c r="T225" s="51"/>
      <c r="V225" s="51"/>
      <c r="W225" s="50"/>
      <c r="X225" s="51"/>
      <c r="Y225" s="51"/>
      <c r="Z225" s="52"/>
      <c r="AA225" s="51"/>
      <c r="AB225" s="51"/>
      <c r="AC225" s="52"/>
    </row>
    <row r="226" spans="2:29" s="49" customFormat="1" x14ac:dyDescent="0.3">
      <c r="B226" s="46"/>
      <c r="C226" s="46"/>
      <c r="D226" s="78"/>
      <c r="E226" s="48"/>
      <c r="F226" s="78"/>
      <c r="G226" s="46"/>
      <c r="H226" s="46"/>
      <c r="I226" s="46"/>
      <c r="J226" s="46"/>
      <c r="K226" s="46"/>
      <c r="L226" s="46"/>
      <c r="M226" s="46"/>
      <c r="N226" s="46"/>
      <c r="O226" s="46"/>
      <c r="P226" s="46"/>
      <c r="Q226" s="46"/>
      <c r="R226" s="46"/>
      <c r="T226" s="51"/>
      <c r="V226" s="51"/>
      <c r="W226" s="50"/>
      <c r="X226" s="51"/>
      <c r="Y226" s="51"/>
      <c r="Z226" s="52"/>
      <c r="AA226" s="51"/>
      <c r="AB226" s="51"/>
      <c r="AC226" s="52"/>
    </row>
    <row r="227" spans="2:29" s="49" customFormat="1" x14ac:dyDescent="0.3">
      <c r="B227" s="46"/>
      <c r="C227" s="46"/>
      <c r="D227" s="78"/>
      <c r="E227" s="48"/>
      <c r="F227" s="78"/>
      <c r="G227" s="46"/>
      <c r="H227" s="46"/>
      <c r="I227" s="46"/>
      <c r="J227" s="46"/>
      <c r="K227" s="46"/>
      <c r="L227" s="46"/>
      <c r="M227" s="46"/>
      <c r="N227" s="46"/>
      <c r="O227" s="46"/>
      <c r="P227" s="46"/>
      <c r="Q227" s="46"/>
      <c r="R227" s="46"/>
      <c r="T227" s="51"/>
      <c r="V227" s="51"/>
      <c r="W227" s="50"/>
      <c r="X227" s="51"/>
      <c r="Y227" s="51"/>
      <c r="Z227" s="52"/>
      <c r="AA227" s="51"/>
      <c r="AB227" s="51"/>
      <c r="AC227" s="52"/>
    </row>
    <row r="228" spans="2:29" s="49" customFormat="1" x14ac:dyDescent="0.3">
      <c r="B228" s="46"/>
      <c r="C228" s="46"/>
      <c r="D228" s="78"/>
      <c r="E228" s="48"/>
      <c r="F228" s="78"/>
      <c r="G228" s="46"/>
      <c r="H228" s="46"/>
      <c r="I228" s="46"/>
      <c r="J228" s="46"/>
      <c r="K228" s="46"/>
      <c r="L228" s="46"/>
      <c r="M228" s="46"/>
      <c r="N228" s="46"/>
      <c r="O228" s="46"/>
      <c r="P228" s="46"/>
      <c r="Q228" s="46"/>
      <c r="R228" s="46"/>
      <c r="T228" s="51"/>
      <c r="V228" s="51"/>
      <c r="W228" s="50"/>
      <c r="X228" s="51"/>
      <c r="Y228" s="51"/>
      <c r="Z228" s="52"/>
      <c r="AA228" s="51"/>
      <c r="AB228" s="51"/>
      <c r="AC228" s="52"/>
    </row>
    <row r="229" spans="2:29" s="49" customFormat="1" x14ac:dyDescent="0.3">
      <c r="B229" s="46"/>
      <c r="C229" s="46"/>
      <c r="D229" s="78"/>
      <c r="E229" s="48"/>
      <c r="F229" s="78"/>
      <c r="G229" s="46"/>
      <c r="H229" s="46"/>
      <c r="I229" s="46"/>
      <c r="J229" s="46"/>
      <c r="K229" s="46"/>
      <c r="L229" s="46"/>
      <c r="M229" s="46"/>
      <c r="N229" s="46"/>
      <c r="O229" s="46"/>
      <c r="P229" s="46"/>
      <c r="Q229" s="46"/>
      <c r="R229" s="46"/>
      <c r="T229" s="51"/>
      <c r="V229" s="51"/>
      <c r="W229" s="50"/>
      <c r="X229" s="51"/>
      <c r="Y229" s="51"/>
      <c r="Z229" s="52"/>
      <c r="AA229" s="51"/>
      <c r="AB229" s="51"/>
      <c r="AC229" s="52"/>
    </row>
    <row r="230" spans="2:29" s="49" customFormat="1" x14ac:dyDescent="0.3">
      <c r="B230" s="46"/>
      <c r="C230" s="46"/>
      <c r="D230" s="78"/>
      <c r="E230" s="48"/>
      <c r="F230" s="78"/>
      <c r="G230" s="46"/>
      <c r="H230" s="46"/>
      <c r="I230" s="46"/>
      <c r="J230" s="46"/>
      <c r="K230" s="46"/>
      <c r="L230" s="46"/>
      <c r="M230" s="46"/>
      <c r="N230" s="46"/>
      <c r="O230" s="46"/>
      <c r="P230" s="46"/>
      <c r="Q230" s="46"/>
      <c r="R230" s="46"/>
      <c r="T230" s="51"/>
      <c r="V230" s="51"/>
      <c r="W230" s="50"/>
      <c r="X230" s="51"/>
      <c r="Y230" s="51"/>
      <c r="Z230" s="52"/>
      <c r="AA230" s="51"/>
      <c r="AB230" s="51"/>
      <c r="AC230" s="52"/>
    </row>
    <row r="231" spans="2:29" s="49" customFormat="1" x14ac:dyDescent="0.3">
      <c r="B231" s="46"/>
      <c r="C231" s="46"/>
      <c r="D231" s="78"/>
      <c r="E231" s="48"/>
      <c r="F231" s="78"/>
      <c r="G231" s="46"/>
      <c r="H231" s="46"/>
      <c r="I231" s="46"/>
      <c r="J231" s="46"/>
      <c r="K231" s="46"/>
      <c r="L231" s="46"/>
      <c r="M231" s="46"/>
      <c r="N231" s="46"/>
      <c r="O231" s="46"/>
      <c r="P231" s="46"/>
      <c r="Q231" s="46"/>
      <c r="R231" s="46"/>
      <c r="T231" s="51"/>
      <c r="V231" s="51"/>
      <c r="W231" s="50"/>
      <c r="X231" s="51"/>
      <c r="Y231" s="51"/>
      <c r="Z231" s="52"/>
      <c r="AA231" s="51"/>
      <c r="AB231" s="51"/>
      <c r="AC231" s="52"/>
    </row>
    <row r="232" spans="2:29" s="49" customFormat="1" x14ac:dyDescent="0.3">
      <c r="B232" s="46"/>
      <c r="C232" s="46"/>
      <c r="D232" s="78"/>
      <c r="E232" s="48"/>
      <c r="F232" s="78"/>
      <c r="G232" s="46"/>
      <c r="H232" s="46"/>
      <c r="I232" s="46"/>
      <c r="J232" s="46"/>
      <c r="K232" s="46"/>
      <c r="L232" s="46"/>
      <c r="M232" s="46"/>
      <c r="N232" s="46"/>
      <c r="O232" s="46"/>
      <c r="P232" s="46"/>
      <c r="Q232" s="46"/>
      <c r="R232" s="46"/>
      <c r="T232" s="51"/>
      <c r="V232" s="51"/>
      <c r="W232" s="50"/>
      <c r="X232" s="51"/>
      <c r="Y232" s="51"/>
      <c r="Z232" s="52"/>
      <c r="AA232" s="51"/>
      <c r="AB232" s="51"/>
      <c r="AC232" s="52"/>
    </row>
    <row r="233" spans="2:29" s="49" customFormat="1" x14ac:dyDescent="0.3">
      <c r="B233" s="46"/>
      <c r="C233" s="46"/>
      <c r="D233" s="78"/>
      <c r="E233" s="48"/>
      <c r="F233" s="78"/>
      <c r="G233" s="46"/>
      <c r="H233" s="46"/>
      <c r="I233" s="46"/>
      <c r="J233" s="46"/>
      <c r="K233" s="46"/>
      <c r="L233" s="46"/>
      <c r="M233" s="46"/>
      <c r="N233" s="46"/>
      <c r="O233" s="46"/>
      <c r="P233" s="46"/>
      <c r="Q233" s="46"/>
      <c r="R233" s="46"/>
      <c r="T233" s="51"/>
      <c r="V233" s="51"/>
      <c r="W233" s="50"/>
      <c r="X233" s="51"/>
      <c r="Y233" s="51"/>
      <c r="Z233" s="52"/>
      <c r="AA233" s="51"/>
      <c r="AB233" s="51"/>
      <c r="AC233" s="52"/>
    </row>
    <row r="234" spans="2:29" s="49" customFormat="1" x14ac:dyDescent="0.3">
      <c r="B234" s="46"/>
      <c r="C234" s="46"/>
      <c r="D234" s="78"/>
      <c r="E234" s="48"/>
      <c r="F234" s="78"/>
      <c r="G234" s="46"/>
      <c r="H234" s="46"/>
      <c r="I234" s="46"/>
      <c r="J234" s="46"/>
      <c r="K234" s="46"/>
      <c r="L234" s="46"/>
      <c r="M234" s="46"/>
      <c r="N234" s="46"/>
      <c r="O234" s="46"/>
      <c r="P234" s="46"/>
      <c r="Q234" s="46"/>
      <c r="R234" s="46"/>
      <c r="T234" s="51"/>
      <c r="V234" s="51"/>
      <c r="W234" s="50"/>
      <c r="X234" s="51"/>
      <c r="Y234" s="51"/>
      <c r="Z234" s="52"/>
      <c r="AA234" s="51"/>
      <c r="AB234" s="51"/>
      <c r="AC234" s="52"/>
    </row>
    <row r="235" spans="2:29" s="49" customFormat="1" x14ac:dyDescent="0.3">
      <c r="B235" s="46"/>
      <c r="C235" s="46"/>
      <c r="D235" s="78"/>
      <c r="E235" s="48"/>
      <c r="F235" s="78"/>
      <c r="G235" s="46"/>
      <c r="H235" s="46"/>
      <c r="I235" s="46"/>
      <c r="J235" s="46"/>
      <c r="K235" s="46"/>
      <c r="L235" s="46"/>
      <c r="M235" s="46"/>
      <c r="N235" s="46"/>
      <c r="O235" s="46"/>
      <c r="P235" s="46"/>
      <c r="Q235" s="46"/>
      <c r="R235" s="46"/>
      <c r="T235" s="51"/>
      <c r="V235" s="51"/>
      <c r="W235" s="50"/>
      <c r="X235" s="51"/>
      <c r="Y235" s="51"/>
      <c r="Z235" s="52"/>
      <c r="AA235" s="51"/>
      <c r="AB235" s="51"/>
      <c r="AC235" s="52"/>
    </row>
    <row r="236" spans="2:29" s="49" customFormat="1" x14ac:dyDescent="0.3">
      <c r="B236" s="46"/>
      <c r="C236" s="46"/>
      <c r="D236" s="78"/>
      <c r="E236" s="48"/>
      <c r="F236" s="78"/>
      <c r="G236" s="46"/>
      <c r="H236" s="46"/>
      <c r="I236" s="46"/>
      <c r="J236" s="46"/>
      <c r="K236" s="46"/>
      <c r="L236" s="46"/>
      <c r="M236" s="46"/>
      <c r="N236" s="46"/>
      <c r="O236" s="46"/>
      <c r="P236" s="46"/>
      <c r="Q236" s="46"/>
      <c r="R236" s="46"/>
      <c r="T236" s="51"/>
      <c r="V236" s="51"/>
      <c r="W236" s="50"/>
      <c r="X236" s="51"/>
      <c r="Y236" s="51"/>
      <c r="Z236" s="52"/>
      <c r="AA236" s="51"/>
      <c r="AB236" s="51"/>
      <c r="AC236" s="52"/>
    </row>
    <row r="237" spans="2:29" s="49" customFormat="1" x14ac:dyDescent="0.3">
      <c r="B237" s="46"/>
      <c r="C237" s="46"/>
      <c r="D237" s="78"/>
      <c r="E237" s="48"/>
      <c r="F237" s="78"/>
      <c r="G237" s="46"/>
      <c r="H237" s="46"/>
      <c r="I237" s="46"/>
      <c r="J237" s="46"/>
      <c r="K237" s="46"/>
      <c r="L237" s="46"/>
      <c r="M237" s="46"/>
      <c r="N237" s="46"/>
      <c r="O237" s="46"/>
      <c r="P237" s="46"/>
      <c r="Q237" s="46"/>
      <c r="R237" s="46"/>
      <c r="T237" s="51"/>
      <c r="V237" s="51"/>
      <c r="W237" s="50"/>
      <c r="X237" s="51"/>
      <c r="Y237" s="51"/>
      <c r="Z237" s="52"/>
      <c r="AA237" s="51"/>
      <c r="AB237" s="51"/>
      <c r="AC237" s="52"/>
    </row>
    <row r="238" spans="2:29" s="49" customFormat="1" x14ac:dyDescent="0.3">
      <c r="B238" s="46"/>
      <c r="C238" s="46"/>
      <c r="D238" s="78"/>
      <c r="E238" s="48"/>
      <c r="F238" s="78"/>
      <c r="G238" s="46"/>
      <c r="H238" s="46"/>
      <c r="I238" s="46"/>
      <c r="J238" s="46"/>
      <c r="K238" s="46"/>
      <c r="L238" s="46"/>
      <c r="M238" s="46"/>
      <c r="N238" s="46"/>
      <c r="O238" s="46"/>
      <c r="P238" s="46"/>
      <c r="Q238" s="46"/>
      <c r="R238" s="46"/>
      <c r="T238" s="51"/>
      <c r="V238" s="51"/>
      <c r="W238" s="50"/>
      <c r="X238" s="51"/>
      <c r="Y238" s="51"/>
      <c r="Z238" s="52"/>
      <c r="AA238" s="51"/>
      <c r="AB238" s="51"/>
      <c r="AC238" s="52"/>
    </row>
    <row r="239" spans="2:29" s="49" customFormat="1" x14ac:dyDescent="0.3">
      <c r="B239" s="46"/>
      <c r="C239" s="46"/>
      <c r="D239" s="78"/>
      <c r="E239" s="48"/>
      <c r="F239" s="78"/>
      <c r="G239" s="46"/>
      <c r="H239" s="46"/>
      <c r="I239" s="46"/>
      <c r="J239" s="46"/>
      <c r="K239" s="46"/>
      <c r="L239" s="46"/>
      <c r="M239" s="46"/>
      <c r="N239" s="46"/>
      <c r="O239" s="46"/>
      <c r="P239" s="46"/>
      <c r="Q239" s="46"/>
      <c r="R239" s="46"/>
      <c r="T239" s="51"/>
      <c r="V239" s="51"/>
      <c r="W239" s="50"/>
      <c r="X239" s="51"/>
      <c r="Y239" s="51"/>
      <c r="Z239" s="52"/>
      <c r="AA239" s="51"/>
      <c r="AB239" s="51"/>
      <c r="AC239" s="52"/>
    </row>
    <row r="240" spans="2:29" s="49" customFormat="1" x14ac:dyDescent="0.3">
      <c r="B240" s="46"/>
      <c r="C240" s="46"/>
      <c r="D240" s="78"/>
      <c r="E240" s="48"/>
      <c r="F240" s="78"/>
      <c r="G240" s="46"/>
      <c r="H240" s="46"/>
      <c r="I240" s="46"/>
      <c r="J240" s="46"/>
      <c r="K240" s="46"/>
      <c r="L240" s="46"/>
      <c r="M240" s="46"/>
      <c r="N240" s="46"/>
      <c r="O240" s="46"/>
      <c r="P240" s="46"/>
      <c r="Q240" s="46"/>
      <c r="R240" s="46"/>
      <c r="T240" s="51"/>
      <c r="V240" s="51"/>
      <c r="W240" s="50"/>
      <c r="X240" s="51"/>
      <c r="Y240" s="51"/>
      <c r="Z240" s="52"/>
      <c r="AA240" s="51"/>
      <c r="AB240" s="51"/>
      <c r="AC240" s="52"/>
    </row>
    <row r="241" spans="2:29" s="49" customFormat="1" x14ac:dyDescent="0.3">
      <c r="B241" s="46"/>
      <c r="C241" s="46"/>
      <c r="D241" s="78"/>
      <c r="E241" s="48"/>
      <c r="F241" s="78"/>
      <c r="G241" s="46"/>
      <c r="H241" s="46"/>
      <c r="I241" s="46"/>
      <c r="J241" s="46"/>
      <c r="K241" s="46"/>
      <c r="L241" s="46"/>
      <c r="M241" s="46"/>
      <c r="N241" s="46"/>
      <c r="O241" s="46"/>
      <c r="P241" s="46"/>
      <c r="Q241" s="46"/>
      <c r="R241" s="46"/>
      <c r="T241" s="51"/>
      <c r="V241" s="51"/>
      <c r="W241" s="50"/>
      <c r="X241" s="51"/>
      <c r="Y241" s="51"/>
      <c r="Z241" s="52"/>
      <c r="AA241" s="51"/>
      <c r="AB241" s="51"/>
      <c r="AC241" s="52"/>
    </row>
    <row r="242" spans="2:29" s="49" customFormat="1" x14ac:dyDescent="0.3">
      <c r="B242" s="46"/>
      <c r="C242" s="46"/>
      <c r="D242" s="78"/>
      <c r="E242" s="48"/>
      <c r="F242" s="78"/>
      <c r="G242" s="46"/>
      <c r="H242" s="46"/>
      <c r="I242" s="46"/>
      <c r="J242" s="46"/>
      <c r="K242" s="46"/>
      <c r="L242" s="46"/>
      <c r="M242" s="46"/>
      <c r="N242" s="46"/>
      <c r="O242" s="46"/>
      <c r="P242" s="46"/>
      <c r="Q242" s="46"/>
      <c r="R242" s="46"/>
      <c r="T242" s="51"/>
      <c r="V242" s="51"/>
      <c r="W242" s="50"/>
      <c r="X242" s="51"/>
      <c r="Y242" s="51"/>
      <c r="Z242" s="52"/>
      <c r="AA242" s="51"/>
      <c r="AB242" s="51"/>
      <c r="AC242" s="52"/>
    </row>
    <row r="243" spans="2:29" s="49" customFormat="1" x14ac:dyDescent="0.3">
      <c r="B243" s="46"/>
      <c r="C243" s="46"/>
      <c r="D243" s="78"/>
      <c r="E243" s="48"/>
      <c r="F243" s="78"/>
      <c r="G243" s="46"/>
      <c r="H243" s="46"/>
      <c r="I243" s="46"/>
      <c r="J243" s="46"/>
      <c r="K243" s="46"/>
      <c r="L243" s="46"/>
      <c r="M243" s="46"/>
      <c r="N243" s="46"/>
      <c r="O243" s="46"/>
      <c r="P243" s="46"/>
      <c r="Q243" s="46"/>
      <c r="R243" s="46"/>
      <c r="T243" s="51"/>
      <c r="V243" s="51"/>
      <c r="W243" s="50"/>
      <c r="X243" s="51"/>
      <c r="Y243" s="51"/>
      <c r="Z243" s="52"/>
      <c r="AA243" s="51"/>
      <c r="AB243" s="51"/>
      <c r="AC243" s="52"/>
    </row>
    <row r="244" spans="2:29" s="49" customFormat="1" x14ac:dyDescent="0.3">
      <c r="B244" s="46"/>
      <c r="C244" s="46"/>
      <c r="D244" s="78"/>
      <c r="E244" s="48"/>
      <c r="F244" s="78"/>
      <c r="G244" s="46"/>
      <c r="H244" s="46"/>
      <c r="I244" s="46"/>
      <c r="J244" s="46"/>
      <c r="K244" s="46"/>
      <c r="L244" s="46"/>
      <c r="M244" s="46"/>
      <c r="N244" s="46"/>
      <c r="O244" s="46"/>
      <c r="P244" s="46"/>
      <c r="Q244" s="46"/>
      <c r="R244" s="46"/>
      <c r="T244" s="51"/>
      <c r="V244" s="51"/>
      <c r="W244" s="50"/>
      <c r="X244" s="51"/>
      <c r="Y244" s="51"/>
      <c r="Z244" s="52"/>
      <c r="AA244" s="51"/>
      <c r="AB244" s="51"/>
      <c r="AC244" s="52"/>
    </row>
    <row r="245" spans="2:29" s="49" customFormat="1" x14ac:dyDescent="0.3">
      <c r="B245" s="46"/>
      <c r="C245" s="46"/>
      <c r="D245" s="78"/>
      <c r="E245" s="48"/>
      <c r="F245" s="78"/>
      <c r="G245" s="46"/>
      <c r="H245" s="46"/>
      <c r="I245" s="46"/>
      <c r="J245" s="46"/>
      <c r="K245" s="46"/>
      <c r="L245" s="46"/>
      <c r="M245" s="46"/>
      <c r="N245" s="46"/>
      <c r="O245" s="46"/>
      <c r="P245" s="46"/>
      <c r="Q245" s="46"/>
      <c r="R245" s="46"/>
      <c r="T245" s="51"/>
      <c r="V245" s="51"/>
      <c r="W245" s="50"/>
      <c r="X245" s="51"/>
      <c r="Y245" s="51"/>
      <c r="Z245" s="52"/>
      <c r="AA245" s="51"/>
      <c r="AB245" s="51"/>
      <c r="AC245" s="52"/>
    </row>
    <row r="246" spans="2:29" s="49" customFormat="1" x14ac:dyDescent="0.3">
      <c r="B246" s="46"/>
      <c r="C246" s="46"/>
      <c r="D246" s="78"/>
      <c r="E246" s="48"/>
      <c r="F246" s="78"/>
      <c r="G246" s="46"/>
      <c r="H246" s="46"/>
      <c r="I246" s="46"/>
      <c r="J246" s="46"/>
      <c r="K246" s="46"/>
      <c r="L246" s="46"/>
      <c r="M246" s="46"/>
      <c r="N246" s="46"/>
      <c r="O246" s="46"/>
      <c r="P246" s="46"/>
      <c r="Q246" s="46"/>
      <c r="R246" s="46"/>
      <c r="T246" s="51"/>
      <c r="V246" s="51"/>
      <c r="W246" s="50"/>
      <c r="X246" s="51"/>
      <c r="Y246" s="51"/>
      <c r="Z246" s="52"/>
      <c r="AA246" s="51"/>
      <c r="AB246" s="51"/>
      <c r="AC246" s="52"/>
    </row>
    <row r="247" spans="2:29" s="49" customFormat="1" x14ac:dyDescent="0.3">
      <c r="B247" s="46"/>
      <c r="C247" s="46"/>
      <c r="D247" s="78"/>
      <c r="E247" s="48"/>
      <c r="F247" s="78"/>
      <c r="G247" s="46"/>
      <c r="H247" s="46"/>
      <c r="I247" s="46"/>
      <c r="J247" s="46"/>
      <c r="K247" s="46"/>
      <c r="L247" s="46"/>
      <c r="M247" s="46"/>
      <c r="N247" s="46"/>
      <c r="O247" s="46"/>
      <c r="P247" s="46"/>
      <c r="Q247" s="46"/>
      <c r="R247" s="46"/>
      <c r="T247" s="51"/>
      <c r="V247" s="51"/>
      <c r="W247" s="50"/>
      <c r="X247" s="51"/>
      <c r="Y247" s="51"/>
      <c r="Z247" s="52"/>
      <c r="AA247" s="51"/>
      <c r="AB247" s="51"/>
      <c r="AC247" s="52"/>
    </row>
    <row r="248" spans="2:29" s="49" customFormat="1" x14ac:dyDescent="0.3">
      <c r="B248" s="46"/>
      <c r="C248" s="46"/>
      <c r="D248" s="78"/>
      <c r="E248" s="48"/>
      <c r="F248" s="78"/>
      <c r="G248" s="46"/>
      <c r="H248" s="46"/>
      <c r="I248" s="46"/>
      <c r="J248" s="46"/>
      <c r="K248" s="46"/>
      <c r="L248" s="46"/>
      <c r="M248" s="46"/>
      <c r="N248" s="46"/>
      <c r="O248" s="46"/>
      <c r="P248" s="46"/>
      <c r="Q248" s="46"/>
      <c r="R248" s="46"/>
      <c r="T248" s="51"/>
      <c r="V248" s="51"/>
      <c r="W248" s="50"/>
      <c r="X248" s="51"/>
      <c r="Y248" s="51"/>
      <c r="Z248" s="52"/>
      <c r="AA248" s="51"/>
      <c r="AB248" s="51"/>
      <c r="AC248" s="52"/>
    </row>
    <row r="249" spans="2:29" s="49" customFormat="1" x14ac:dyDescent="0.3">
      <c r="B249" s="46"/>
      <c r="C249" s="46"/>
      <c r="D249" s="78"/>
      <c r="E249" s="48"/>
      <c r="F249" s="78"/>
      <c r="G249" s="46"/>
      <c r="H249" s="46"/>
      <c r="I249" s="46"/>
      <c r="J249" s="46"/>
      <c r="K249" s="46"/>
      <c r="L249" s="46"/>
      <c r="M249" s="46"/>
      <c r="N249" s="46"/>
      <c r="O249" s="46"/>
      <c r="P249" s="46"/>
      <c r="Q249" s="46"/>
      <c r="R249" s="46"/>
      <c r="T249" s="51"/>
      <c r="V249" s="51"/>
      <c r="W249" s="50"/>
      <c r="X249" s="51"/>
      <c r="Y249" s="51"/>
      <c r="Z249" s="52"/>
      <c r="AA249" s="51"/>
      <c r="AB249" s="51"/>
      <c r="AC249" s="52"/>
    </row>
    <row r="250" spans="2:29" s="49" customFormat="1" x14ac:dyDescent="0.3">
      <c r="B250" s="46"/>
      <c r="C250" s="46"/>
      <c r="D250" s="78"/>
      <c r="E250" s="48"/>
      <c r="F250" s="78"/>
      <c r="G250" s="46"/>
      <c r="H250" s="46"/>
      <c r="I250" s="46"/>
      <c r="J250" s="46"/>
      <c r="K250" s="46"/>
      <c r="L250" s="46"/>
      <c r="M250" s="46"/>
      <c r="N250" s="46"/>
      <c r="O250" s="46"/>
      <c r="P250" s="46"/>
      <c r="Q250" s="46"/>
      <c r="R250" s="46"/>
      <c r="T250" s="51"/>
      <c r="V250" s="51"/>
      <c r="W250" s="50"/>
      <c r="X250" s="51"/>
      <c r="Y250" s="51"/>
      <c r="Z250" s="52"/>
      <c r="AA250" s="51"/>
      <c r="AB250" s="51"/>
      <c r="AC250" s="52"/>
    </row>
    <row r="251" spans="2:29" s="49" customFormat="1" x14ac:dyDescent="0.3">
      <c r="B251" s="46"/>
      <c r="C251" s="46"/>
      <c r="D251" s="78"/>
      <c r="E251" s="48"/>
      <c r="F251" s="78"/>
      <c r="G251" s="46"/>
      <c r="H251" s="46"/>
      <c r="I251" s="46"/>
      <c r="J251" s="46"/>
      <c r="K251" s="46"/>
      <c r="L251" s="46"/>
      <c r="M251" s="46"/>
      <c r="N251" s="46"/>
      <c r="O251" s="46"/>
      <c r="P251" s="46"/>
      <c r="Q251" s="46"/>
      <c r="R251" s="46"/>
      <c r="T251" s="51"/>
      <c r="V251" s="51"/>
      <c r="W251" s="50"/>
      <c r="X251" s="51"/>
      <c r="Y251" s="51"/>
      <c r="Z251" s="52"/>
      <c r="AA251" s="51"/>
      <c r="AB251" s="51"/>
      <c r="AC251" s="52"/>
    </row>
    <row r="252" spans="2:29" s="49" customFormat="1" x14ac:dyDescent="0.3">
      <c r="B252" s="46"/>
      <c r="C252" s="46"/>
      <c r="D252" s="78"/>
      <c r="E252" s="48"/>
      <c r="F252" s="78"/>
      <c r="G252" s="46"/>
      <c r="H252" s="46"/>
      <c r="I252" s="46"/>
      <c r="J252" s="46"/>
      <c r="K252" s="46"/>
      <c r="L252" s="46"/>
      <c r="M252" s="46"/>
      <c r="N252" s="46"/>
      <c r="O252" s="46"/>
      <c r="P252" s="46"/>
      <c r="Q252" s="46"/>
      <c r="R252" s="46"/>
      <c r="T252" s="51"/>
      <c r="V252" s="51"/>
      <c r="W252" s="50"/>
      <c r="X252" s="51"/>
      <c r="Y252" s="51"/>
      <c r="Z252" s="52"/>
      <c r="AA252" s="51"/>
      <c r="AB252" s="51"/>
      <c r="AC252" s="52"/>
    </row>
    <row r="253" spans="2:29" s="49" customFormat="1" x14ac:dyDescent="0.3">
      <c r="B253" s="46"/>
      <c r="C253" s="46"/>
      <c r="D253" s="78"/>
      <c r="E253" s="48"/>
      <c r="F253" s="78"/>
      <c r="G253" s="46"/>
      <c r="H253" s="46"/>
      <c r="I253" s="46"/>
      <c r="J253" s="46"/>
      <c r="K253" s="46"/>
      <c r="L253" s="46"/>
      <c r="M253" s="46"/>
      <c r="N253" s="46"/>
      <c r="O253" s="46"/>
      <c r="P253" s="46"/>
      <c r="Q253" s="46"/>
      <c r="R253" s="46"/>
      <c r="T253" s="51"/>
      <c r="V253" s="51"/>
      <c r="W253" s="50"/>
      <c r="X253" s="51"/>
      <c r="Y253" s="51"/>
      <c r="Z253" s="52"/>
      <c r="AA253" s="51"/>
      <c r="AB253" s="51"/>
      <c r="AC253" s="52"/>
    </row>
    <row r="254" spans="2:29" s="49" customFormat="1" x14ac:dyDescent="0.3">
      <c r="B254" s="46"/>
      <c r="C254" s="46"/>
      <c r="D254" s="78"/>
      <c r="E254" s="48"/>
      <c r="F254" s="78"/>
      <c r="G254" s="46"/>
      <c r="H254" s="46"/>
      <c r="I254" s="46"/>
      <c r="J254" s="46"/>
      <c r="K254" s="46"/>
      <c r="L254" s="46"/>
      <c r="M254" s="46"/>
      <c r="N254" s="46"/>
      <c r="O254" s="46"/>
      <c r="P254" s="46"/>
      <c r="Q254" s="46"/>
      <c r="R254" s="46"/>
      <c r="T254" s="51"/>
      <c r="V254" s="51"/>
      <c r="W254" s="50"/>
      <c r="X254" s="51"/>
      <c r="Y254" s="51"/>
      <c r="Z254" s="52"/>
      <c r="AA254" s="51"/>
      <c r="AB254" s="51"/>
      <c r="AC254" s="52"/>
    </row>
    <row r="255" spans="2:29" s="49" customFormat="1" x14ac:dyDescent="0.3">
      <c r="B255" s="46"/>
      <c r="C255" s="46"/>
      <c r="D255" s="78"/>
      <c r="E255" s="48"/>
      <c r="F255" s="78"/>
      <c r="G255" s="46"/>
      <c r="H255" s="46"/>
      <c r="I255" s="46"/>
      <c r="J255" s="46"/>
      <c r="K255" s="46"/>
      <c r="L255" s="46"/>
      <c r="M255" s="46"/>
      <c r="N255" s="46"/>
      <c r="O255" s="46"/>
      <c r="P255" s="46"/>
      <c r="Q255" s="46"/>
      <c r="R255" s="46"/>
      <c r="T255" s="51"/>
      <c r="V255" s="51"/>
      <c r="W255" s="50"/>
      <c r="X255" s="51"/>
      <c r="Y255" s="51"/>
      <c r="Z255" s="52"/>
      <c r="AA255" s="51"/>
      <c r="AB255" s="51"/>
      <c r="AC255" s="52"/>
    </row>
    <row r="256" spans="2:29" s="49" customFormat="1" x14ac:dyDescent="0.3">
      <c r="B256" s="46"/>
      <c r="C256" s="46"/>
      <c r="D256" s="78"/>
      <c r="E256" s="48"/>
      <c r="F256" s="78"/>
      <c r="G256" s="46"/>
      <c r="H256" s="46"/>
      <c r="I256" s="46"/>
      <c r="J256" s="46"/>
      <c r="K256" s="46"/>
      <c r="L256" s="46"/>
      <c r="M256" s="46"/>
      <c r="N256" s="46"/>
      <c r="O256" s="46"/>
      <c r="P256" s="46"/>
      <c r="Q256" s="46"/>
      <c r="R256" s="46"/>
      <c r="T256" s="51"/>
      <c r="V256" s="51"/>
      <c r="W256" s="50"/>
      <c r="X256" s="51"/>
      <c r="Y256" s="51"/>
      <c r="Z256" s="52"/>
      <c r="AA256" s="51"/>
      <c r="AB256" s="51"/>
      <c r="AC256" s="52"/>
    </row>
    <row r="257" spans="2:29" s="49" customFormat="1" x14ac:dyDescent="0.3">
      <c r="B257" s="46"/>
      <c r="C257" s="46"/>
      <c r="D257" s="78"/>
      <c r="E257" s="48"/>
      <c r="F257" s="78"/>
      <c r="G257" s="46"/>
      <c r="H257" s="46"/>
      <c r="I257" s="46"/>
      <c r="J257" s="46"/>
      <c r="K257" s="46"/>
      <c r="L257" s="46"/>
      <c r="M257" s="46"/>
      <c r="N257" s="46"/>
      <c r="O257" s="46"/>
      <c r="P257" s="46"/>
      <c r="Q257" s="46"/>
      <c r="R257" s="46"/>
      <c r="T257" s="51"/>
      <c r="V257" s="51"/>
      <c r="W257" s="50"/>
      <c r="X257" s="51"/>
      <c r="Y257" s="51"/>
      <c r="Z257" s="52"/>
      <c r="AA257" s="51"/>
      <c r="AB257" s="51"/>
      <c r="AC257" s="52"/>
    </row>
    <row r="258" spans="2:29" s="49" customFormat="1" x14ac:dyDescent="0.3">
      <c r="B258" s="46"/>
      <c r="C258" s="46"/>
      <c r="D258" s="78"/>
      <c r="E258" s="48"/>
      <c r="F258" s="78"/>
      <c r="G258" s="46"/>
      <c r="H258" s="46"/>
      <c r="I258" s="46"/>
      <c r="J258" s="46"/>
      <c r="K258" s="46"/>
      <c r="L258" s="46"/>
      <c r="M258" s="46"/>
      <c r="N258" s="46"/>
      <c r="O258" s="46"/>
      <c r="P258" s="46"/>
      <c r="Q258" s="46"/>
      <c r="R258" s="46"/>
      <c r="T258" s="51"/>
      <c r="V258" s="51"/>
      <c r="W258" s="50"/>
      <c r="X258" s="51"/>
      <c r="Y258" s="51"/>
      <c r="Z258" s="52"/>
      <c r="AA258" s="51"/>
      <c r="AB258" s="51"/>
      <c r="AC258" s="52"/>
    </row>
    <row r="259" spans="2:29" s="49" customFormat="1" x14ac:dyDescent="0.3">
      <c r="B259" s="46"/>
      <c r="C259" s="46"/>
      <c r="D259" s="78"/>
      <c r="E259" s="48"/>
      <c r="F259" s="78"/>
      <c r="G259" s="46"/>
      <c r="H259" s="46"/>
      <c r="I259" s="46"/>
      <c r="J259" s="46"/>
      <c r="K259" s="46"/>
      <c r="L259" s="46"/>
      <c r="M259" s="46"/>
      <c r="N259" s="46"/>
      <c r="O259" s="46"/>
      <c r="P259" s="46"/>
      <c r="Q259" s="46"/>
      <c r="R259" s="46"/>
      <c r="T259" s="51"/>
      <c r="V259" s="51"/>
      <c r="W259" s="50"/>
      <c r="X259" s="51"/>
      <c r="Y259" s="51"/>
      <c r="Z259" s="52"/>
      <c r="AA259" s="51"/>
      <c r="AB259" s="51"/>
      <c r="AC259" s="52"/>
    </row>
    <row r="260" spans="2:29" s="49" customFormat="1" x14ac:dyDescent="0.3">
      <c r="B260" s="46"/>
      <c r="C260" s="46"/>
      <c r="D260" s="78"/>
      <c r="E260" s="48"/>
      <c r="F260" s="78"/>
      <c r="G260" s="46"/>
      <c r="H260" s="46"/>
      <c r="I260" s="46"/>
      <c r="J260" s="46"/>
      <c r="K260" s="46"/>
      <c r="L260" s="46"/>
      <c r="M260" s="46"/>
      <c r="N260" s="46"/>
      <c r="O260" s="46"/>
      <c r="P260" s="46"/>
      <c r="Q260" s="46"/>
      <c r="R260" s="46"/>
      <c r="T260" s="51"/>
      <c r="V260" s="51"/>
      <c r="W260" s="50"/>
      <c r="X260" s="51"/>
      <c r="Y260" s="51"/>
      <c r="Z260" s="52"/>
      <c r="AA260" s="51"/>
      <c r="AB260" s="51"/>
      <c r="AC260" s="52"/>
    </row>
    <row r="261" spans="2:29" s="49" customFormat="1" x14ac:dyDescent="0.3">
      <c r="B261" s="46"/>
      <c r="C261" s="46"/>
      <c r="D261" s="78"/>
      <c r="E261" s="48"/>
      <c r="F261" s="78"/>
      <c r="G261" s="46"/>
      <c r="H261" s="46"/>
      <c r="I261" s="46"/>
      <c r="J261" s="46"/>
      <c r="K261" s="46"/>
      <c r="L261" s="46"/>
      <c r="M261" s="46"/>
      <c r="N261" s="46"/>
      <c r="O261" s="46"/>
      <c r="P261" s="46"/>
      <c r="Q261" s="46"/>
      <c r="R261" s="46"/>
      <c r="T261" s="51"/>
      <c r="V261" s="51"/>
      <c r="W261" s="50"/>
      <c r="X261" s="51"/>
      <c r="Y261" s="51"/>
      <c r="Z261" s="52"/>
      <c r="AA261" s="51"/>
      <c r="AB261" s="51"/>
      <c r="AC261" s="52"/>
    </row>
    <row r="262" spans="2:29" s="49" customFormat="1" x14ac:dyDescent="0.3">
      <c r="B262" s="46"/>
      <c r="C262" s="46"/>
      <c r="D262" s="78"/>
      <c r="E262" s="48"/>
      <c r="F262" s="78"/>
      <c r="G262" s="46"/>
      <c r="H262" s="46"/>
      <c r="I262" s="46"/>
      <c r="J262" s="46"/>
      <c r="K262" s="46"/>
      <c r="L262" s="46"/>
      <c r="M262" s="46"/>
      <c r="N262" s="46"/>
      <c r="O262" s="46"/>
      <c r="P262" s="46"/>
      <c r="Q262" s="46"/>
      <c r="R262" s="46"/>
      <c r="T262" s="51"/>
      <c r="V262" s="51"/>
      <c r="W262" s="50"/>
      <c r="X262" s="51"/>
      <c r="Y262" s="51"/>
      <c r="Z262" s="52"/>
      <c r="AA262" s="51"/>
      <c r="AB262" s="51"/>
      <c r="AC262" s="52"/>
    </row>
    <row r="263" spans="2:29" s="49" customFormat="1" x14ac:dyDescent="0.3">
      <c r="B263" s="46"/>
      <c r="C263" s="46"/>
      <c r="D263" s="78"/>
      <c r="E263" s="48"/>
      <c r="F263" s="78"/>
      <c r="G263" s="46"/>
      <c r="H263" s="46"/>
      <c r="I263" s="46"/>
      <c r="J263" s="46"/>
      <c r="K263" s="46"/>
      <c r="L263" s="46"/>
      <c r="M263" s="46"/>
      <c r="N263" s="46"/>
      <c r="O263" s="46"/>
      <c r="P263" s="46"/>
      <c r="Q263" s="46"/>
      <c r="R263" s="46"/>
      <c r="T263" s="51"/>
      <c r="V263" s="51"/>
      <c r="W263" s="50"/>
      <c r="X263" s="51"/>
      <c r="Y263" s="51"/>
      <c r="Z263" s="52"/>
      <c r="AA263" s="51"/>
      <c r="AB263" s="51"/>
      <c r="AC263" s="52"/>
    </row>
    <row r="264" spans="2:29" s="49" customFormat="1" x14ac:dyDescent="0.3">
      <c r="B264" s="46"/>
      <c r="C264" s="46"/>
      <c r="D264" s="78"/>
      <c r="E264" s="48"/>
      <c r="F264" s="78"/>
      <c r="G264" s="46"/>
      <c r="H264" s="46"/>
      <c r="I264" s="46"/>
      <c r="J264" s="46"/>
      <c r="K264" s="46"/>
      <c r="L264" s="46"/>
      <c r="M264" s="46"/>
      <c r="N264" s="46"/>
      <c r="O264" s="46"/>
      <c r="P264" s="46"/>
      <c r="Q264" s="46"/>
      <c r="R264" s="46"/>
      <c r="T264" s="51"/>
      <c r="V264" s="51"/>
      <c r="W264" s="50"/>
      <c r="X264" s="51"/>
      <c r="Y264" s="51"/>
      <c r="Z264" s="52"/>
      <c r="AA264" s="51"/>
      <c r="AB264" s="51"/>
      <c r="AC264" s="52"/>
    </row>
    <row r="265" spans="2:29" s="49" customFormat="1" x14ac:dyDescent="0.3">
      <c r="B265" s="46"/>
      <c r="C265" s="46"/>
      <c r="D265" s="78"/>
      <c r="E265" s="48"/>
      <c r="F265" s="78"/>
      <c r="G265" s="46"/>
      <c r="H265" s="46"/>
      <c r="I265" s="46"/>
      <c r="J265" s="46"/>
      <c r="K265" s="46"/>
      <c r="L265" s="46"/>
      <c r="M265" s="46"/>
      <c r="N265" s="46"/>
      <c r="O265" s="46"/>
      <c r="P265" s="46"/>
      <c r="Q265" s="46"/>
      <c r="R265" s="46"/>
      <c r="T265" s="51"/>
      <c r="V265" s="51"/>
      <c r="W265" s="50"/>
      <c r="X265" s="51"/>
      <c r="Y265" s="51"/>
      <c r="Z265" s="52"/>
      <c r="AA265" s="51"/>
      <c r="AB265" s="51"/>
      <c r="AC265" s="52"/>
    </row>
    <row r="266" spans="2:29" s="49" customFormat="1" x14ac:dyDescent="0.3">
      <c r="B266" s="46"/>
      <c r="C266" s="46"/>
      <c r="D266" s="78"/>
      <c r="E266" s="48"/>
      <c r="F266" s="78"/>
      <c r="G266" s="46"/>
      <c r="H266" s="46"/>
      <c r="I266" s="46"/>
      <c r="J266" s="46"/>
      <c r="K266" s="46"/>
      <c r="L266" s="46"/>
      <c r="M266" s="46"/>
      <c r="N266" s="46"/>
      <c r="O266" s="46"/>
      <c r="P266" s="46"/>
      <c r="Q266" s="46"/>
      <c r="R266" s="46"/>
      <c r="T266" s="51"/>
      <c r="V266" s="51"/>
      <c r="W266" s="50"/>
      <c r="X266" s="51"/>
      <c r="Y266" s="51"/>
      <c r="Z266" s="52"/>
      <c r="AA266" s="51"/>
      <c r="AB266" s="51"/>
      <c r="AC266" s="52"/>
    </row>
    <row r="267" spans="2:29" s="49" customFormat="1" x14ac:dyDescent="0.3">
      <c r="B267" s="46"/>
      <c r="C267" s="46"/>
      <c r="D267" s="78"/>
      <c r="E267" s="48"/>
      <c r="F267" s="78"/>
      <c r="G267" s="46"/>
      <c r="H267" s="46"/>
      <c r="I267" s="46"/>
      <c r="J267" s="46"/>
      <c r="K267" s="46"/>
      <c r="L267" s="46"/>
      <c r="M267" s="46"/>
      <c r="N267" s="46"/>
      <c r="O267" s="46"/>
      <c r="P267" s="46"/>
      <c r="Q267" s="46"/>
      <c r="R267" s="46"/>
      <c r="T267" s="51"/>
      <c r="V267" s="51"/>
      <c r="W267" s="50"/>
      <c r="X267" s="51"/>
      <c r="Y267" s="51"/>
      <c r="Z267" s="52"/>
      <c r="AA267" s="51"/>
      <c r="AB267" s="51"/>
      <c r="AC267" s="52"/>
    </row>
    <row r="268" spans="2:29" s="49" customFormat="1" x14ac:dyDescent="0.3">
      <c r="B268" s="46"/>
      <c r="C268" s="46"/>
      <c r="D268" s="78"/>
      <c r="E268" s="48"/>
      <c r="F268" s="78"/>
      <c r="G268" s="46"/>
      <c r="H268" s="46"/>
      <c r="I268" s="46"/>
      <c r="J268" s="46"/>
      <c r="K268" s="46"/>
      <c r="L268" s="46"/>
      <c r="M268" s="46"/>
      <c r="N268" s="46"/>
      <c r="O268" s="46"/>
      <c r="P268" s="46"/>
      <c r="Q268" s="46"/>
      <c r="R268" s="46"/>
      <c r="T268" s="51"/>
      <c r="V268" s="51"/>
      <c r="W268" s="50"/>
      <c r="X268" s="51"/>
      <c r="Y268" s="51"/>
      <c r="Z268" s="52"/>
      <c r="AA268" s="51"/>
      <c r="AB268" s="51"/>
      <c r="AC268" s="52"/>
    </row>
    <row r="269" spans="2:29" s="49" customFormat="1" x14ac:dyDescent="0.3">
      <c r="B269" s="46"/>
      <c r="C269" s="46"/>
      <c r="D269" s="78"/>
      <c r="E269" s="48"/>
      <c r="F269" s="78"/>
      <c r="G269" s="46"/>
      <c r="H269" s="46"/>
      <c r="I269" s="46"/>
      <c r="J269" s="46"/>
      <c r="K269" s="46"/>
      <c r="L269" s="46"/>
      <c r="M269" s="46"/>
      <c r="N269" s="46"/>
      <c r="O269" s="46"/>
      <c r="P269" s="46"/>
      <c r="Q269" s="46"/>
      <c r="R269" s="46"/>
      <c r="T269" s="51"/>
      <c r="V269" s="51"/>
      <c r="W269" s="50"/>
      <c r="X269" s="51"/>
      <c r="Y269" s="51"/>
      <c r="Z269" s="52"/>
      <c r="AA269" s="51"/>
      <c r="AB269" s="51"/>
      <c r="AC269" s="52"/>
    </row>
    <row r="270" spans="2:29" s="49" customFormat="1" x14ac:dyDescent="0.3">
      <c r="B270" s="46"/>
      <c r="C270" s="46"/>
      <c r="D270" s="78"/>
      <c r="E270" s="48"/>
      <c r="F270" s="78"/>
      <c r="G270" s="46"/>
      <c r="H270" s="46"/>
      <c r="I270" s="46"/>
      <c r="J270" s="46"/>
      <c r="K270" s="46"/>
      <c r="L270" s="46"/>
      <c r="M270" s="46"/>
      <c r="N270" s="46"/>
      <c r="O270" s="46"/>
      <c r="P270" s="46"/>
      <c r="Q270" s="46"/>
      <c r="R270" s="46"/>
      <c r="T270" s="51"/>
      <c r="V270" s="51"/>
      <c r="W270" s="50"/>
      <c r="X270" s="51"/>
      <c r="Y270" s="51"/>
      <c r="Z270" s="52"/>
      <c r="AA270" s="51"/>
      <c r="AB270" s="51"/>
      <c r="AC270" s="52"/>
    </row>
    <row r="271" spans="2:29" s="49" customFormat="1" x14ac:dyDescent="0.3">
      <c r="B271" s="46"/>
      <c r="C271" s="46"/>
      <c r="D271" s="78"/>
      <c r="E271" s="48"/>
      <c r="F271" s="78"/>
      <c r="G271" s="46"/>
      <c r="H271" s="46"/>
      <c r="I271" s="46"/>
      <c r="J271" s="46"/>
      <c r="K271" s="46"/>
      <c r="L271" s="46"/>
      <c r="M271" s="46"/>
      <c r="N271" s="46"/>
      <c r="O271" s="46"/>
      <c r="P271" s="46"/>
      <c r="Q271" s="46"/>
      <c r="R271" s="46"/>
      <c r="T271" s="51"/>
      <c r="V271" s="51"/>
      <c r="W271" s="50"/>
      <c r="X271" s="51"/>
      <c r="Y271" s="51"/>
      <c r="Z271" s="52"/>
      <c r="AA271" s="51"/>
      <c r="AB271" s="51"/>
      <c r="AC271" s="52"/>
    </row>
    <row r="272" spans="2:29" s="49" customFormat="1" x14ac:dyDescent="0.3">
      <c r="B272" s="46"/>
      <c r="C272" s="46"/>
      <c r="D272" s="78"/>
      <c r="E272" s="48"/>
      <c r="F272" s="78"/>
      <c r="G272" s="46"/>
      <c r="H272" s="46"/>
      <c r="I272" s="46"/>
      <c r="J272" s="46"/>
      <c r="K272" s="46"/>
      <c r="L272" s="46"/>
      <c r="M272" s="46"/>
      <c r="N272" s="46"/>
      <c r="O272" s="46"/>
      <c r="P272" s="46"/>
      <c r="Q272" s="46"/>
      <c r="R272" s="46"/>
      <c r="T272" s="51"/>
      <c r="V272" s="51"/>
      <c r="W272" s="50"/>
      <c r="X272" s="51"/>
      <c r="Y272" s="51"/>
      <c r="Z272" s="52"/>
      <c r="AA272" s="51"/>
      <c r="AB272" s="51"/>
      <c r="AC272" s="52"/>
    </row>
    <row r="273" spans="2:29" s="49" customFormat="1" x14ac:dyDescent="0.3">
      <c r="B273" s="46"/>
      <c r="C273" s="46"/>
      <c r="D273" s="78"/>
      <c r="E273" s="48"/>
      <c r="F273" s="78"/>
      <c r="G273" s="46"/>
      <c r="H273" s="46"/>
      <c r="I273" s="46"/>
      <c r="J273" s="46"/>
      <c r="K273" s="46"/>
      <c r="L273" s="46"/>
      <c r="M273" s="46"/>
      <c r="N273" s="46"/>
      <c r="O273" s="46"/>
      <c r="P273" s="46"/>
      <c r="Q273" s="46"/>
      <c r="R273" s="46"/>
      <c r="T273" s="51"/>
      <c r="V273" s="51"/>
      <c r="W273" s="50"/>
      <c r="X273" s="51"/>
      <c r="Y273" s="51"/>
      <c r="Z273" s="52"/>
      <c r="AA273" s="51"/>
      <c r="AB273" s="51"/>
      <c r="AC273" s="52"/>
    </row>
    <row r="274" spans="2:29" s="49" customFormat="1" x14ac:dyDescent="0.3">
      <c r="B274" s="46"/>
      <c r="C274" s="46"/>
      <c r="D274" s="78"/>
      <c r="E274" s="48"/>
      <c r="F274" s="78"/>
      <c r="G274" s="46"/>
      <c r="H274" s="46"/>
      <c r="I274" s="46"/>
      <c r="J274" s="46"/>
      <c r="K274" s="46"/>
      <c r="L274" s="46"/>
      <c r="M274" s="46"/>
      <c r="N274" s="46"/>
      <c r="O274" s="46"/>
      <c r="P274" s="46"/>
      <c r="Q274" s="46"/>
      <c r="R274" s="46"/>
      <c r="T274" s="51"/>
      <c r="V274" s="51"/>
      <c r="W274" s="50"/>
      <c r="X274" s="51"/>
      <c r="Y274" s="51"/>
      <c r="Z274" s="52"/>
      <c r="AA274" s="51"/>
      <c r="AB274" s="51"/>
      <c r="AC274" s="52"/>
    </row>
    <row r="275" spans="2:29" s="49" customFormat="1" x14ac:dyDescent="0.3">
      <c r="B275" s="46"/>
      <c r="C275" s="46"/>
      <c r="D275" s="78"/>
      <c r="E275" s="48"/>
      <c r="F275" s="78"/>
      <c r="G275" s="46"/>
      <c r="H275" s="46"/>
      <c r="I275" s="46"/>
      <c r="J275" s="46"/>
      <c r="K275" s="46"/>
      <c r="L275" s="46"/>
      <c r="M275" s="46"/>
      <c r="N275" s="46"/>
      <c r="O275" s="46"/>
      <c r="P275" s="46"/>
      <c r="Q275" s="46"/>
      <c r="R275" s="46"/>
      <c r="T275" s="51"/>
      <c r="V275" s="51"/>
      <c r="W275" s="50"/>
      <c r="X275" s="51"/>
      <c r="Y275" s="51"/>
      <c r="Z275" s="52"/>
      <c r="AA275" s="51"/>
      <c r="AB275" s="51"/>
      <c r="AC275" s="52"/>
    </row>
    <row r="276" spans="2:29" s="49" customFormat="1" x14ac:dyDescent="0.3">
      <c r="B276" s="46"/>
      <c r="C276" s="46"/>
      <c r="D276" s="78"/>
      <c r="E276" s="48"/>
      <c r="F276" s="78"/>
      <c r="G276" s="46"/>
      <c r="H276" s="46"/>
      <c r="I276" s="46"/>
      <c r="J276" s="46"/>
      <c r="K276" s="46"/>
      <c r="L276" s="46"/>
      <c r="M276" s="46"/>
      <c r="N276" s="46"/>
      <c r="O276" s="46"/>
      <c r="P276" s="46"/>
      <c r="Q276" s="46"/>
      <c r="R276" s="46"/>
      <c r="T276" s="51"/>
      <c r="V276" s="51"/>
      <c r="W276" s="50"/>
      <c r="X276" s="51"/>
      <c r="Y276" s="51"/>
      <c r="Z276" s="52"/>
      <c r="AA276" s="51"/>
      <c r="AB276" s="51"/>
      <c r="AC276" s="52"/>
    </row>
    <row r="277" spans="2:29" s="49" customFormat="1" x14ac:dyDescent="0.3">
      <c r="B277" s="46"/>
      <c r="C277" s="46"/>
      <c r="D277" s="78"/>
      <c r="E277" s="48"/>
      <c r="F277" s="78"/>
      <c r="G277" s="46"/>
      <c r="H277" s="46"/>
      <c r="I277" s="46"/>
      <c r="J277" s="46"/>
      <c r="K277" s="46"/>
      <c r="L277" s="46"/>
      <c r="M277" s="46"/>
      <c r="N277" s="46"/>
      <c r="O277" s="46"/>
      <c r="P277" s="46"/>
      <c r="Q277" s="46"/>
      <c r="R277" s="46"/>
      <c r="T277" s="51"/>
      <c r="V277" s="51"/>
      <c r="W277" s="50"/>
      <c r="X277" s="51"/>
      <c r="Y277" s="51"/>
      <c r="Z277" s="52"/>
      <c r="AA277" s="51"/>
      <c r="AB277" s="51"/>
      <c r="AC277" s="52"/>
    </row>
    <row r="278" spans="2:29" s="49" customFormat="1" x14ac:dyDescent="0.3">
      <c r="B278" s="46"/>
      <c r="C278" s="46"/>
      <c r="D278" s="78"/>
      <c r="E278" s="48"/>
      <c r="F278" s="78"/>
      <c r="G278" s="46"/>
      <c r="H278" s="46"/>
      <c r="I278" s="46"/>
      <c r="J278" s="46"/>
      <c r="K278" s="46"/>
      <c r="L278" s="46"/>
      <c r="M278" s="46"/>
      <c r="N278" s="46"/>
      <c r="O278" s="46"/>
      <c r="P278" s="46"/>
      <c r="Q278" s="46"/>
      <c r="R278" s="46"/>
      <c r="T278" s="51"/>
      <c r="V278" s="51"/>
      <c r="W278" s="50"/>
      <c r="X278" s="51"/>
      <c r="Y278" s="51"/>
      <c r="Z278" s="52"/>
      <c r="AA278" s="51"/>
      <c r="AB278" s="51"/>
      <c r="AC278" s="52"/>
    </row>
    <row r="279" spans="2:29" s="49" customFormat="1" x14ac:dyDescent="0.3">
      <c r="B279" s="46"/>
      <c r="C279" s="46"/>
      <c r="D279" s="78"/>
      <c r="E279" s="48"/>
      <c r="F279" s="78"/>
      <c r="G279" s="46"/>
      <c r="H279" s="46"/>
      <c r="I279" s="46"/>
      <c r="J279" s="46"/>
      <c r="K279" s="46"/>
      <c r="L279" s="46"/>
      <c r="M279" s="46"/>
      <c r="N279" s="46"/>
      <c r="O279" s="46"/>
      <c r="P279" s="46"/>
      <c r="Q279" s="46"/>
      <c r="R279" s="46"/>
      <c r="T279" s="51"/>
      <c r="V279" s="51"/>
      <c r="W279" s="50"/>
      <c r="X279" s="51"/>
      <c r="Y279" s="51"/>
      <c r="Z279" s="52"/>
      <c r="AA279" s="51"/>
      <c r="AB279" s="51"/>
      <c r="AC279" s="52"/>
    </row>
    <row r="280" spans="2:29" s="49" customFormat="1" x14ac:dyDescent="0.3">
      <c r="B280" s="46"/>
      <c r="C280" s="46"/>
      <c r="D280" s="78"/>
      <c r="E280" s="48"/>
      <c r="F280" s="78"/>
      <c r="G280" s="46"/>
      <c r="H280" s="46"/>
      <c r="I280" s="46"/>
      <c r="J280" s="46"/>
      <c r="K280" s="46"/>
      <c r="L280" s="46"/>
      <c r="M280" s="46"/>
      <c r="N280" s="46"/>
      <c r="O280" s="46"/>
      <c r="P280" s="46"/>
      <c r="Q280" s="46"/>
      <c r="R280" s="46"/>
      <c r="T280" s="51"/>
      <c r="V280" s="51"/>
      <c r="W280" s="50"/>
      <c r="X280" s="51"/>
      <c r="Y280" s="51"/>
      <c r="Z280" s="52"/>
      <c r="AA280" s="51"/>
      <c r="AB280" s="51"/>
      <c r="AC280" s="52"/>
    </row>
    <row r="281" spans="2:29" s="49" customFormat="1" x14ac:dyDescent="0.3">
      <c r="B281" s="46"/>
      <c r="C281" s="46"/>
      <c r="D281" s="78"/>
      <c r="E281" s="48"/>
      <c r="F281" s="78"/>
      <c r="G281" s="46"/>
      <c r="H281" s="46"/>
      <c r="I281" s="46"/>
      <c r="J281" s="46"/>
      <c r="K281" s="46"/>
      <c r="L281" s="46"/>
      <c r="M281" s="46"/>
      <c r="N281" s="46"/>
      <c r="O281" s="46"/>
      <c r="P281" s="46"/>
      <c r="Q281" s="46"/>
      <c r="R281" s="46"/>
      <c r="T281" s="51"/>
      <c r="V281" s="51"/>
      <c r="W281" s="50"/>
      <c r="X281" s="51"/>
      <c r="Y281" s="51"/>
      <c r="Z281" s="52"/>
      <c r="AA281" s="51"/>
      <c r="AB281" s="51"/>
      <c r="AC281" s="52"/>
    </row>
    <row r="282" spans="2:29" s="49" customFormat="1" x14ac:dyDescent="0.3">
      <c r="B282" s="46"/>
      <c r="C282" s="46"/>
      <c r="D282" s="78"/>
      <c r="E282" s="48"/>
      <c r="F282" s="78"/>
      <c r="G282" s="46"/>
      <c r="H282" s="46"/>
      <c r="I282" s="46"/>
      <c r="J282" s="46"/>
      <c r="K282" s="46"/>
      <c r="L282" s="46"/>
      <c r="M282" s="46"/>
      <c r="N282" s="46"/>
      <c r="O282" s="46"/>
      <c r="P282" s="46"/>
      <c r="Q282" s="46"/>
      <c r="R282" s="46"/>
      <c r="T282" s="51"/>
      <c r="V282" s="51"/>
      <c r="W282" s="50"/>
      <c r="X282" s="51"/>
      <c r="Y282" s="51"/>
      <c r="Z282" s="52"/>
      <c r="AA282" s="51"/>
      <c r="AB282" s="51"/>
      <c r="AC282" s="52"/>
    </row>
    <row r="283" spans="2:29" s="49" customFormat="1" x14ac:dyDescent="0.3">
      <c r="B283" s="46"/>
      <c r="C283" s="46"/>
      <c r="D283" s="78"/>
      <c r="E283" s="48"/>
      <c r="F283" s="78"/>
      <c r="G283" s="46"/>
      <c r="H283" s="46"/>
      <c r="I283" s="46"/>
      <c r="J283" s="46"/>
      <c r="K283" s="46"/>
      <c r="L283" s="46"/>
      <c r="M283" s="46"/>
      <c r="N283" s="46"/>
      <c r="O283" s="46"/>
      <c r="P283" s="46"/>
      <c r="Q283" s="46"/>
      <c r="R283" s="46"/>
      <c r="T283" s="51"/>
      <c r="V283" s="51"/>
      <c r="W283" s="50"/>
      <c r="X283" s="51"/>
      <c r="Y283" s="51"/>
      <c r="Z283" s="52"/>
      <c r="AA283" s="51"/>
      <c r="AB283" s="51"/>
      <c r="AC283" s="52"/>
    </row>
    <row r="284" spans="2:29" s="49" customFormat="1" x14ac:dyDescent="0.3">
      <c r="B284" s="46"/>
      <c r="C284" s="46"/>
      <c r="D284" s="78"/>
      <c r="E284" s="48"/>
      <c r="F284" s="78"/>
      <c r="G284" s="46"/>
      <c r="H284" s="46"/>
      <c r="I284" s="46"/>
      <c r="J284" s="46"/>
      <c r="K284" s="46"/>
      <c r="L284" s="46"/>
      <c r="M284" s="46"/>
      <c r="N284" s="46"/>
      <c r="O284" s="46"/>
      <c r="P284" s="46"/>
      <c r="Q284" s="46"/>
      <c r="R284" s="46"/>
      <c r="T284" s="51"/>
      <c r="V284" s="51"/>
      <c r="W284" s="50"/>
      <c r="X284" s="51"/>
      <c r="Y284" s="51"/>
      <c r="Z284" s="52"/>
      <c r="AA284" s="51"/>
      <c r="AB284" s="51"/>
      <c r="AC284" s="52"/>
    </row>
    <row r="285" spans="2:29" s="49" customFormat="1" x14ac:dyDescent="0.3">
      <c r="B285" s="46"/>
      <c r="C285" s="46"/>
      <c r="D285" s="78"/>
      <c r="E285" s="48"/>
      <c r="F285" s="78"/>
      <c r="G285" s="46"/>
      <c r="H285" s="46"/>
      <c r="I285" s="46"/>
      <c r="J285" s="46"/>
      <c r="K285" s="46"/>
      <c r="L285" s="46"/>
      <c r="M285" s="46"/>
      <c r="N285" s="46"/>
      <c r="O285" s="46"/>
      <c r="P285" s="46"/>
      <c r="Q285" s="46"/>
      <c r="R285" s="46"/>
      <c r="T285" s="51"/>
      <c r="V285" s="51"/>
      <c r="W285" s="50"/>
      <c r="X285" s="51"/>
      <c r="Y285" s="51"/>
      <c r="Z285" s="52"/>
      <c r="AA285" s="51"/>
      <c r="AB285" s="51"/>
      <c r="AC285" s="52"/>
    </row>
    <row r="286" spans="2:29" s="49" customFormat="1" x14ac:dyDescent="0.3">
      <c r="B286" s="46"/>
      <c r="C286" s="46"/>
      <c r="D286" s="78"/>
      <c r="E286" s="48"/>
      <c r="F286" s="78"/>
      <c r="G286" s="46"/>
      <c r="H286" s="46"/>
      <c r="I286" s="46"/>
      <c r="J286" s="46"/>
      <c r="K286" s="46"/>
      <c r="L286" s="46"/>
      <c r="M286" s="46"/>
      <c r="N286" s="46"/>
      <c r="O286" s="46"/>
      <c r="P286" s="46"/>
      <c r="Q286" s="46"/>
      <c r="R286" s="46"/>
      <c r="T286" s="51"/>
      <c r="V286" s="51"/>
      <c r="W286" s="50"/>
      <c r="X286" s="51"/>
      <c r="Y286" s="51"/>
      <c r="Z286" s="52"/>
      <c r="AA286" s="51"/>
      <c r="AB286" s="51"/>
      <c r="AC286" s="52"/>
    </row>
    <row r="287" spans="2:29" s="49" customFormat="1" x14ac:dyDescent="0.3">
      <c r="B287" s="46"/>
      <c r="C287" s="46"/>
      <c r="D287" s="78"/>
      <c r="E287" s="48"/>
      <c r="F287" s="78"/>
      <c r="G287" s="46"/>
      <c r="H287" s="46"/>
      <c r="I287" s="46"/>
      <c r="J287" s="46"/>
      <c r="K287" s="46"/>
      <c r="L287" s="46"/>
      <c r="M287" s="46"/>
      <c r="N287" s="46"/>
      <c r="O287" s="46"/>
      <c r="P287" s="46"/>
      <c r="Q287" s="46"/>
      <c r="R287" s="46"/>
      <c r="T287" s="51"/>
      <c r="V287" s="51"/>
      <c r="W287" s="50"/>
      <c r="X287" s="51"/>
      <c r="Y287" s="51"/>
      <c r="Z287" s="52"/>
      <c r="AA287" s="51"/>
      <c r="AB287" s="51"/>
      <c r="AC287" s="52"/>
    </row>
    <row r="288" spans="2:29" s="49" customFormat="1" x14ac:dyDescent="0.3">
      <c r="B288" s="46"/>
      <c r="C288" s="46"/>
      <c r="D288" s="78"/>
      <c r="E288" s="48"/>
      <c r="F288" s="78"/>
      <c r="G288" s="46"/>
      <c r="H288" s="46"/>
      <c r="I288" s="46"/>
      <c r="J288" s="46"/>
      <c r="K288" s="46"/>
      <c r="L288" s="46"/>
      <c r="M288" s="46"/>
      <c r="N288" s="46"/>
      <c r="O288" s="46"/>
      <c r="P288" s="46"/>
      <c r="Q288" s="46"/>
      <c r="R288" s="46"/>
      <c r="T288" s="51"/>
      <c r="V288" s="51"/>
      <c r="W288" s="50"/>
      <c r="X288" s="51"/>
      <c r="Y288" s="51"/>
      <c r="Z288" s="52"/>
      <c r="AA288" s="51"/>
      <c r="AB288" s="51"/>
      <c r="AC288" s="52"/>
    </row>
    <row r="289" spans="2:29" s="49" customFormat="1" x14ac:dyDescent="0.3">
      <c r="B289" s="46"/>
      <c r="C289" s="46"/>
      <c r="D289" s="78"/>
      <c r="E289" s="48"/>
      <c r="F289" s="78"/>
      <c r="G289" s="46"/>
      <c r="H289" s="46"/>
      <c r="I289" s="46"/>
      <c r="J289" s="46"/>
      <c r="K289" s="46"/>
      <c r="L289" s="46"/>
      <c r="M289" s="46"/>
      <c r="N289" s="46"/>
      <c r="O289" s="46"/>
      <c r="P289" s="46"/>
      <c r="Q289" s="46"/>
      <c r="R289" s="46"/>
      <c r="T289" s="51"/>
      <c r="V289" s="51"/>
      <c r="W289" s="50"/>
      <c r="X289" s="51"/>
      <c r="Y289" s="51"/>
      <c r="Z289" s="52"/>
      <c r="AA289" s="51"/>
      <c r="AB289" s="51"/>
      <c r="AC289" s="52"/>
    </row>
    <row r="290" spans="2:29" s="49" customFormat="1" x14ac:dyDescent="0.3">
      <c r="B290" s="46"/>
      <c r="C290" s="46"/>
      <c r="D290" s="78"/>
      <c r="E290" s="48"/>
      <c r="F290" s="78"/>
      <c r="G290" s="46"/>
      <c r="H290" s="46"/>
      <c r="I290" s="46"/>
      <c r="J290" s="46"/>
      <c r="K290" s="46"/>
      <c r="L290" s="46"/>
      <c r="M290" s="46"/>
      <c r="N290" s="46"/>
      <c r="O290" s="46"/>
      <c r="P290" s="46"/>
      <c r="Q290" s="46"/>
      <c r="R290" s="46"/>
      <c r="T290" s="51"/>
      <c r="V290" s="51"/>
      <c r="W290" s="50"/>
      <c r="X290" s="51"/>
      <c r="Y290" s="51"/>
      <c r="Z290" s="52"/>
      <c r="AA290" s="51"/>
      <c r="AB290" s="51"/>
      <c r="AC290" s="52"/>
    </row>
    <row r="291" spans="2:29" s="49" customFormat="1" x14ac:dyDescent="0.3">
      <c r="B291" s="46"/>
      <c r="C291" s="46"/>
      <c r="D291" s="78"/>
      <c r="E291" s="48"/>
      <c r="F291" s="78"/>
      <c r="G291" s="46"/>
      <c r="H291" s="46"/>
      <c r="I291" s="46"/>
      <c r="J291" s="46"/>
      <c r="K291" s="46"/>
      <c r="L291" s="46"/>
      <c r="M291" s="46"/>
      <c r="N291" s="46"/>
      <c r="O291" s="46"/>
      <c r="P291" s="46"/>
      <c r="Q291" s="46"/>
      <c r="R291" s="46"/>
      <c r="T291" s="51"/>
      <c r="V291" s="51"/>
      <c r="W291" s="50"/>
      <c r="X291" s="51"/>
      <c r="Y291" s="51"/>
      <c r="Z291" s="52"/>
      <c r="AA291" s="51"/>
      <c r="AB291" s="51"/>
      <c r="AC291" s="52"/>
    </row>
    <row r="292" spans="2:29" s="49" customFormat="1" x14ac:dyDescent="0.3">
      <c r="B292" s="46"/>
      <c r="C292" s="46"/>
      <c r="D292" s="78"/>
      <c r="E292" s="48"/>
      <c r="F292" s="78"/>
      <c r="G292" s="46"/>
      <c r="H292" s="46"/>
      <c r="I292" s="46"/>
      <c r="J292" s="46"/>
      <c r="K292" s="46"/>
      <c r="L292" s="46"/>
      <c r="M292" s="46"/>
      <c r="N292" s="46"/>
      <c r="O292" s="46"/>
      <c r="P292" s="46"/>
      <c r="Q292" s="46"/>
      <c r="R292" s="46"/>
      <c r="T292" s="51"/>
      <c r="V292" s="51"/>
      <c r="W292" s="50"/>
      <c r="X292" s="51"/>
      <c r="Y292" s="51"/>
      <c r="Z292" s="52"/>
      <c r="AA292" s="51"/>
      <c r="AB292" s="51"/>
      <c r="AC292" s="52"/>
    </row>
    <row r="293" spans="2:29" s="49" customFormat="1" x14ac:dyDescent="0.3">
      <c r="B293" s="46"/>
      <c r="C293" s="46"/>
      <c r="D293" s="78"/>
      <c r="E293" s="48"/>
      <c r="F293" s="78"/>
      <c r="G293" s="46"/>
      <c r="H293" s="46"/>
      <c r="I293" s="46"/>
      <c r="J293" s="46"/>
      <c r="K293" s="46"/>
      <c r="L293" s="46"/>
      <c r="M293" s="46"/>
      <c r="N293" s="46"/>
      <c r="O293" s="46"/>
      <c r="P293" s="46"/>
      <c r="Q293" s="46"/>
      <c r="R293" s="46"/>
      <c r="T293" s="51"/>
      <c r="V293" s="51"/>
      <c r="W293" s="50"/>
      <c r="X293" s="51"/>
      <c r="Y293" s="51"/>
      <c r="Z293" s="52"/>
      <c r="AA293" s="51"/>
      <c r="AB293" s="51"/>
      <c r="AC293" s="52"/>
    </row>
    <row r="294" spans="2:29" s="49" customFormat="1" x14ac:dyDescent="0.3">
      <c r="B294" s="46"/>
      <c r="C294" s="46"/>
      <c r="D294" s="78"/>
      <c r="E294" s="48"/>
      <c r="F294" s="78"/>
      <c r="G294" s="46"/>
      <c r="H294" s="46"/>
      <c r="I294" s="46"/>
      <c r="J294" s="46"/>
      <c r="K294" s="46"/>
      <c r="L294" s="46"/>
      <c r="M294" s="46"/>
      <c r="N294" s="46"/>
      <c r="O294" s="46"/>
      <c r="P294" s="46"/>
      <c r="Q294" s="46"/>
      <c r="R294" s="46"/>
      <c r="T294" s="51"/>
      <c r="V294" s="51"/>
      <c r="W294" s="50"/>
      <c r="X294" s="51"/>
      <c r="Y294" s="51"/>
      <c r="Z294" s="52"/>
      <c r="AA294" s="51"/>
      <c r="AB294" s="51"/>
      <c r="AC294" s="52"/>
    </row>
    <row r="295" spans="2:29" s="49" customFormat="1" x14ac:dyDescent="0.3">
      <c r="B295" s="46"/>
      <c r="C295" s="46"/>
      <c r="D295" s="78"/>
      <c r="E295" s="48"/>
      <c r="F295" s="78"/>
      <c r="G295" s="46"/>
      <c r="H295" s="46"/>
      <c r="I295" s="46"/>
      <c r="J295" s="46"/>
      <c r="K295" s="46"/>
      <c r="L295" s="46"/>
      <c r="M295" s="46"/>
      <c r="N295" s="46"/>
      <c r="O295" s="46"/>
      <c r="P295" s="46"/>
      <c r="Q295" s="46"/>
      <c r="R295" s="46"/>
      <c r="T295" s="51"/>
      <c r="V295" s="51"/>
      <c r="W295" s="50"/>
      <c r="X295" s="51"/>
      <c r="Y295" s="51"/>
      <c r="Z295" s="52"/>
      <c r="AA295" s="51"/>
      <c r="AB295" s="51"/>
      <c r="AC295" s="52"/>
    </row>
    <row r="296" spans="2:29" s="49" customFormat="1" x14ac:dyDescent="0.3">
      <c r="B296" s="46"/>
      <c r="C296" s="46"/>
      <c r="D296" s="78"/>
      <c r="E296" s="48"/>
      <c r="F296" s="78"/>
      <c r="G296" s="46"/>
      <c r="H296" s="46"/>
      <c r="I296" s="46"/>
      <c r="J296" s="46"/>
      <c r="K296" s="46"/>
      <c r="L296" s="46"/>
      <c r="M296" s="46"/>
      <c r="N296" s="46"/>
      <c r="O296" s="46"/>
      <c r="P296" s="46"/>
      <c r="Q296" s="46"/>
      <c r="R296" s="46"/>
      <c r="T296" s="51"/>
      <c r="V296" s="51"/>
      <c r="W296" s="50"/>
      <c r="X296" s="51"/>
      <c r="Y296" s="51"/>
      <c r="Z296" s="52"/>
      <c r="AA296" s="51"/>
      <c r="AB296" s="51"/>
      <c r="AC296" s="52"/>
    </row>
    <row r="297" spans="2:29" s="49" customFormat="1" x14ac:dyDescent="0.3">
      <c r="B297" s="46"/>
      <c r="C297" s="46"/>
      <c r="D297" s="78"/>
      <c r="E297" s="48"/>
      <c r="F297" s="78"/>
      <c r="G297" s="46"/>
      <c r="H297" s="46"/>
      <c r="I297" s="46"/>
      <c r="J297" s="46"/>
      <c r="K297" s="46"/>
      <c r="L297" s="46"/>
      <c r="M297" s="46"/>
      <c r="N297" s="46"/>
      <c r="O297" s="46"/>
      <c r="P297" s="46"/>
      <c r="Q297" s="46"/>
      <c r="R297" s="46"/>
      <c r="T297" s="51"/>
      <c r="V297" s="51"/>
      <c r="W297" s="50"/>
      <c r="X297" s="51"/>
      <c r="Y297" s="51"/>
      <c r="Z297" s="52"/>
      <c r="AA297" s="51"/>
      <c r="AB297" s="51"/>
      <c r="AC297" s="52"/>
    </row>
    <row r="298" spans="2:29" s="49" customFormat="1" x14ac:dyDescent="0.3">
      <c r="B298" s="46"/>
      <c r="C298" s="46"/>
      <c r="D298" s="78"/>
      <c r="E298" s="48"/>
      <c r="F298" s="78"/>
      <c r="G298" s="46"/>
      <c r="H298" s="46"/>
      <c r="I298" s="46"/>
      <c r="J298" s="46"/>
      <c r="K298" s="46"/>
      <c r="L298" s="46"/>
      <c r="M298" s="46"/>
      <c r="N298" s="46"/>
      <c r="O298" s="46"/>
      <c r="P298" s="46"/>
      <c r="Q298" s="46"/>
      <c r="R298" s="46"/>
      <c r="T298" s="51"/>
      <c r="V298" s="51"/>
      <c r="W298" s="50"/>
      <c r="X298" s="51"/>
      <c r="Y298" s="51"/>
      <c r="Z298" s="52"/>
      <c r="AA298" s="51"/>
      <c r="AB298" s="51"/>
      <c r="AC298" s="52"/>
    </row>
    <row r="299" spans="2:29" s="49" customFormat="1" x14ac:dyDescent="0.3">
      <c r="B299" s="46"/>
      <c r="C299" s="46"/>
      <c r="D299" s="78"/>
      <c r="E299" s="48"/>
      <c r="F299" s="78"/>
      <c r="G299" s="46"/>
      <c r="H299" s="46"/>
      <c r="I299" s="46"/>
      <c r="J299" s="46"/>
      <c r="K299" s="46"/>
      <c r="L299" s="46"/>
      <c r="M299" s="46"/>
      <c r="N299" s="46"/>
      <c r="O299" s="46"/>
      <c r="P299" s="46"/>
      <c r="Q299" s="46"/>
      <c r="R299" s="46"/>
      <c r="T299" s="51"/>
      <c r="V299" s="51"/>
      <c r="W299" s="50"/>
      <c r="X299" s="51"/>
      <c r="Y299" s="51"/>
      <c r="Z299" s="52"/>
      <c r="AA299" s="51"/>
      <c r="AB299" s="51"/>
      <c r="AC299" s="52"/>
    </row>
    <row r="300" spans="2:29" s="49" customFormat="1" x14ac:dyDescent="0.3">
      <c r="B300" s="46"/>
      <c r="C300" s="46"/>
      <c r="D300" s="78"/>
      <c r="E300" s="48"/>
      <c r="F300" s="78"/>
      <c r="G300" s="46"/>
      <c r="H300" s="46"/>
      <c r="I300" s="46"/>
      <c r="J300" s="46"/>
      <c r="K300" s="46"/>
      <c r="L300" s="46"/>
      <c r="M300" s="46"/>
      <c r="N300" s="46"/>
      <c r="O300" s="46"/>
      <c r="P300" s="46"/>
      <c r="Q300" s="46"/>
      <c r="R300" s="46"/>
      <c r="T300" s="51"/>
      <c r="V300" s="51"/>
      <c r="W300" s="50"/>
      <c r="X300" s="51"/>
      <c r="Y300" s="51"/>
      <c r="Z300" s="52"/>
      <c r="AA300" s="51"/>
      <c r="AB300" s="51"/>
      <c r="AC300" s="52"/>
    </row>
    <row r="301" spans="2:29" s="49" customFormat="1" x14ac:dyDescent="0.3">
      <c r="B301" s="46"/>
      <c r="C301" s="46"/>
      <c r="D301" s="78"/>
      <c r="E301" s="48"/>
      <c r="F301" s="78"/>
      <c r="G301" s="46"/>
      <c r="H301" s="46"/>
      <c r="I301" s="46"/>
      <c r="J301" s="46"/>
      <c r="K301" s="46"/>
      <c r="L301" s="46"/>
      <c r="M301" s="46"/>
      <c r="N301" s="46"/>
      <c r="O301" s="46"/>
      <c r="P301" s="46"/>
      <c r="Q301" s="46"/>
      <c r="R301" s="46"/>
      <c r="T301" s="51"/>
      <c r="V301" s="51"/>
      <c r="W301" s="50"/>
      <c r="X301" s="51"/>
      <c r="Y301" s="51"/>
      <c r="Z301" s="52"/>
      <c r="AA301" s="51"/>
      <c r="AB301" s="51"/>
      <c r="AC301" s="52"/>
    </row>
    <row r="302" spans="2:29" s="49" customFormat="1" x14ac:dyDescent="0.3">
      <c r="B302" s="46"/>
      <c r="C302" s="46"/>
      <c r="D302" s="78"/>
      <c r="E302" s="48"/>
      <c r="F302" s="78"/>
      <c r="G302" s="46"/>
      <c r="H302" s="46"/>
      <c r="I302" s="46"/>
      <c r="J302" s="46"/>
      <c r="K302" s="46"/>
      <c r="L302" s="46"/>
      <c r="M302" s="46"/>
      <c r="N302" s="46"/>
      <c r="O302" s="46"/>
      <c r="P302" s="46"/>
      <c r="Q302" s="46"/>
      <c r="R302" s="46"/>
      <c r="T302" s="51"/>
      <c r="V302" s="51"/>
      <c r="W302" s="50"/>
      <c r="X302" s="51"/>
      <c r="Y302" s="51"/>
      <c r="Z302" s="52"/>
      <c r="AA302" s="51"/>
      <c r="AB302" s="51"/>
      <c r="AC302" s="52"/>
    </row>
    <row r="303" spans="2:29" s="49" customFormat="1" x14ac:dyDescent="0.3">
      <c r="B303" s="46"/>
      <c r="C303" s="46"/>
      <c r="D303" s="78"/>
      <c r="E303" s="48"/>
      <c r="F303" s="78"/>
      <c r="G303" s="46"/>
      <c r="H303" s="46"/>
      <c r="I303" s="46"/>
      <c r="J303" s="46"/>
      <c r="K303" s="46"/>
      <c r="L303" s="46"/>
      <c r="M303" s="46"/>
      <c r="N303" s="46"/>
      <c r="O303" s="46"/>
      <c r="P303" s="46"/>
      <c r="Q303" s="46"/>
      <c r="R303" s="46"/>
      <c r="T303" s="51"/>
      <c r="V303" s="51"/>
      <c r="W303" s="50"/>
      <c r="X303" s="51"/>
      <c r="Y303" s="51"/>
      <c r="Z303" s="52"/>
      <c r="AA303" s="51"/>
      <c r="AB303" s="51"/>
      <c r="AC303" s="52"/>
    </row>
    <row r="304" spans="2:29" s="49" customFormat="1" x14ac:dyDescent="0.3">
      <c r="B304" s="46"/>
      <c r="C304" s="46"/>
      <c r="D304" s="78"/>
      <c r="E304" s="48"/>
      <c r="F304" s="78"/>
      <c r="G304" s="46"/>
      <c r="H304" s="46"/>
      <c r="I304" s="46"/>
      <c r="J304" s="46"/>
      <c r="K304" s="46"/>
      <c r="L304" s="46"/>
      <c r="M304" s="46"/>
      <c r="N304" s="46"/>
      <c r="O304" s="46"/>
      <c r="P304" s="46"/>
      <c r="Q304" s="46"/>
      <c r="R304" s="46"/>
      <c r="T304" s="51"/>
      <c r="V304" s="51"/>
      <c r="W304" s="50"/>
      <c r="X304" s="51"/>
      <c r="Y304" s="51"/>
      <c r="Z304" s="52"/>
      <c r="AA304" s="51"/>
      <c r="AB304" s="51"/>
      <c r="AC304" s="52"/>
    </row>
    <row r="305" spans="2:33" s="49" customFormat="1" x14ac:dyDescent="0.3">
      <c r="B305" s="46"/>
      <c r="C305" s="46"/>
      <c r="D305" s="78"/>
      <c r="E305" s="48"/>
      <c r="F305" s="78"/>
      <c r="G305" s="46"/>
      <c r="H305" s="46"/>
      <c r="I305" s="46"/>
      <c r="J305" s="46"/>
      <c r="K305" s="46"/>
      <c r="L305" s="46"/>
      <c r="M305" s="46"/>
      <c r="N305" s="46"/>
      <c r="O305" s="46"/>
      <c r="P305" s="46"/>
      <c r="Q305" s="46"/>
      <c r="R305" s="46"/>
      <c r="T305" s="51"/>
      <c r="V305" s="51"/>
      <c r="W305" s="50"/>
      <c r="X305" s="51"/>
      <c r="Y305" s="51"/>
      <c r="Z305" s="52"/>
      <c r="AA305" s="51"/>
      <c r="AB305" s="51"/>
      <c r="AC305" s="52"/>
    </row>
    <row r="306" spans="2:33" s="49" customFormat="1" x14ac:dyDescent="0.3">
      <c r="B306" s="46"/>
      <c r="C306" s="46"/>
      <c r="D306" s="78"/>
      <c r="E306" s="48"/>
      <c r="F306" s="78"/>
      <c r="G306" s="46"/>
      <c r="H306" s="46"/>
      <c r="I306" s="46"/>
      <c r="J306" s="46"/>
      <c r="K306" s="46"/>
      <c r="L306" s="46"/>
      <c r="M306" s="46"/>
      <c r="N306" s="46"/>
      <c r="O306" s="46"/>
      <c r="P306" s="46"/>
      <c r="Q306" s="46"/>
      <c r="R306" s="46"/>
      <c r="T306" s="51"/>
      <c r="V306" s="51"/>
      <c r="W306" s="50"/>
      <c r="X306" s="51"/>
      <c r="Y306" s="51"/>
      <c r="Z306" s="52"/>
      <c r="AA306" s="51"/>
      <c r="AB306" s="51"/>
      <c r="AC306" s="52"/>
    </row>
    <row r="307" spans="2:33" s="49" customFormat="1" x14ac:dyDescent="0.3">
      <c r="B307" s="46"/>
      <c r="C307" s="46"/>
      <c r="D307" s="78"/>
      <c r="E307" s="48"/>
      <c r="F307" s="78"/>
      <c r="G307" s="46"/>
      <c r="H307" s="46"/>
      <c r="I307" s="46"/>
      <c r="J307" s="46"/>
      <c r="K307" s="46"/>
      <c r="L307" s="46"/>
      <c r="M307" s="46"/>
      <c r="N307" s="46"/>
      <c r="O307" s="46"/>
      <c r="P307" s="46"/>
      <c r="Q307" s="46"/>
      <c r="R307" s="46"/>
      <c r="T307" s="51"/>
      <c r="V307" s="51"/>
      <c r="W307" s="50"/>
      <c r="X307" s="51"/>
      <c r="Y307" s="51"/>
      <c r="Z307" s="52"/>
      <c r="AA307" s="51"/>
      <c r="AB307" s="51"/>
      <c r="AC307" s="52"/>
    </row>
    <row r="308" spans="2:33" s="49" customFormat="1" x14ac:dyDescent="0.3">
      <c r="B308" s="46"/>
      <c r="C308" s="46"/>
      <c r="D308" s="78"/>
      <c r="E308" s="48"/>
      <c r="F308" s="78"/>
      <c r="G308" s="46"/>
      <c r="H308" s="46"/>
      <c r="I308" s="46"/>
      <c r="J308" s="46"/>
      <c r="K308" s="46"/>
      <c r="L308" s="46"/>
      <c r="M308" s="46"/>
      <c r="N308" s="46"/>
      <c r="O308" s="46"/>
      <c r="P308" s="46"/>
      <c r="Q308" s="46"/>
      <c r="R308" s="46"/>
      <c r="T308" s="51"/>
      <c r="V308" s="51"/>
      <c r="W308" s="50"/>
      <c r="X308" s="51"/>
      <c r="Y308" s="51"/>
      <c r="Z308" s="52"/>
      <c r="AA308" s="51"/>
      <c r="AB308" s="51"/>
      <c r="AC308" s="52"/>
    </row>
    <row r="309" spans="2:33" s="49" customFormat="1" x14ac:dyDescent="0.3">
      <c r="B309" s="46"/>
      <c r="C309" s="46"/>
      <c r="D309" s="78"/>
      <c r="E309" s="48"/>
      <c r="F309" s="78"/>
      <c r="G309" s="46"/>
      <c r="H309" s="46"/>
      <c r="I309" s="46"/>
      <c r="J309" s="46"/>
      <c r="K309" s="46"/>
      <c r="L309" s="46"/>
      <c r="M309" s="46"/>
      <c r="N309" s="46"/>
      <c r="O309" s="46"/>
      <c r="P309" s="46"/>
      <c r="Q309" s="46"/>
      <c r="R309" s="46"/>
      <c r="T309" s="51"/>
      <c r="V309" s="51"/>
      <c r="W309" s="50"/>
      <c r="X309" s="51"/>
      <c r="Y309" s="51"/>
      <c r="Z309" s="52"/>
      <c r="AA309" s="51"/>
      <c r="AB309" s="51"/>
      <c r="AC309" s="52"/>
    </row>
    <row r="310" spans="2:33" s="49" customFormat="1" x14ac:dyDescent="0.3">
      <c r="B310" s="46"/>
      <c r="C310" s="46"/>
      <c r="D310" s="78"/>
      <c r="E310" s="48"/>
      <c r="F310" s="78"/>
      <c r="G310" s="46"/>
      <c r="H310" s="46"/>
      <c r="I310" s="46"/>
      <c r="J310" s="46"/>
      <c r="K310" s="46"/>
      <c r="L310" s="46"/>
      <c r="M310" s="46"/>
      <c r="N310" s="46"/>
      <c r="O310" s="46"/>
      <c r="P310" s="46"/>
      <c r="Q310" s="46"/>
      <c r="R310" s="46"/>
      <c r="T310" s="51"/>
      <c r="V310" s="51"/>
      <c r="W310" s="50"/>
      <c r="X310" s="51"/>
      <c r="Y310" s="51"/>
      <c r="Z310" s="52"/>
      <c r="AA310" s="51"/>
      <c r="AB310" s="51"/>
      <c r="AC310" s="52"/>
    </row>
    <row r="311" spans="2:33" s="49" customFormat="1" x14ac:dyDescent="0.3">
      <c r="B311" s="46"/>
      <c r="C311" s="46"/>
      <c r="D311" s="78"/>
      <c r="E311" s="48"/>
      <c r="F311" s="78"/>
      <c r="G311" s="46"/>
      <c r="H311" s="46"/>
      <c r="I311" s="46"/>
      <c r="J311" s="46"/>
      <c r="K311" s="46"/>
      <c r="L311" s="46"/>
      <c r="M311" s="46"/>
      <c r="N311" s="46"/>
      <c r="O311" s="46"/>
      <c r="P311" s="46"/>
      <c r="Q311" s="46"/>
      <c r="R311" s="46"/>
      <c r="T311" s="51"/>
      <c r="V311" s="51"/>
      <c r="W311" s="50"/>
      <c r="X311" s="51"/>
      <c r="Y311" s="51"/>
      <c r="Z311" s="52"/>
      <c r="AA311" s="51"/>
      <c r="AB311" s="51"/>
      <c r="AC311" s="52"/>
    </row>
    <row r="312" spans="2:33" s="49" customFormat="1" x14ac:dyDescent="0.3">
      <c r="B312" s="46"/>
      <c r="C312" s="46"/>
      <c r="D312" s="78"/>
      <c r="E312" s="48"/>
      <c r="F312" s="78"/>
      <c r="G312" s="46"/>
      <c r="H312" s="46"/>
      <c r="I312" s="46"/>
      <c r="J312" s="46"/>
      <c r="K312" s="46"/>
      <c r="L312" s="46"/>
      <c r="M312" s="46"/>
      <c r="N312" s="46"/>
      <c r="O312" s="46"/>
      <c r="P312" s="46"/>
      <c r="Q312" s="46"/>
      <c r="R312" s="46"/>
      <c r="T312" s="51"/>
      <c r="V312" s="51"/>
      <c r="W312" s="50"/>
      <c r="X312" s="51"/>
      <c r="Y312" s="51"/>
      <c r="Z312" s="52"/>
      <c r="AA312" s="51"/>
      <c r="AB312" s="51"/>
      <c r="AC312" s="52"/>
    </row>
    <row r="313" spans="2:33" s="49" customFormat="1" x14ac:dyDescent="0.3">
      <c r="B313" s="46"/>
      <c r="C313" s="46"/>
      <c r="D313" s="78"/>
      <c r="E313" s="48"/>
      <c r="F313" s="78"/>
      <c r="G313" s="46"/>
      <c r="H313" s="46"/>
      <c r="I313" s="46"/>
      <c r="J313" s="46"/>
      <c r="K313" s="46"/>
      <c r="L313" s="46"/>
      <c r="M313" s="46"/>
      <c r="N313" s="46"/>
      <c r="O313" s="46"/>
      <c r="P313" s="46"/>
      <c r="Q313" s="46"/>
      <c r="R313" s="46"/>
      <c r="T313" s="51"/>
      <c r="V313" s="51"/>
      <c r="W313" s="50"/>
      <c r="X313" s="51"/>
      <c r="Y313" s="51"/>
      <c r="Z313" s="52"/>
      <c r="AA313" s="51"/>
      <c r="AB313" s="51"/>
      <c r="AC313" s="52"/>
    </row>
    <row r="314" spans="2:33" s="49" customFormat="1" x14ac:dyDescent="0.3">
      <c r="B314" s="46"/>
      <c r="C314" s="46"/>
      <c r="D314" s="78"/>
      <c r="E314" s="48"/>
      <c r="F314" s="78"/>
      <c r="G314" s="46"/>
      <c r="H314" s="46"/>
      <c r="I314" s="46"/>
      <c r="J314" s="46"/>
      <c r="K314" s="46"/>
      <c r="L314" s="46"/>
      <c r="M314" s="46"/>
      <c r="N314" s="46"/>
      <c r="O314" s="46"/>
      <c r="P314" s="46"/>
      <c r="Q314" s="46"/>
      <c r="R314" s="46"/>
      <c r="T314" s="51"/>
      <c r="V314" s="51"/>
      <c r="W314" s="50"/>
      <c r="X314" s="51"/>
      <c r="Y314" s="51"/>
      <c r="Z314" s="52"/>
      <c r="AA314" s="51"/>
      <c r="AB314" s="51"/>
      <c r="AC314" s="52"/>
    </row>
    <row r="315" spans="2:33" s="49" customFormat="1" x14ac:dyDescent="0.3">
      <c r="B315" s="46"/>
      <c r="C315" s="46"/>
      <c r="D315" s="78"/>
      <c r="E315" s="48"/>
      <c r="F315" s="78"/>
      <c r="G315" s="46"/>
      <c r="H315" s="46"/>
      <c r="I315" s="46"/>
      <c r="J315" s="46"/>
      <c r="K315" s="46"/>
      <c r="L315" s="46"/>
      <c r="M315" s="46"/>
      <c r="N315" s="46"/>
      <c r="O315" s="46"/>
      <c r="P315" s="46"/>
      <c r="Q315" s="46"/>
      <c r="R315" s="46"/>
      <c r="T315" s="51"/>
      <c r="V315" s="51"/>
      <c r="W315" s="50"/>
      <c r="X315" s="51"/>
      <c r="Y315" s="51"/>
      <c r="Z315" s="52"/>
      <c r="AA315" s="51"/>
      <c r="AB315" s="51"/>
      <c r="AC315" s="52"/>
    </row>
    <row r="316" spans="2:33" s="49" customFormat="1" x14ac:dyDescent="0.3">
      <c r="B316" s="46"/>
      <c r="C316" s="46"/>
      <c r="D316" s="78"/>
      <c r="E316" s="48"/>
      <c r="F316" s="78"/>
      <c r="G316" s="46"/>
      <c r="H316" s="46"/>
      <c r="I316" s="46"/>
      <c r="J316" s="46"/>
      <c r="K316" s="46"/>
      <c r="L316" s="46"/>
      <c r="M316" s="46"/>
      <c r="N316" s="46"/>
      <c r="O316" s="46"/>
      <c r="P316" s="46"/>
      <c r="Q316" s="46"/>
      <c r="R316" s="46"/>
      <c r="T316" s="51"/>
      <c r="V316" s="51"/>
      <c r="W316" s="50"/>
      <c r="X316" s="51"/>
      <c r="Y316" s="51"/>
      <c r="Z316" s="52"/>
      <c r="AA316" s="51"/>
      <c r="AB316" s="51"/>
      <c r="AC316" s="52"/>
    </row>
    <row r="317" spans="2:33" s="49" customFormat="1" x14ac:dyDescent="0.3">
      <c r="B317" s="46"/>
      <c r="C317" s="46"/>
      <c r="D317" s="78"/>
      <c r="E317" s="48"/>
      <c r="F317" s="78"/>
      <c r="G317" s="46"/>
      <c r="H317" s="46"/>
      <c r="I317" s="46"/>
      <c r="J317" s="46"/>
      <c r="K317" s="46"/>
      <c r="L317" s="46"/>
      <c r="M317" s="46"/>
      <c r="N317" s="46"/>
      <c r="O317" s="46"/>
      <c r="P317" s="46"/>
      <c r="Q317" s="46"/>
      <c r="R317" s="46"/>
      <c r="T317" s="51"/>
      <c r="V317" s="51"/>
      <c r="W317" s="50"/>
      <c r="X317" s="51"/>
      <c r="Y317" s="51"/>
      <c r="Z317" s="52"/>
      <c r="AA317" s="51"/>
      <c r="AB317" s="51"/>
      <c r="AC317" s="52"/>
    </row>
    <row r="318" spans="2:33" x14ac:dyDescent="0.3">
      <c r="V318" s="56"/>
      <c r="W318" s="55"/>
      <c r="X318" s="56"/>
      <c r="Y318" s="56"/>
      <c r="Z318" s="57"/>
      <c r="AA318" s="56"/>
      <c r="AB318" s="56"/>
      <c r="AC318" s="57"/>
      <c r="AD318" s="54"/>
      <c r="AE318" s="54"/>
      <c r="AG318" s="54"/>
    </row>
  </sheetData>
  <autoFilter ref="A2:AG130" xr:uid="{00000000-0009-0000-0000-000005000000}"/>
  <mergeCells count="1">
    <mergeCell ref="AH1:AJ1"/>
  </mergeCells>
  <conditionalFormatting sqref="I40:I130 I3:I38">
    <cfRule type="cellIs" dxfId="11" priority="5" operator="equal">
      <formula>"OK"</formula>
    </cfRule>
    <cfRule type="cellIs" dxfId="10" priority="6" operator="equal">
      <formula>"DIFIERE"</formula>
    </cfRule>
  </conditionalFormatting>
  <conditionalFormatting sqref="C40:C130 C3:C38">
    <cfRule type="cellIs" dxfId="9" priority="4" operator="equal">
      <formula>"COD. REPETIDO"</formula>
    </cfRule>
  </conditionalFormatting>
  <conditionalFormatting sqref="I39">
    <cfRule type="cellIs" dxfId="8" priority="2" operator="equal">
      <formula>"OK"</formula>
    </cfRule>
    <cfRule type="cellIs" dxfId="7" priority="3" operator="equal">
      <formula>"DIFIERE"</formula>
    </cfRule>
  </conditionalFormatting>
  <conditionalFormatting sqref="C39">
    <cfRule type="cellIs" dxfId="6" priority="1" operator="equal">
      <formula>"COD. REPETIDO"</formula>
    </cfRule>
  </conditionalFormatting>
  <pageMargins left="0.7" right="0.7" top="0.75" bottom="0.75" header="0.3" footer="0.3"/>
  <pageSetup paperSize="142"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sheetPr>
  <dimension ref="A1:BL229"/>
  <sheetViews>
    <sheetView tabSelected="1" zoomScaleNormal="100" workbookViewId="0">
      <selection activeCell="AL5" sqref="AL5"/>
    </sheetView>
  </sheetViews>
  <sheetFormatPr baseColWidth="10" defaultRowHeight="16.5" x14ac:dyDescent="0.3"/>
  <cols>
    <col min="1" max="1" width="15.28515625" style="22" customWidth="1"/>
    <col min="2" max="2" width="12.140625" style="3" hidden="1" customWidth="1"/>
    <col min="3" max="3" width="0" style="3" hidden="1" customWidth="1"/>
    <col min="4" max="4" width="44.85546875" style="130" customWidth="1"/>
    <col min="5" max="5" width="21.28515625" style="5" customWidth="1"/>
    <col min="6" max="6" width="27.5703125" style="130" hidden="1" customWidth="1"/>
    <col min="7" max="7" width="11.42578125" style="3" hidden="1" customWidth="1"/>
    <col min="8" max="8" width="12.140625" style="3" hidden="1" customWidth="1"/>
    <col min="9" max="9" width="13.5703125" style="3" hidden="1" customWidth="1"/>
    <col min="10" max="10" width="11.42578125" style="3" hidden="1" customWidth="1"/>
    <col min="11" max="13" width="9.28515625" style="3" hidden="1" customWidth="1"/>
    <col min="14" max="14" width="9.7109375" style="3" hidden="1" customWidth="1"/>
    <col min="15" max="15" width="9.28515625" style="3" hidden="1" customWidth="1"/>
    <col min="16" max="16" width="9.7109375" style="3" hidden="1" customWidth="1"/>
    <col min="17" max="17" width="9.28515625" style="3" hidden="1" customWidth="1"/>
    <col min="18" max="18" width="11.28515625" style="3" hidden="1" customWidth="1"/>
    <col min="19" max="21" width="26.85546875" style="9" hidden="1" customWidth="1"/>
    <col min="22" max="22" width="16.5703125" style="30" hidden="1" customWidth="1"/>
    <col min="23" max="23" width="17.42578125" style="22" hidden="1" customWidth="1"/>
    <col min="24" max="24" width="15.85546875" style="30" hidden="1" customWidth="1"/>
    <col min="25" max="25" width="16.5703125" style="29" hidden="1" customWidth="1"/>
    <col min="26" max="26" width="21.85546875" style="29" hidden="1" customWidth="1"/>
    <col min="27" max="27" width="24.28515625" style="22" hidden="1" customWidth="1"/>
    <col min="28" max="28" width="27.85546875" style="58" hidden="1" customWidth="1"/>
    <col min="29" max="29" width="0" style="50" hidden="1" customWidth="1"/>
    <col min="30" max="30" width="0" style="9" hidden="1" customWidth="1"/>
    <col min="31" max="31" width="20.7109375" style="22" hidden="1" customWidth="1"/>
    <col min="32" max="16384" width="11.42578125" style="10"/>
  </cols>
  <sheetData>
    <row r="1" spans="1:34" ht="33" x14ac:dyDescent="0.3">
      <c r="T1" s="6" t="s">
        <v>586</v>
      </c>
      <c r="U1" s="7" t="s">
        <v>587</v>
      </c>
      <c r="V1" s="6" t="s">
        <v>2</v>
      </c>
      <c r="W1" s="6" t="s">
        <v>125</v>
      </c>
      <c r="X1" s="6" t="s">
        <v>4</v>
      </c>
      <c r="Y1" s="8" t="s">
        <v>5</v>
      </c>
      <c r="Z1" s="8" t="s">
        <v>6</v>
      </c>
      <c r="AA1" s="7" t="s">
        <v>7</v>
      </c>
      <c r="AB1" s="7" t="s">
        <v>8</v>
      </c>
      <c r="AC1" s="149"/>
      <c r="AD1" s="150"/>
      <c r="AE1" s="7" t="s">
        <v>9</v>
      </c>
      <c r="AF1" s="175" t="s">
        <v>9</v>
      </c>
      <c r="AG1" s="175"/>
      <c r="AH1" s="175"/>
    </row>
    <row r="2" spans="1:34" ht="85.5" customHeight="1" x14ac:dyDescent="0.3">
      <c r="A2" s="17" t="s">
        <v>10</v>
      </c>
      <c r="B2" s="17" t="s">
        <v>11</v>
      </c>
      <c r="C2" s="17" t="s">
        <v>12</v>
      </c>
      <c r="D2" s="17" t="s">
        <v>13</v>
      </c>
      <c r="E2" s="17" t="s">
        <v>14</v>
      </c>
      <c r="F2" s="7" t="s">
        <v>15</v>
      </c>
      <c r="G2" s="60" t="s">
        <v>126</v>
      </c>
      <c r="H2" s="60" t="s">
        <v>127</v>
      </c>
      <c r="I2" s="60" t="s">
        <v>128</v>
      </c>
      <c r="J2" s="88" t="s">
        <v>129</v>
      </c>
      <c r="K2" s="66" t="s">
        <v>130</v>
      </c>
      <c r="L2" s="66" t="s">
        <v>131</v>
      </c>
      <c r="M2" s="66" t="s">
        <v>132</v>
      </c>
      <c r="N2" s="66" t="s">
        <v>133</v>
      </c>
      <c r="O2" s="66" t="s">
        <v>134</v>
      </c>
      <c r="P2" s="66" t="s">
        <v>135</v>
      </c>
      <c r="Q2" s="66" t="s">
        <v>136</v>
      </c>
      <c r="R2" s="66" t="s">
        <v>137</v>
      </c>
      <c r="S2" s="66" t="s">
        <v>138</v>
      </c>
      <c r="T2" s="67" t="s">
        <v>16</v>
      </c>
      <c r="U2" s="67" t="s">
        <v>16</v>
      </c>
      <c r="V2" s="68" t="s">
        <v>16</v>
      </c>
      <c r="W2" s="68" t="s">
        <v>16</v>
      </c>
      <c r="X2" s="68" t="s">
        <v>16</v>
      </c>
      <c r="Y2" s="20" t="s">
        <v>16</v>
      </c>
      <c r="Z2" s="8" t="s">
        <v>16</v>
      </c>
      <c r="AA2" s="7" t="s">
        <v>16</v>
      </c>
      <c r="AB2" s="7" t="s">
        <v>16</v>
      </c>
      <c r="AC2" s="149"/>
      <c r="AD2" s="151"/>
      <c r="AE2" s="7" t="s">
        <v>172</v>
      </c>
      <c r="AF2" s="111" t="s">
        <v>16</v>
      </c>
      <c r="AG2" s="111" t="s">
        <v>173</v>
      </c>
      <c r="AH2" s="111" t="s">
        <v>19</v>
      </c>
    </row>
    <row r="3" spans="1:34" ht="33" x14ac:dyDescent="0.3">
      <c r="A3" s="22">
        <v>1</v>
      </c>
      <c r="B3" s="23">
        <v>1042003288</v>
      </c>
      <c r="C3" s="24" t="s">
        <v>20</v>
      </c>
      <c r="D3" s="117" t="s">
        <v>588</v>
      </c>
      <c r="E3" s="26" t="s">
        <v>22</v>
      </c>
      <c r="F3" s="114" t="s">
        <v>589</v>
      </c>
      <c r="G3" s="26" t="e">
        <v>#N/A</v>
      </c>
      <c r="H3" s="26" t="e">
        <v>#N/A</v>
      </c>
      <c r="I3" s="26" t="s">
        <v>20</v>
      </c>
      <c r="J3" s="70">
        <v>11624.07</v>
      </c>
      <c r="K3" s="71">
        <v>0</v>
      </c>
      <c r="L3" s="71">
        <v>0</v>
      </c>
      <c r="M3" s="71">
        <v>0</v>
      </c>
      <c r="N3" s="71">
        <v>0</v>
      </c>
      <c r="O3" s="71">
        <v>0</v>
      </c>
      <c r="P3" s="71">
        <v>0</v>
      </c>
      <c r="Q3" s="71">
        <v>0</v>
      </c>
      <c r="R3" s="71">
        <v>2</v>
      </c>
      <c r="S3" s="134"/>
      <c r="T3" s="134"/>
      <c r="U3" s="134"/>
      <c r="V3" s="30" t="s">
        <v>25</v>
      </c>
      <c r="W3" s="22" t="s">
        <v>25</v>
      </c>
      <c r="X3" s="30" t="s">
        <v>25</v>
      </c>
      <c r="Y3" s="29" t="s">
        <v>25</v>
      </c>
      <c r="Z3" s="29" t="s">
        <v>24</v>
      </c>
      <c r="AA3" s="29">
        <v>9785</v>
      </c>
      <c r="AB3" s="58" t="s">
        <v>176</v>
      </c>
      <c r="AE3" s="30">
        <f t="shared" ref="AE3:AE66" si="0">MIN(V3:AB3)</f>
        <v>9785</v>
      </c>
      <c r="AF3" s="56">
        <v>9785</v>
      </c>
      <c r="AG3" s="30">
        <v>1859.15</v>
      </c>
      <c r="AH3" s="30">
        <v>11644.15</v>
      </c>
    </row>
    <row r="4" spans="1:34" ht="33" x14ac:dyDescent="0.3">
      <c r="A4" s="22">
        <v>2</v>
      </c>
      <c r="B4" s="23">
        <v>1042003333</v>
      </c>
      <c r="C4" s="24" t="s">
        <v>20</v>
      </c>
      <c r="D4" s="117" t="s">
        <v>590</v>
      </c>
      <c r="E4" s="26" t="s">
        <v>22</v>
      </c>
      <c r="F4" s="114" t="s">
        <v>590</v>
      </c>
      <c r="G4" s="26" t="e">
        <v>#N/A</v>
      </c>
      <c r="H4" s="26" t="e">
        <v>#N/A</v>
      </c>
      <c r="I4" s="26" t="s">
        <v>20</v>
      </c>
      <c r="J4" s="70">
        <v>1</v>
      </c>
      <c r="K4" s="71">
        <v>0</v>
      </c>
      <c r="L4" s="71">
        <v>0</v>
      </c>
      <c r="M4" s="71">
        <v>0</v>
      </c>
      <c r="N4" s="71">
        <v>0</v>
      </c>
      <c r="O4" s="71">
        <v>0</v>
      </c>
      <c r="P4" s="71">
        <v>0</v>
      </c>
      <c r="Q4" s="71">
        <v>0</v>
      </c>
      <c r="R4" s="71">
        <v>0</v>
      </c>
      <c r="S4" s="134"/>
      <c r="T4" s="134"/>
      <c r="U4" s="134"/>
      <c r="V4" s="30">
        <v>458</v>
      </c>
      <c r="W4" s="22" t="s">
        <v>25</v>
      </c>
      <c r="X4" s="30" t="s">
        <v>25</v>
      </c>
      <c r="Y4" s="29" t="s">
        <v>25</v>
      </c>
      <c r="Z4" s="29" t="s">
        <v>24</v>
      </c>
      <c r="AA4" s="29" t="s">
        <v>37</v>
      </c>
      <c r="AB4" s="58" t="s">
        <v>176</v>
      </c>
      <c r="AE4" s="30">
        <f t="shared" si="0"/>
        <v>458</v>
      </c>
      <c r="AF4" s="56">
        <v>458</v>
      </c>
      <c r="AG4" s="30">
        <v>87.02</v>
      </c>
      <c r="AH4" s="30">
        <v>545.02</v>
      </c>
    </row>
    <row r="5" spans="1:34" ht="33" x14ac:dyDescent="0.3">
      <c r="A5" s="22">
        <v>3</v>
      </c>
      <c r="B5" s="23">
        <v>1043213108</v>
      </c>
      <c r="C5" s="24"/>
      <c r="D5" s="117" t="s">
        <v>591</v>
      </c>
      <c r="E5" s="26" t="s">
        <v>22</v>
      </c>
      <c r="F5" s="117" t="s">
        <v>591</v>
      </c>
      <c r="G5" s="26"/>
      <c r="H5" s="26"/>
      <c r="I5" s="26"/>
      <c r="J5" s="70"/>
      <c r="K5" s="71"/>
      <c r="L5" s="71"/>
      <c r="M5" s="71"/>
      <c r="N5" s="71"/>
      <c r="O5" s="71"/>
      <c r="P5" s="71"/>
      <c r="Q5" s="71"/>
      <c r="R5" s="71"/>
      <c r="S5" s="134"/>
      <c r="T5" s="134"/>
      <c r="U5" s="134"/>
      <c r="V5" s="30" t="s">
        <v>25</v>
      </c>
      <c r="W5" s="22" t="s">
        <v>25</v>
      </c>
      <c r="X5" s="30" t="s">
        <v>25</v>
      </c>
      <c r="Y5" s="29" t="s">
        <v>25</v>
      </c>
      <c r="Z5" s="29" t="s">
        <v>24</v>
      </c>
      <c r="AA5" s="29" t="s">
        <v>37</v>
      </c>
      <c r="AB5" s="58">
        <v>3165</v>
      </c>
      <c r="AE5" s="30">
        <f t="shared" si="0"/>
        <v>3165</v>
      </c>
      <c r="AF5" s="56">
        <v>3165</v>
      </c>
      <c r="AG5" s="30">
        <v>601.35</v>
      </c>
      <c r="AH5" s="30">
        <v>3766.35</v>
      </c>
    </row>
    <row r="6" spans="1:34" ht="33" x14ac:dyDescent="0.3">
      <c r="A6" s="22">
        <v>4</v>
      </c>
      <c r="B6" s="31">
        <v>1043293488</v>
      </c>
      <c r="C6" s="24"/>
      <c r="D6" s="117" t="s">
        <v>592</v>
      </c>
      <c r="E6" s="26" t="s">
        <v>22</v>
      </c>
      <c r="F6" s="117" t="s">
        <v>592</v>
      </c>
      <c r="G6" s="26"/>
      <c r="H6" s="26"/>
      <c r="I6" s="26"/>
      <c r="J6" s="70"/>
      <c r="K6" s="71"/>
      <c r="L6" s="71"/>
      <c r="M6" s="71"/>
      <c r="N6" s="71"/>
      <c r="O6" s="71"/>
      <c r="P6" s="71"/>
      <c r="Q6" s="71"/>
      <c r="R6" s="71"/>
      <c r="S6" s="134"/>
      <c r="T6" s="134"/>
      <c r="U6" s="134"/>
      <c r="V6" s="30">
        <v>2679</v>
      </c>
      <c r="W6" s="22" t="s">
        <v>25</v>
      </c>
      <c r="X6" s="30" t="s">
        <v>25</v>
      </c>
      <c r="Y6" s="29" t="s">
        <v>25</v>
      </c>
      <c r="Z6" s="29" t="s">
        <v>24</v>
      </c>
      <c r="AA6" s="29" t="s">
        <v>37</v>
      </c>
      <c r="AB6" s="58" t="s">
        <v>176</v>
      </c>
      <c r="AE6" s="30">
        <f t="shared" si="0"/>
        <v>2679</v>
      </c>
      <c r="AF6" s="56">
        <v>2679</v>
      </c>
      <c r="AG6" s="30">
        <v>509.01</v>
      </c>
      <c r="AH6" s="30">
        <v>3188.01</v>
      </c>
    </row>
    <row r="7" spans="1:34" ht="33" x14ac:dyDescent="0.3">
      <c r="A7" s="22">
        <v>5</v>
      </c>
      <c r="B7" s="31">
        <v>1043213491</v>
      </c>
      <c r="C7" s="24"/>
      <c r="D7" s="117" t="s">
        <v>593</v>
      </c>
      <c r="E7" s="26" t="s">
        <v>22</v>
      </c>
      <c r="F7" s="117" t="s">
        <v>593</v>
      </c>
      <c r="G7" s="26"/>
      <c r="H7" s="26"/>
      <c r="I7" s="26"/>
      <c r="J7" s="70"/>
      <c r="K7" s="71"/>
      <c r="L7" s="71"/>
      <c r="M7" s="71"/>
      <c r="N7" s="71"/>
      <c r="O7" s="71"/>
      <c r="P7" s="71"/>
      <c r="Q7" s="71"/>
      <c r="R7" s="71"/>
      <c r="S7" s="134"/>
      <c r="T7" s="134"/>
      <c r="U7" s="134"/>
      <c r="V7" s="30">
        <v>6164</v>
      </c>
      <c r="W7" s="22" t="s">
        <v>25</v>
      </c>
      <c r="X7" s="30" t="s">
        <v>25</v>
      </c>
      <c r="Y7" s="29" t="s">
        <v>25</v>
      </c>
      <c r="Z7" s="29" t="s">
        <v>24</v>
      </c>
      <c r="AA7" s="29" t="s">
        <v>37</v>
      </c>
      <c r="AB7" s="58" t="s">
        <v>176</v>
      </c>
      <c r="AE7" s="30">
        <f t="shared" si="0"/>
        <v>6164</v>
      </c>
      <c r="AF7" s="56">
        <v>6164</v>
      </c>
      <c r="AG7" s="30">
        <v>1171.1600000000001</v>
      </c>
      <c r="AH7" s="30">
        <v>7335.16</v>
      </c>
    </row>
    <row r="8" spans="1:34" x14ac:dyDescent="0.3">
      <c r="A8" s="22">
        <v>6</v>
      </c>
      <c r="B8" s="31">
        <v>1043293488</v>
      </c>
      <c r="C8" s="24"/>
      <c r="D8" s="152" t="s">
        <v>594</v>
      </c>
      <c r="E8" s="26" t="s">
        <v>22</v>
      </c>
      <c r="F8" s="152" t="s">
        <v>594</v>
      </c>
      <c r="G8" s="24"/>
      <c r="H8" s="24"/>
      <c r="I8" s="24"/>
      <c r="J8" s="70"/>
      <c r="K8" s="71"/>
      <c r="L8" s="71"/>
      <c r="M8" s="71"/>
      <c r="N8" s="71"/>
      <c r="O8" s="71"/>
      <c r="P8" s="71"/>
      <c r="Q8" s="71"/>
      <c r="R8" s="71"/>
      <c r="S8" s="153"/>
      <c r="T8" s="153"/>
      <c r="U8" s="153"/>
      <c r="V8" s="30">
        <v>5815</v>
      </c>
      <c r="W8" s="22" t="s">
        <v>25</v>
      </c>
      <c r="X8" s="30" t="s">
        <v>25</v>
      </c>
      <c r="Y8" s="29" t="s">
        <v>25</v>
      </c>
      <c r="Z8" s="29" t="s">
        <v>24</v>
      </c>
      <c r="AA8" s="29" t="s">
        <v>37</v>
      </c>
      <c r="AB8" s="58" t="s">
        <v>176</v>
      </c>
      <c r="AE8" s="30">
        <f t="shared" si="0"/>
        <v>5815</v>
      </c>
      <c r="AF8" s="56">
        <v>5815</v>
      </c>
      <c r="AG8" s="30">
        <v>1104.8499999999999</v>
      </c>
      <c r="AH8" s="30">
        <v>6919.85</v>
      </c>
    </row>
    <row r="9" spans="1:34" x14ac:dyDescent="0.3">
      <c r="A9" s="22">
        <v>7</v>
      </c>
      <c r="B9" s="31">
        <v>1043213489</v>
      </c>
      <c r="C9" s="24"/>
      <c r="D9" s="152" t="s">
        <v>595</v>
      </c>
      <c r="E9" s="26" t="s">
        <v>22</v>
      </c>
      <c r="F9" s="152" t="s">
        <v>595</v>
      </c>
      <c r="G9" s="24"/>
      <c r="H9" s="24"/>
      <c r="I9" s="24"/>
      <c r="J9" s="70"/>
      <c r="K9" s="71"/>
      <c r="L9" s="71"/>
      <c r="M9" s="71"/>
      <c r="N9" s="71"/>
      <c r="O9" s="71"/>
      <c r="P9" s="71"/>
      <c r="Q9" s="71"/>
      <c r="R9" s="71"/>
      <c r="S9" s="153"/>
      <c r="T9" s="153"/>
      <c r="U9" s="153"/>
      <c r="V9" s="30">
        <v>10152</v>
      </c>
      <c r="W9" s="22" t="s">
        <v>25</v>
      </c>
      <c r="X9" s="30" t="s">
        <v>25</v>
      </c>
      <c r="Y9" s="29" t="s">
        <v>25</v>
      </c>
      <c r="Z9" s="29" t="s">
        <v>24</v>
      </c>
      <c r="AA9" s="29" t="s">
        <v>37</v>
      </c>
      <c r="AB9" s="58" t="s">
        <v>176</v>
      </c>
      <c r="AE9" s="30">
        <f t="shared" si="0"/>
        <v>10152</v>
      </c>
      <c r="AF9" s="56">
        <v>10152</v>
      </c>
      <c r="AG9" s="30">
        <v>1928.88</v>
      </c>
      <c r="AH9" s="30">
        <v>12080.880000000001</v>
      </c>
    </row>
    <row r="10" spans="1:34" x14ac:dyDescent="0.3">
      <c r="A10" s="22">
        <v>8</v>
      </c>
      <c r="B10" s="31">
        <v>1043213492</v>
      </c>
      <c r="C10" s="24"/>
      <c r="D10" s="152" t="s">
        <v>596</v>
      </c>
      <c r="E10" s="26" t="s">
        <v>22</v>
      </c>
      <c r="F10" s="152" t="s">
        <v>596</v>
      </c>
      <c r="G10" s="24"/>
      <c r="H10" s="24"/>
      <c r="I10" s="24"/>
      <c r="J10" s="70"/>
      <c r="K10" s="71"/>
      <c r="L10" s="71"/>
      <c r="M10" s="71"/>
      <c r="N10" s="71"/>
      <c r="O10" s="71"/>
      <c r="P10" s="71"/>
      <c r="Q10" s="71"/>
      <c r="R10" s="71"/>
      <c r="S10" s="153"/>
      <c r="T10" s="153"/>
      <c r="U10" s="153"/>
      <c r="V10" s="30">
        <v>10152</v>
      </c>
      <c r="W10" s="22" t="s">
        <v>25</v>
      </c>
      <c r="X10" s="30" t="s">
        <v>25</v>
      </c>
      <c r="Y10" s="29" t="s">
        <v>25</v>
      </c>
      <c r="Z10" s="29" t="s">
        <v>24</v>
      </c>
      <c r="AA10" s="29" t="s">
        <v>37</v>
      </c>
      <c r="AB10" s="58" t="s">
        <v>176</v>
      </c>
      <c r="AE10" s="30">
        <f t="shared" si="0"/>
        <v>10152</v>
      </c>
      <c r="AF10" s="56">
        <v>10152</v>
      </c>
      <c r="AG10" s="30">
        <v>1928.88</v>
      </c>
      <c r="AH10" s="30">
        <v>12080.880000000001</v>
      </c>
    </row>
    <row r="11" spans="1:34" ht="33" x14ac:dyDescent="0.3">
      <c r="A11" s="22">
        <v>9</v>
      </c>
      <c r="B11" s="23">
        <v>1042003251</v>
      </c>
      <c r="C11" s="24" t="s">
        <v>20</v>
      </c>
      <c r="D11" s="117" t="s">
        <v>597</v>
      </c>
      <c r="E11" s="26" t="s">
        <v>22</v>
      </c>
      <c r="F11" s="114" t="s">
        <v>598</v>
      </c>
      <c r="G11" s="26" t="e">
        <v>#N/A</v>
      </c>
      <c r="H11" s="26" t="e">
        <v>#N/A</v>
      </c>
      <c r="I11" s="26" t="s">
        <v>20</v>
      </c>
      <c r="J11" s="70">
        <v>1</v>
      </c>
      <c r="K11" s="71">
        <v>0</v>
      </c>
      <c r="L11" s="71">
        <v>0</v>
      </c>
      <c r="M11" s="71">
        <v>0</v>
      </c>
      <c r="N11" s="71">
        <v>0</v>
      </c>
      <c r="O11" s="71">
        <v>0</v>
      </c>
      <c r="P11" s="71">
        <v>0</v>
      </c>
      <c r="Q11" s="71">
        <v>0</v>
      </c>
      <c r="R11" s="71">
        <v>0</v>
      </c>
      <c r="S11" s="134"/>
      <c r="T11" s="134"/>
      <c r="U11" s="134"/>
      <c r="V11" s="30" t="s">
        <v>25</v>
      </c>
      <c r="W11" s="22" t="s">
        <v>25</v>
      </c>
      <c r="X11" s="30" t="s">
        <v>25</v>
      </c>
      <c r="Y11" s="29" t="s">
        <v>25</v>
      </c>
      <c r="Z11" s="29" t="s">
        <v>24</v>
      </c>
      <c r="AA11" s="29">
        <v>4937</v>
      </c>
      <c r="AB11" s="58" t="s">
        <v>176</v>
      </c>
      <c r="AE11" s="30">
        <f t="shared" si="0"/>
        <v>4937</v>
      </c>
      <c r="AF11" s="56">
        <v>4937</v>
      </c>
      <c r="AG11" s="30">
        <v>938.03</v>
      </c>
      <c r="AH11" s="30">
        <v>5875.03</v>
      </c>
    </row>
    <row r="12" spans="1:34" x14ac:dyDescent="0.3">
      <c r="A12" s="22">
        <v>10</v>
      </c>
      <c r="B12" s="31">
        <v>1043219798</v>
      </c>
      <c r="C12" s="24"/>
      <c r="D12" s="117" t="s">
        <v>599</v>
      </c>
      <c r="E12" s="26" t="s">
        <v>22</v>
      </c>
      <c r="F12" s="117" t="s">
        <v>599</v>
      </c>
      <c r="G12" s="26"/>
      <c r="H12" s="26"/>
      <c r="I12" s="26"/>
      <c r="J12" s="70"/>
      <c r="K12" s="71"/>
      <c r="L12" s="71"/>
      <c r="M12" s="71"/>
      <c r="N12" s="71"/>
      <c r="O12" s="71"/>
      <c r="P12" s="71"/>
      <c r="Q12" s="71"/>
      <c r="R12" s="71"/>
      <c r="S12" s="134"/>
      <c r="T12" s="134"/>
      <c r="U12" s="134"/>
      <c r="V12" s="30">
        <v>666</v>
      </c>
      <c r="W12" s="22" t="s">
        <v>25</v>
      </c>
      <c r="X12" s="30" t="s">
        <v>25</v>
      </c>
      <c r="Y12" s="29" t="s">
        <v>25</v>
      </c>
      <c r="Z12" s="29" t="s">
        <v>24</v>
      </c>
      <c r="AA12" s="29">
        <v>518</v>
      </c>
      <c r="AB12" s="58" t="s">
        <v>176</v>
      </c>
      <c r="AE12" s="30">
        <f t="shared" si="0"/>
        <v>518</v>
      </c>
      <c r="AF12" s="56">
        <v>592</v>
      </c>
      <c r="AG12" s="30">
        <v>112.48</v>
      </c>
      <c r="AH12" s="30">
        <v>704.48</v>
      </c>
    </row>
    <row r="13" spans="1:34" ht="33" x14ac:dyDescent="0.3">
      <c r="A13" s="22">
        <v>11</v>
      </c>
      <c r="B13" s="23">
        <v>1042003283</v>
      </c>
      <c r="C13" s="24" t="s">
        <v>20</v>
      </c>
      <c r="D13" s="117" t="s">
        <v>600</v>
      </c>
      <c r="E13" s="26" t="s">
        <v>22</v>
      </c>
      <c r="F13" s="114" t="s">
        <v>601</v>
      </c>
      <c r="G13" s="26" t="e">
        <v>#N/A</v>
      </c>
      <c r="H13" s="26" t="e">
        <v>#N/A</v>
      </c>
      <c r="I13" s="26" t="s">
        <v>20</v>
      </c>
      <c r="J13" s="70">
        <v>20415.126670000001</v>
      </c>
      <c r="K13" s="71">
        <v>0</v>
      </c>
      <c r="L13" s="71">
        <v>0</v>
      </c>
      <c r="M13" s="71">
        <v>0</v>
      </c>
      <c r="N13" s="71">
        <v>0</v>
      </c>
      <c r="O13" s="71">
        <v>0</v>
      </c>
      <c r="P13" s="71">
        <v>0</v>
      </c>
      <c r="Q13" s="71">
        <v>0</v>
      </c>
      <c r="R13" s="71">
        <v>3</v>
      </c>
      <c r="S13" s="134"/>
      <c r="T13" s="134"/>
      <c r="U13" s="134"/>
      <c r="V13" s="30">
        <v>3569</v>
      </c>
      <c r="W13" s="22" t="s">
        <v>25</v>
      </c>
      <c r="X13" s="30" t="s">
        <v>25</v>
      </c>
      <c r="Y13" s="29" t="s">
        <v>25</v>
      </c>
      <c r="Z13" s="29" t="s">
        <v>24</v>
      </c>
      <c r="AA13" s="29" t="s">
        <v>37</v>
      </c>
      <c r="AB13" s="58" t="s">
        <v>176</v>
      </c>
      <c r="AE13" s="30">
        <f t="shared" si="0"/>
        <v>3569</v>
      </c>
      <c r="AF13" s="56">
        <v>3569</v>
      </c>
      <c r="AG13" s="30">
        <v>678.11</v>
      </c>
      <c r="AH13" s="30">
        <v>4247.1099999999997</v>
      </c>
    </row>
    <row r="14" spans="1:34" ht="33" x14ac:dyDescent="0.3">
      <c r="A14" s="22">
        <v>12</v>
      </c>
      <c r="B14" s="23">
        <v>1042003284</v>
      </c>
      <c r="C14" s="24" t="s">
        <v>20</v>
      </c>
      <c r="D14" s="117" t="s">
        <v>602</v>
      </c>
      <c r="E14" s="26" t="s">
        <v>22</v>
      </c>
      <c r="F14" s="114" t="s">
        <v>603</v>
      </c>
      <c r="G14" s="26" t="e">
        <v>#N/A</v>
      </c>
      <c r="H14" s="26" t="e">
        <v>#N/A</v>
      </c>
      <c r="I14" s="26" t="s">
        <v>20</v>
      </c>
      <c r="J14" s="70">
        <v>38332.943330000002</v>
      </c>
      <c r="K14" s="71">
        <v>0</v>
      </c>
      <c r="L14" s="71">
        <v>0</v>
      </c>
      <c r="M14" s="71">
        <v>0</v>
      </c>
      <c r="N14" s="71">
        <v>0</v>
      </c>
      <c r="O14" s="71">
        <v>3</v>
      </c>
      <c r="P14" s="71">
        <v>0.25</v>
      </c>
      <c r="Q14" s="71">
        <v>0</v>
      </c>
      <c r="R14" s="71">
        <v>0</v>
      </c>
      <c r="S14" s="134"/>
      <c r="T14" s="134"/>
      <c r="U14" s="134"/>
      <c r="V14" s="30">
        <v>4224</v>
      </c>
      <c r="W14" s="22" t="s">
        <v>25</v>
      </c>
      <c r="X14" s="30" t="s">
        <v>25</v>
      </c>
      <c r="Y14" s="29" t="s">
        <v>25</v>
      </c>
      <c r="Z14" s="29" t="s">
        <v>24</v>
      </c>
      <c r="AA14" s="29">
        <v>6740</v>
      </c>
      <c r="AB14" s="58" t="s">
        <v>176</v>
      </c>
      <c r="AE14" s="30">
        <f t="shared" si="0"/>
        <v>4224</v>
      </c>
      <c r="AF14" s="56">
        <v>5482</v>
      </c>
      <c r="AG14" s="30">
        <v>1041.58</v>
      </c>
      <c r="AH14" s="30">
        <v>6523.58</v>
      </c>
    </row>
    <row r="15" spans="1:34" ht="33" x14ac:dyDescent="0.3">
      <c r="A15" s="22">
        <v>13</v>
      </c>
      <c r="B15" s="23">
        <v>1042003285</v>
      </c>
      <c r="C15" s="24" t="s">
        <v>20</v>
      </c>
      <c r="D15" s="117" t="s">
        <v>604</v>
      </c>
      <c r="E15" s="26" t="s">
        <v>22</v>
      </c>
      <c r="F15" s="114" t="s">
        <v>605</v>
      </c>
      <c r="G15" s="26" t="e">
        <v>#N/A</v>
      </c>
      <c r="H15" s="26" t="e">
        <v>#N/A</v>
      </c>
      <c r="I15" s="26" t="s">
        <v>20</v>
      </c>
      <c r="J15" s="70">
        <v>1</v>
      </c>
      <c r="K15" s="71">
        <v>0</v>
      </c>
      <c r="L15" s="71">
        <v>0</v>
      </c>
      <c r="M15" s="71">
        <v>0</v>
      </c>
      <c r="N15" s="71">
        <v>0</v>
      </c>
      <c r="O15" s="71">
        <v>0</v>
      </c>
      <c r="P15" s="71">
        <v>0</v>
      </c>
      <c r="Q15" s="71">
        <v>0</v>
      </c>
      <c r="R15" s="71">
        <v>0</v>
      </c>
      <c r="S15" s="134"/>
      <c r="T15" s="134"/>
      <c r="U15" s="134"/>
      <c r="V15" s="30">
        <v>9182</v>
      </c>
      <c r="W15" s="22" t="s">
        <v>25</v>
      </c>
      <c r="X15" s="30" t="s">
        <v>25</v>
      </c>
      <c r="Y15" s="29" t="s">
        <v>25</v>
      </c>
      <c r="Z15" s="29" t="s">
        <v>24</v>
      </c>
      <c r="AA15" s="29">
        <v>25819</v>
      </c>
      <c r="AB15" s="58" t="s">
        <v>176</v>
      </c>
      <c r="AE15" s="30">
        <f t="shared" si="0"/>
        <v>9182</v>
      </c>
      <c r="AF15" s="56">
        <v>17500.5</v>
      </c>
      <c r="AG15" s="30">
        <v>3325.0949999999998</v>
      </c>
      <c r="AH15" s="30">
        <v>20825.595000000001</v>
      </c>
    </row>
    <row r="16" spans="1:34" ht="33" x14ac:dyDescent="0.3">
      <c r="A16" s="22">
        <v>14</v>
      </c>
      <c r="B16" s="23">
        <v>1042003286</v>
      </c>
      <c r="C16" s="24" t="s">
        <v>20</v>
      </c>
      <c r="D16" s="117" t="s">
        <v>606</v>
      </c>
      <c r="E16" s="26" t="s">
        <v>22</v>
      </c>
      <c r="F16" s="114" t="s">
        <v>607</v>
      </c>
      <c r="G16" s="26" t="e">
        <v>#N/A</v>
      </c>
      <c r="H16" s="26" t="e">
        <v>#N/A</v>
      </c>
      <c r="I16" s="26" t="s">
        <v>20</v>
      </c>
      <c r="J16" s="70">
        <v>6400.99</v>
      </c>
      <c r="K16" s="71">
        <v>0</v>
      </c>
      <c r="L16" s="71">
        <v>0</v>
      </c>
      <c r="M16" s="71">
        <v>0</v>
      </c>
      <c r="N16" s="71">
        <v>0</v>
      </c>
      <c r="O16" s="71">
        <v>1</v>
      </c>
      <c r="P16" s="71">
        <v>8.3333333333333329E-2</v>
      </c>
      <c r="Q16" s="71">
        <v>0</v>
      </c>
      <c r="R16" s="71">
        <v>2</v>
      </c>
      <c r="S16" s="134"/>
      <c r="T16" s="134"/>
      <c r="U16" s="134"/>
      <c r="V16" s="30">
        <v>16848</v>
      </c>
      <c r="W16" s="22" t="s">
        <v>25</v>
      </c>
      <c r="X16" s="30" t="s">
        <v>25</v>
      </c>
      <c r="Y16" s="29" t="s">
        <v>25</v>
      </c>
      <c r="Z16" s="29" t="s">
        <v>24</v>
      </c>
      <c r="AA16" s="29" t="s">
        <v>37</v>
      </c>
      <c r="AB16" s="58" t="s">
        <v>176</v>
      </c>
      <c r="AE16" s="30">
        <f t="shared" si="0"/>
        <v>16848</v>
      </c>
      <c r="AF16" s="56">
        <v>16848</v>
      </c>
      <c r="AG16" s="30">
        <v>3201.12</v>
      </c>
      <c r="AH16" s="30">
        <v>20049.12</v>
      </c>
    </row>
    <row r="17" spans="1:34" ht="49.5" x14ac:dyDescent="0.3">
      <c r="A17" s="22">
        <v>15</v>
      </c>
      <c r="B17" s="23">
        <v>1043289141</v>
      </c>
      <c r="C17" s="24" t="s">
        <v>20</v>
      </c>
      <c r="D17" s="117" t="s">
        <v>608</v>
      </c>
      <c r="E17" s="26" t="s">
        <v>22</v>
      </c>
      <c r="F17" s="114" t="s">
        <v>609</v>
      </c>
      <c r="G17" s="26" t="e">
        <v>#N/A</v>
      </c>
      <c r="H17" s="26" t="e">
        <v>#N/A</v>
      </c>
      <c r="I17" s="26" t="s">
        <v>20</v>
      </c>
      <c r="J17" s="70">
        <v>77365.009999999995</v>
      </c>
      <c r="K17" s="71">
        <v>0</v>
      </c>
      <c r="L17" s="71">
        <v>0</v>
      </c>
      <c r="M17" s="71">
        <v>0</v>
      </c>
      <c r="N17" s="71">
        <v>0</v>
      </c>
      <c r="O17" s="71">
        <v>5</v>
      </c>
      <c r="P17" s="71">
        <v>0.41666666666666669</v>
      </c>
      <c r="Q17" s="71">
        <v>0</v>
      </c>
      <c r="R17" s="71">
        <v>0</v>
      </c>
      <c r="S17" s="134"/>
      <c r="T17" s="134"/>
      <c r="U17" s="134"/>
      <c r="V17" s="30" t="s">
        <v>25</v>
      </c>
      <c r="W17" s="22" t="s">
        <v>25</v>
      </c>
      <c r="X17" s="30" t="s">
        <v>25</v>
      </c>
      <c r="Y17" s="29" t="s">
        <v>25</v>
      </c>
      <c r="Z17" s="29">
        <v>42017</v>
      </c>
      <c r="AA17" s="29" t="s">
        <v>24</v>
      </c>
      <c r="AB17" s="58" t="s">
        <v>176</v>
      </c>
      <c r="AE17" s="30">
        <f t="shared" si="0"/>
        <v>42017</v>
      </c>
      <c r="AF17" s="56">
        <v>42017</v>
      </c>
      <c r="AG17" s="30">
        <v>7983.23</v>
      </c>
      <c r="AH17" s="30">
        <v>50000.229999999996</v>
      </c>
    </row>
    <row r="18" spans="1:34" ht="49.5" x14ac:dyDescent="0.3">
      <c r="A18" s="22">
        <v>16</v>
      </c>
      <c r="B18" s="23">
        <v>1043289140</v>
      </c>
      <c r="C18" s="24" t="s">
        <v>20</v>
      </c>
      <c r="D18" s="117" t="s">
        <v>610</v>
      </c>
      <c r="E18" s="26" t="s">
        <v>22</v>
      </c>
      <c r="F18" s="114" t="s">
        <v>611</v>
      </c>
      <c r="G18" s="26" t="e">
        <v>#N/A</v>
      </c>
      <c r="H18" s="26" t="e">
        <v>#N/A</v>
      </c>
      <c r="I18" s="26" t="s">
        <v>20</v>
      </c>
      <c r="J18" s="70">
        <v>77365.009999999995</v>
      </c>
      <c r="K18" s="71">
        <v>0</v>
      </c>
      <c r="L18" s="71">
        <v>0</v>
      </c>
      <c r="M18" s="71">
        <v>0</v>
      </c>
      <c r="N18" s="71">
        <v>0</v>
      </c>
      <c r="O18" s="71">
        <v>5</v>
      </c>
      <c r="P18" s="71">
        <v>0.41666666666666669</v>
      </c>
      <c r="Q18" s="71">
        <v>0</v>
      </c>
      <c r="R18" s="71">
        <v>0</v>
      </c>
      <c r="S18" s="134"/>
      <c r="T18" s="134"/>
      <c r="U18" s="134"/>
      <c r="V18" s="30" t="s">
        <v>25</v>
      </c>
      <c r="W18" s="22" t="s">
        <v>25</v>
      </c>
      <c r="X18" s="30" t="s">
        <v>25</v>
      </c>
      <c r="Y18" s="29" t="s">
        <v>25</v>
      </c>
      <c r="Z18" s="29">
        <v>58036</v>
      </c>
      <c r="AA18" s="29" t="s">
        <v>24</v>
      </c>
      <c r="AB18" s="58" t="s">
        <v>176</v>
      </c>
      <c r="AE18" s="30">
        <f t="shared" si="0"/>
        <v>58036</v>
      </c>
      <c r="AF18" s="56">
        <v>58036</v>
      </c>
      <c r="AG18" s="30">
        <v>11026.84</v>
      </c>
      <c r="AH18" s="30">
        <v>69062.84</v>
      </c>
    </row>
    <row r="19" spans="1:34" x14ac:dyDescent="0.3">
      <c r="A19" s="22">
        <v>17</v>
      </c>
      <c r="B19" s="23">
        <v>1043247121</v>
      </c>
      <c r="C19" s="24" t="s">
        <v>20</v>
      </c>
      <c r="D19" s="117" t="s">
        <v>612</v>
      </c>
      <c r="E19" s="26" t="s">
        <v>22</v>
      </c>
      <c r="F19" s="114" t="s">
        <v>612</v>
      </c>
      <c r="G19" s="26" t="e">
        <v>#N/A</v>
      </c>
      <c r="H19" s="26" t="e">
        <v>#N/A</v>
      </c>
      <c r="I19" s="26" t="s">
        <v>20</v>
      </c>
      <c r="J19" s="70">
        <v>22272</v>
      </c>
      <c r="K19" s="71">
        <v>0</v>
      </c>
      <c r="L19" s="71">
        <v>0</v>
      </c>
      <c r="M19" s="71">
        <v>0</v>
      </c>
      <c r="N19" s="71">
        <v>0</v>
      </c>
      <c r="O19" s="71">
        <v>0</v>
      </c>
      <c r="P19" s="71">
        <v>0</v>
      </c>
      <c r="Q19" s="71">
        <v>0</v>
      </c>
      <c r="R19" s="71">
        <v>0</v>
      </c>
      <c r="S19" s="134"/>
      <c r="T19" s="134"/>
      <c r="U19" s="134"/>
      <c r="V19" s="30" t="s">
        <v>25</v>
      </c>
      <c r="W19" s="22" t="s">
        <v>25</v>
      </c>
      <c r="X19" s="30" t="s">
        <v>25</v>
      </c>
      <c r="Y19" s="29" t="s">
        <v>25</v>
      </c>
      <c r="Z19" s="29" t="s">
        <v>24</v>
      </c>
      <c r="AA19" s="29">
        <v>16815</v>
      </c>
      <c r="AB19" s="58" t="s">
        <v>176</v>
      </c>
      <c r="AE19" s="30">
        <f t="shared" si="0"/>
        <v>16815</v>
      </c>
      <c r="AF19" s="56">
        <v>16815</v>
      </c>
      <c r="AG19" s="30">
        <v>3194.85</v>
      </c>
      <c r="AH19" s="30">
        <v>20009.849999999999</v>
      </c>
    </row>
    <row r="20" spans="1:34" ht="33" x14ac:dyDescent="0.3">
      <c r="A20" s="22">
        <v>18</v>
      </c>
      <c r="B20" s="23">
        <v>1043247097</v>
      </c>
      <c r="C20" s="24" t="s">
        <v>20</v>
      </c>
      <c r="D20" s="117" t="s">
        <v>613</v>
      </c>
      <c r="E20" s="26" t="s">
        <v>22</v>
      </c>
      <c r="F20" s="114" t="s">
        <v>613</v>
      </c>
      <c r="G20" s="26" t="e">
        <v>#N/A</v>
      </c>
      <c r="H20" s="26" t="e">
        <v>#N/A</v>
      </c>
      <c r="I20" s="26" t="s">
        <v>20</v>
      </c>
      <c r="J20" s="70">
        <v>1</v>
      </c>
      <c r="K20" s="71">
        <v>0</v>
      </c>
      <c r="L20" s="71">
        <v>0</v>
      </c>
      <c r="M20" s="71">
        <v>0</v>
      </c>
      <c r="N20" s="71">
        <v>0</v>
      </c>
      <c r="O20" s="71">
        <v>0</v>
      </c>
      <c r="P20" s="71">
        <v>0</v>
      </c>
      <c r="Q20" s="71">
        <v>0</v>
      </c>
      <c r="R20" s="71">
        <v>0</v>
      </c>
      <c r="S20" s="134"/>
      <c r="T20" s="134"/>
      <c r="U20" s="134"/>
      <c r="V20" s="30" t="s">
        <v>25</v>
      </c>
      <c r="W20" s="22" t="s">
        <v>25</v>
      </c>
      <c r="X20" s="30" t="s">
        <v>25</v>
      </c>
      <c r="Y20" s="29" t="s">
        <v>25</v>
      </c>
      <c r="Z20" s="29" t="s">
        <v>24</v>
      </c>
      <c r="AA20" s="29">
        <v>83940</v>
      </c>
      <c r="AB20" s="58" t="s">
        <v>176</v>
      </c>
      <c r="AE20" s="30">
        <f t="shared" si="0"/>
        <v>83940</v>
      </c>
      <c r="AF20" s="56">
        <v>83940</v>
      </c>
      <c r="AG20" s="30">
        <v>15948.6</v>
      </c>
      <c r="AH20" s="30">
        <v>99888.6</v>
      </c>
    </row>
    <row r="21" spans="1:34" x14ac:dyDescent="0.3">
      <c r="A21" s="22">
        <v>19</v>
      </c>
      <c r="B21" s="31">
        <v>1043292611</v>
      </c>
      <c r="C21" s="24"/>
      <c r="D21" s="117" t="s">
        <v>614</v>
      </c>
      <c r="E21" s="26"/>
      <c r="F21" s="114"/>
      <c r="G21" s="26"/>
      <c r="H21" s="26"/>
      <c r="I21" s="26"/>
      <c r="J21" s="70"/>
      <c r="K21" s="71"/>
      <c r="L21" s="71"/>
      <c r="M21" s="71"/>
      <c r="N21" s="71"/>
      <c r="O21" s="71"/>
      <c r="P21" s="71"/>
      <c r="Q21" s="71"/>
      <c r="R21" s="71"/>
      <c r="S21" s="134"/>
      <c r="T21" s="134"/>
      <c r="U21" s="134"/>
      <c r="V21" s="30">
        <v>40057</v>
      </c>
      <c r="W21" s="22" t="s">
        <v>25</v>
      </c>
      <c r="X21" s="30" t="s">
        <v>25</v>
      </c>
      <c r="Y21" s="29" t="s">
        <v>25</v>
      </c>
      <c r="Z21" s="29" t="s">
        <v>24</v>
      </c>
      <c r="AA21" s="29" t="s">
        <v>24</v>
      </c>
      <c r="AB21" s="58" t="s">
        <v>176</v>
      </c>
      <c r="AE21" s="30">
        <f t="shared" si="0"/>
        <v>40057</v>
      </c>
      <c r="AF21" s="56">
        <v>40057</v>
      </c>
      <c r="AG21" s="30">
        <v>7610.83</v>
      </c>
      <c r="AH21" s="30">
        <v>47667.83</v>
      </c>
    </row>
    <row r="22" spans="1:34" x14ac:dyDescent="0.3">
      <c r="A22" s="22">
        <v>20</v>
      </c>
      <c r="B22" s="23">
        <v>1043238074</v>
      </c>
      <c r="C22" s="24" t="s">
        <v>20</v>
      </c>
      <c r="D22" s="117" t="s">
        <v>615</v>
      </c>
      <c r="E22" s="26" t="s">
        <v>22</v>
      </c>
      <c r="F22" s="114" t="s">
        <v>616</v>
      </c>
      <c r="G22" s="26" t="e">
        <v>#N/A</v>
      </c>
      <c r="H22" s="26" t="e">
        <v>#N/A</v>
      </c>
      <c r="I22" s="26" t="s">
        <v>20</v>
      </c>
      <c r="J22" s="70">
        <v>1</v>
      </c>
      <c r="K22" s="71">
        <v>0</v>
      </c>
      <c r="L22" s="71">
        <v>0</v>
      </c>
      <c r="M22" s="71">
        <v>0</v>
      </c>
      <c r="N22" s="71">
        <v>0</v>
      </c>
      <c r="O22" s="71">
        <v>0</v>
      </c>
      <c r="P22" s="71">
        <v>0</v>
      </c>
      <c r="Q22" s="71">
        <v>0</v>
      </c>
      <c r="R22" s="71">
        <v>0</v>
      </c>
      <c r="S22" s="134"/>
      <c r="T22" s="134"/>
      <c r="U22" s="134"/>
      <c r="V22" s="30" t="s">
        <v>25</v>
      </c>
      <c r="W22" s="22" t="s">
        <v>25</v>
      </c>
      <c r="X22" s="30" t="s">
        <v>25</v>
      </c>
      <c r="Y22" s="29" t="s">
        <v>25</v>
      </c>
      <c r="Z22" s="29" t="s">
        <v>24</v>
      </c>
      <c r="AA22" s="29">
        <v>60150</v>
      </c>
      <c r="AB22" s="58" t="s">
        <v>176</v>
      </c>
      <c r="AE22" s="30">
        <f t="shared" si="0"/>
        <v>60150</v>
      </c>
      <c r="AF22" s="56">
        <v>60150</v>
      </c>
      <c r="AG22" s="30">
        <v>11428.5</v>
      </c>
      <c r="AH22" s="30">
        <v>71578.5</v>
      </c>
    </row>
    <row r="23" spans="1:34" x14ac:dyDescent="0.3">
      <c r="A23" s="22">
        <v>21</v>
      </c>
      <c r="B23" s="23">
        <v>1043205591</v>
      </c>
      <c r="C23" s="24" t="s">
        <v>20</v>
      </c>
      <c r="D23" s="117" t="s">
        <v>617</v>
      </c>
      <c r="E23" s="26" t="s">
        <v>22</v>
      </c>
      <c r="F23" s="114" t="s">
        <v>618</v>
      </c>
      <c r="G23" s="26" t="e">
        <v>#N/A</v>
      </c>
      <c r="H23" s="26" t="e">
        <v>#N/A</v>
      </c>
      <c r="I23" s="26" t="s">
        <v>20</v>
      </c>
      <c r="J23" s="70">
        <v>45294</v>
      </c>
      <c r="K23" s="71">
        <v>34</v>
      </c>
      <c r="L23" s="71">
        <v>4</v>
      </c>
      <c r="M23" s="71">
        <v>4</v>
      </c>
      <c r="N23" s="71">
        <v>0.33333333333333331</v>
      </c>
      <c r="O23" s="71">
        <v>0</v>
      </c>
      <c r="P23" s="71">
        <v>0</v>
      </c>
      <c r="Q23" s="71">
        <v>0</v>
      </c>
      <c r="R23" s="71">
        <v>0</v>
      </c>
      <c r="S23" s="134"/>
      <c r="T23" s="134"/>
      <c r="U23" s="134"/>
      <c r="V23" s="30">
        <v>50901</v>
      </c>
      <c r="W23" s="22" t="s">
        <v>25</v>
      </c>
      <c r="X23" s="30">
        <v>2800</v>
      </c>
      <c r="Y23" s="29" t="s">
        <v>25</v>
      </c>
      <c r="Z23" s="29" t="s">
        <v>24</v>
      </c>
      <c r="AA23" s="29" t="s">
        <v>37</v>
      </c>
      <c r="AB23" s="58" t="s">
        <v>176</v>
      </c>
      <c r="AE23" s="30">
        <f t="shared" si="0"/>
        <v>2800</v>
      </c>
      <c r="AF23" s="56">
        <v>26850.5</v>
      </c>
      <c r="AG23" s="30">
        <v>5101.5950000000003</v>
      </c>
      <c r="AH23" s="30">
        <v>31952.095000000001</v>
      </c>
    </row>
    <row r="24" spans="1:34" x14ac:dyDescent="0.3">
      <c r="A24" s="22">
        <v>22</v>
      </c>
      <c r="B24" s="31">
        <v>1043248205</v>
      </c>
      <c r="C24" s="32"/>
      <c r="D24" s="83" t="s">
        <v>619</v>
      </c>
      <c r="E24" s="26" t="s">
        <v>22</v>
      </c>
      <c r="F24" s="83" t="s">
        <v>619</v>
      </c>
      <c r="G24" s="32"/>
      <c r="H24" s="32"/>
      <c r="I24" s="32"/>
      <c r="J24" s="32"/>
      <c r="K24" s="32"/>
      <c r="L24" s="32"/>
      <c r="M24" s="32"/>
      <c r="N24" s="32"/>
      <c r="O24" s="32"/>
      <c r="P24" s="32"/>
      <c r="Q24" s="32"/>
      <c r="R24" s="32"/>
      <c r="S24" s="22"/>
      <c r="T24" s="22"/>
      <c r="U24" s="22"/>
      <c r="V24" s="30" t="s">
        <v>25</v>
      </c>
      <c r="W24" s="22" t="s">
        <v>25</v>
      </c>
      <c r="X24" s="30" t="s">
        <v>25</v>
      </c>
      <c r="Y24" s="29" t="s">
        <v>25</v>
      </c>
      <c r="Z24" s="29" t="s">
        <v>24</v>
      </c>
      <c r="AA24" s="29">
        <v>19301</v>
      </c>
      <c r="AB24" s="58" t="s">
        <v>176</v>
      </c>
      <c r="AE24" s="30">
        <f t="shared" si="0"/>
        <v>19301</v>
      </c>
      <c r="AF24" s="56">
        <v>19301</v>
      </c>
      <c r="AG24" s="30">
        <v>3667.19</v>
      </c>
      <c r="AH24" s="30">
        <v>22968.19</v>
      </c>
    </row>
    <row r="25" spans="1:34" ht="33" x14ac:dyDescent="0.3">
      <c r="A25" s="22">
        <v>23</v>
      </c>
      <c r="B25" s="23">
        <v>1043248203</v>
      </c>
      <c r="C25" s="24" t="s">
        <v>20</v>
      </c>
      <c r="D25" s="117" t="s">
        <v>620</v>
      </c>
      <c r="E25" s="26" t="s">
        <v>22</v>
      </c>
      <c r="F25" s="117" t="s">
        <v>620</v>
      </c>
      <c r="G25" s="26" t="e">
        <v>#N/A</v>
      </c>
      <c r="H25" s="26" t="e">
        <v>#N/A</v>
      </c>
      <c r="I25" s="26" t="s">
        <v>20</v>
      </c>
      <c r="J25" s="70">
        <v>67660.98</v>
      </c>
      <c r="K25" s="71">
        <v>0</v>
      </c>
      <c r="L25" s="71">
        <v>2</v>
      </c>
      <c r="M25" s="71">
        <v>1</v>
      </c>
      <c r="N25" s="71">
        <v>8.3333333333333329E-2</v>
      </c>
      <c r="O25" s="71">
        <v>5</v>
      </c>
      <c r="P25" s="71">
        <v>0.41666666666666669</v>
      </c>
      <c r="Q25" s="71">
        <v>0</v>
      </c>
      <c r="R25" s="71">
        <v>0</v>
      </c>
      <c r="S25" s="134"/>
      <c r="T25" s="134"/>
      <c r="U25" s="134"/>
      <c r="V25" s="30" t="s">
        <v>25</v>
      </c>
      <c r="W25" s="22" t="s">
        <v>25</v>
      </c>
      <c r="X25" s="30" t="s">
        <v>25</v>
      </c>
      <c r="Y25" s="29" t="s">
        <v>25</v>
      </c>
      <c r="Z25" s="29" t="s">
        <v>24</v>
      </c>
      <c r="AA25" s="29">
        <v>187630</v>
      </c>
      <c r="AB25" s="58" t="s">
        <v>176</v>
      </c>
      <c r="AE25" s="30">
        <f t="shared" si="0"/>
        <v>187630</v>
      </c>
      <c r="AF25" s="56">
        <v>187630</v>
      </c>
      <c r="AG25" s="30">
        <v>35649.699999999997</v>
      </c>
      <c r="AH25" s="30">
        <v>223279.7</v>
      </c>
    </row>
    <row r="26" spans="1:34" ht="33" x14ac:dyDescent="0.3">
      <c r="A26" s="22">
        <v>24</v>
      </c>
      <c r="B26" s="31">
        <v>1043248018</v>
      </c>
      <c r="C26" s="24"/>
      <c r="D26" s="117" t="s">
        <v>621</v>
      </c>
      <c r="E26" s="26" t="s">
        <v>22</v>
      </c>
      <c r="F26" s="117" t="s">
        <v>621</v>
      </c>
      <c r="G26" s="26"/>
      <c r="H26" s="26"/>
      <c r="I26" s="26"/>
      <c r="J26" s="70"/>
      <c r="K26" s="71"/>
      <c r="L26" s="71"/>
      <c r="M26" s="71"/>
      <c r="N26" s="71"/>
      <c r="O26" s="71"/>
      <c r="P26" s="71"/>
      <c r="Q26" s="71"/>
      <c r="R26" s="71"/>
      <c r="S26" s="134"/>
      <c r="T26" s="134"/>
      <c r="U26" s="134"/>
      <c r="V26" s="30" t="s">
        <v>25</v>
      </c>
      <c r="W26" s="22" t="s">
        <v>25</v>
      </c>
      <c r="X26" s="30" t="s">
        <v>25</v>
      </c>
      <c r="Y26" s="29" t="s">
        <v>25</v>
      </c>
      <c r="Z26" s="29" t="s">
        <v>24</v>
      </c>
      <c r="AA26" s="29">
        <v>7630</v>
      </c>
      <c r="AB26" s="58" t="s">
        <v>176</v>
      </c>
      <c r="AE26" s="30">
        <f t="shared" si="0"/>
        <v>7630</v>
      </c>
      <c r="AF26" s="56">
        <v>7630</v>
      </c>
      <c r="AG26" s="30">
        <v>1449.7</v>
      </c>
      <c r="AH26" s="30">
        <v>9079.7000000000007</v>
      </c>
    </row>
    <row r="27" spans="1:34" ht="33" x14ac:dyDescent="0.3">
      <c r="A27" s="22">
        <v>25</v>
      </c>
      <c r="B27" s="23">
        <v>1043247210</v>
      </c>
      <c r="C27" s="24" t="s">
        <v>20</v>
      </c>
      <c r="D27" s="117" t="s">
        <v>622</v>
      </c>
      <c r="E27" s="26" t="s">
        <v>22</v>
      </c>
      <c r="F27" s="114" t="s">
        <v>623</v>
      </c>
      <c r="G27" s="26" t="e">
        <v>#N/A</v>
      </c>
      <c r="H27" s="26" t="e">
        <v>#N/A</v>
      </c>
      <c r="I27" s="26" t="s">
        <v>20</v>
      </c>
      <c r="J27" s="70">
        <v>122313.87</v>
      </c>
      <c r="K27" s="71">
        <v>0</v>
      </c>
      <c r="L27" s="71">
        <v>11</v>
      </c>
      <c r="M27" s="71">
        <v>34</v>
      </c>
      <c r="N27" s="71">
        <v>2.8333333333333335</v>
      </c>
      <c r="O27" s="71">
        <v>3</v>
      </c>
      <c r="P27" s="71">
        <v>0.25</v>
      </c>
      <c r="Q27" s="71">
        <v>0</v>
      </c>
      <c r="R27" s="71">
        <v>0</v>
      </c>
      <c r="S27" s="134"/>
      <c r="T27" s="134"/>
      <c r="U27" s="134"/>
      <c r="V27" s="30" t="s">
        <v>25</v>
      </c>
      <c r="W27" s="22" t="s">
        <v>25</v>
      </c>
      <c r="X27" s="30" t="s">
        <v>25</v>
      </c>
      <c r="Y27" s="29" t="s">
        <v>25</v>
      </c>
      <c r="Z27" s="29" t="s">
        <v>24</v>
      </c>
      <c r="AA27" s="29">
        <v>60150</v>
      </c>
      <c r="AB27" s="58" t="s">
        <v>176</v>
      </c>
      <c r="AE27" s="30">
        <f t="shared" si="0"/>
        <v>60150</v>
      </c>
      <c r="AF27" s="56">
        <v>60150</v>
      </c>
      <c r="AG27" s="30">
        <v>11428.5</v>
      </c>
      <c r="AH27" s="30">
        <v>71578.5</v>
      </c>
    </row>
    <row r="28" spans="1:34" ht="33" x14ac:dyDescent="0.3">
      <c r="A28" s="22">
        <v>26</v>
      </c>
      <c r="B28" s="31">
        <v>1043205059</v>
      </c>
      <c r="C28" s="24"/>
      <c r="D28" s="117" t="s">
        <v>624</v>
      </c>
      <c r="E28" s="26" t="s">
        <v>22</v>
      </c>
      <c r="F28" s="117" t="s">
        <v>624</v>
      </c>
      <c r="G28" s="26"/>
      <c r="H28" s="26"/>
      <c r="I28" s="26"/>
      <c r="J28" s="70"/>
      <c r="K28" s="71"/>
      <c r="L28" s="71"/>
      <c r="M28" s="71"/>
      <c r="N28" s="71"/>
      <c r="O28" s="71"/>
      <c r="P28" s="71"/>
      <c r="Q28" s="71"/>
      <c r="R28" s="71"/>
      <c r="S28" s="134"/>
      <c r="T28" s="134"/>
      <c r="U28" s="134"/>
      <c r="V28" s="30" t="s">
        <v>25</v>
      </c>
      <c r="W28" s="22" t="s">
        <v>25</v>
      </c>
      <c r="X28" s="30" t="s">
        <v>25</v>
      </c>
      <c r="Y28" s="29" t="s">
        <v>25</v>
      </c>
      <c r="Z28" s="29" t="s">
        <v>24</v>
      </c>
      <c r="AA28" s="29">
        <v>6104</v>
      </c>
      <c r="AB28" s="58" t="s">
        <v>176</v>
      </c>
      <c r="AE28" s="30">
        <f t="shared" si="0"/>
        <v>6104</v>
      </c>
      <c r="AF28" s="56">
        <v>6104</v>
      </c>
      <c r="AG28" s="30">
        <v>1159.76</v>
      </c>
      <c r="AH28" s="30">
        <v>7263.76</v>
      </c>
    </row>
    <row r="29" spans="1:34" x14ac:dyDescent="0.3">
      <c r="A29" s="22">
        <v>27</v>
      </c>
      <c r="B29" s="31">
        <v>1043247220</v>
      </c>
      <c r="C29" s="32"/>
      <c r="D29" s="83" t="s">
        <v>625</v>
      </c>
      <c r="E29" s="26" t="s">
        <v>22</v>
      </c>
      <c r="F29" s="83" t="s">
        <v>625</v>
      </c>
      <c r="G29" s="32"/>
      <c r="H29" s="32"/>
      <c r="I29" s="32"/>
      <c r="J29" s="32"/>
      <c r="K29" s="32"/>
      <c r="L29" s="32"/>
      <c r="M29" s="32"/>
      <c r="N29" s="32"/>
      <c r="O29" s="32"/>
      <c r="P29" s="32"/>
      <c r="Q29" s="32"/>
      <c r="R29" s="32"/>
      <c r="S29" s="22"/>
      <c r="T29" s="22"/>
      <c r="U29" s="22"/>
      <c r="V29" s="30" t="s">
        <v>25</v>
      </c>
      <c r="W29" s="22" t="s">
        <v>25</v>
      </c>
      <c r="X29" s="30" t="s">
        <v>25</v>
      </c>
      <c r="Y29" s="29" t="s">
        <v>25</v>
      </c>
      <c r="Z29" s="29" t="s">
        <v>24</v>
      </c>
      <c r="AA29" s="29">
        <v>9677</v>
      </c>
      <c r="AB29" s="58" t="s">
        <v>176</v>
      </c>
      <c r="AE29" s="30">
        <f t="shared" si="0"/>
        <v>9677</v>
      </c>
      <c r="AF29" s="56">
        <v>9677</v>
      </c>
      <c r="AG29" s="30">
        <v>1838.63</v>
      </c>
      <c r="AH29" s="30">
        <v>11515.630000000001</v>
      </c>
    </row>
    <row r="30" spans="1:34" x14ac:dyDescent="0.3">
      <c r="A30" s="22">
        <v>28</v>
      </c>
      <c r="B30" s="23">
        <v>1043205114</v>
      </c>
      <c r="C30" s="24" t="s">
        <v>20</v>
      </c>
      <c r="D30" s="117" t="s">
        <v>626</v>
      </c>
      <c r="E30" s="26" t="s">
        <v>22</v>
      </c>
      <c r="F30" s="114" t="s">
        <v>626</v>
      </c>
      <c r="G30" s="26" t="e">
        <v>#N/A</v>
      </c>
      <c r="H30" s="26" t="e">
        <v>#N/A</v>
      </c>
      <c r="I30" s="26" t="s">
        <v>20</v>
      </c>
      <c r="J30" s="70">
        <v>3546.2</v>
      </c>
      <c r="K30" s="71">
        <v>0</v>
      </c>
      <c r="L30" s="71">
        <v>20</v>
      </c>
      <c r="M30" s="71">
        <v>70</v>
      </c>
      <c r="N30" s="71">
        <v>5.833333333333333</v>
      </c>
      <c r="O30" s="71">
        <v>0</v>
      </c>
      <c r="P30" s="71">
        <v>0</v>
      </c>
      <c r="Q30" s="71">
        <v>0</v>
      </c>
      <c r="R30" s="71">
        <v>0</v>
      </c>
      <c r="S30" s="134"/>
      <c r="T30" s="134"/>
      <c r="U30" s="134"/>
      <c r="V30" s="30" t="s">
        <v>25</v>
      </c>
      <c r="W30" s="22" t="s">
        <v>25</v>
      </c>
      <c r="X30" s="30" t="s">
        <v>25</v>
      </c>
      <c r="Y30" s="29" t="s">
        <v>25</v>
      </c>
      <c r="Z30" s="29" t="s">
        <v>24</v>
      </c>
      <c r="AA30" s="29">
        <v>4354</v>
      </c>
      <c r="AB30" s="58" t="s">
        <v>176</v>
      </c>
      <c r="AE30" s="30">
        <f t="shared" si="0"/>
        <v>4354</v>
      </c>
      <c r="AF30" s="56">
        <v>4354</v>
      </c>
      <c r="AG30" s="30">
        <v>827.26</v>
      </c>
      <c r="AH30" s="30">
        <v>5181.26</v>
      </c>
    </row>
    <row r="31" spans="1:34" ht="33" x14ac:dyDescent="0.3">
      <c r="A31" s="22">
        <v>29</v>
      </c>
      <c r="B31" s="31">
        <v>1043219679</v>
      </c>
      <c r="C31" s="24"/>
      <c r="D31" s="117" t="s">
        <v>627</v>
      </c>
      <c r="E31" s="26" t="s">
        <v>22</v>
      </c>
      <c r="F31" s="117" t="s">
        <v>627</v>
      </c>
      <c r="G31" s="26"/>
      <c r="H31" s="26"/>
      <c r="I31" s="26"/>
      <c r="J31" s="70"/>
      <c r="K31" s="71"/>
      <c r="L31" s="71"/>
      <c r="M31" s="71"/>
      <c r="N31" s="71"/>
      <c r="O31" s="71"/>
      <c r="P31" s="71"/>
      <c r="Q31" s="71"/>
      <c r="R31" s="71"/>
      <c r="S31" s="134"/>
      <c r="T31" s="134"/>
      <c r="U31" s="134"/>
      <c r="V31" s="30">
        <v>1100</v>
      </c>
      <c r="W31" s="22" t="s">
        <v>25</v>
      </c>
      <c r="X31" s="30" t="s">
        <v>25</v>
      </c>
      <c r="Y31" s="29" t="s">
        <v>25</v>
      </c>
      <c r="Z31" s="29" t="s">
        <v>24</v>
      </c>
      <c r="AA31" s="29" t="s">
        <v>37</v>
      </c>
      <c r="AB31" s="58" t="s">
        <v>176</v>
      </c>
      <c r="AE31" s="30">
        <f t="shared" si="0"/>
        <v>1100</v>
      </c>
      <c r="AF31" s="56">
        <v>1100</v>
      </c>
      <c r="AG31" s="30">
        <v>209</v>
      </c>
      <c r="AH31" s="30">
        <v>1309</v>
      </c>
    </row>
    <row r="32" spans="1:34" ht="33" x14ac:dyDescent="0.3">
      <c r="A32" s="22">
        <v>30</v>
      </c>
      <c r="B32" s="23">
        <v>1042003377</v>
      </c>
      <c r="C32" s="24" t="s">
        <v>20</v>
      </c>
      <c r="D32" s="117" t="s">
        <v>628</v>
      </c>
      <c r="E32" s="26" t="s">
        <v>22</v>
      </c>
      <c r="F32" s="114" t="s">
        <v>629</v>
      </c>
      <c r="G32" s="26" t="e">
        <v>#N/A</v>
      </c>
      <c r="H32" s="26" t="e">
        <v>#N/A</v>
      </c>
      <c r="I32" s="26" t="s">
        <v>20</v>
      </c>
      <c r="J32" s="70">
        <v>1728.1</v>
      </c>
      <c r="K32" s="71">
        <v>0</v>
      </c>
      <c r="L32" s="71">
        <v>0</v>
      </c>
      <c r="M32" s="71">
        <v>0</v>
      </c>
      <c r="N32" s="71">
        <v>0</v>
      </c>
      <c r="O32" s="71">
        <v>0</v>
      </c>
      <c r="P32" s="71">
        <v>0</v>
      </c>
      <c r="Q32" s="71">
        <v>0</v>
      </c>
      <c r="R32" s="71">
        <v>3</v>
      </c>
      <c r="S32" s="134"/>
      <c r="T32" s="134"/>
      <c r="U32" s="134"/>
      <c r="V32" s="30">
        <v>3379</v>
      </c>
      <c r="W32" s="22" t="s">
        <v>25</v>
      </c>
      <c r="X32" s="30" t="s">
        <v>25</v>
      </c>
      <c r="Y32" s="29" t="s">
        <v>25</v>
      </c>
      <c r="Z32" s="29" t="s">
        <v>24</v>
      </c>
      <c r="AA32" s="29" t="s">
        <v>24</v>
      </c>
      <c r="AB32" s="58" t="s">
        <v>176</v>
      </c>
      <c r="AE32" s="30">
        <f t="shared" si="0"/>
        <v>3379</v>
      </c>
      <c r="AF32" s="56">
        <v>3379</v>
      </c>
      <c r="AG32" s="30">
        <v>642.01</v>
      </c>
      <c r="AH32" s="30">
        <v>4021.01</v>
      </c>
    </row>
    <row r="33" spans="1:34" ht="33" x14ac:dyDescent="0.3">
      <c r="A33" s="22">
        <v>31</v>
      </c>
      <c r="B33" s="23">
        <v>1042003378</v>
      </c>
      <c r="C33" s="24" t="s">
        <v>20</v>
      </c>
      <c r="D33" s="117" t="s">
        <v>630</v>
      </c>
      <c r="E33" s="26" t="s">
        <v>22</v>
      </c>
      <c r="F33" s="114" t="s">
        <v>631</v>
      </c>
      <c r="G33" s="26" t="e">
        <v>#N/A</v>
      </c>
      <c r="H33" s="26" t="e">
        <v>#N/A</v>
      </c>
      <c r="I33" s="26" t="s">
        <v>20</v>
      </c>
      <c r="J33" s="70">
        <v>1</v>
      </c>
      <c r="K33" s="71">
        <v>0</v>
      </c>
      <c r="L33" s="71">
        <v>0</v>
      </c>
      <c r="M33" s="71">
        <v>0</v>
      </c>
      <c r="N33" s="71">
        <v>0</v>
      </c>
      <c r="O33" s="71">
        <v>0</v>
      </c>
      <c r="P33" s="71">
        <v>0</v>
      </c>
      <c r="Q33" s="71">
        <v>0</v>
      </c>
      <c r="R33" s="71">
        <v>0</v>
      </c>
      <c r="S33" s="134"/>
      <c r="T33" s="134"/>
      <c r="U33" s="134"/>
      <c r="V33" s="30">
        <v>4100</v>
      </c>
      <c r="W33" s="22" t="s">
        <v>25</v>
      </c>
      <c r="X33" s="30" t="s">
        <v>25</v>
      </c>
      <c r="Y33" s="29" t="s">
        <v>25</v>
      </c>
      <c r="Z33" s="29" t="s">
        <v>24</v>
      </c>
      <c r="AA33" s="29" t="s">
        <v>24</v>
      </c>
      <c r="AB33" s="58" t="s">
        <v>176</v>
      </c>
      <c r="AE33" s="30">
        <f t="shared" si="0"/>
        <v>4100</v>
      </c>
      <c r="AF33" s="56">
        <v>4100</v>
      </c>
      <c r="AG33" s="30">
        <v>779</v>
      </c>
      <c r="AH33" s="30">
        <v>4879</v>
      </c>
    </row>
    <row r="34" spans="1:34" ht="33" x14ac:dyDescent="0.3">
      <c r="A34" s="22">
        <v>32</v>
      </c>
      <c r="B34" s="23">
        <v>1042003379</v>
      </c>
      <c r="C34" s="24" t="s">
        <v>20</v>
      </c>
      <c r="D34" s="117" t="s">
        <v>632</v>
      </c>
      <c r="E34" s="26" t="s">
        <v>22</v>
      </c>
      <c r="F34" s="114" t="s">
        <v>633</v>
      </c>
      <c r="G34" s="26" t="e">
        <v>#N/A</v>
      </c>
      <c r="H34" s="26" t="e">
        <v>#N/A</v>
      </c>
      <c r="I34" s="26" t="s">
        <v>20</v>
      </c>
      <c r="J34" s="70">
        <v>1</v>
      </c>
      <c r="K34" s="71">
        <v>0</v>
      </c>
      <c r="L34" s="71">
        <v>0</v>
      </c>
      <c r="M34" s="71">
        <v>0</v>
      </c>
      <c r="N34" s="71">
        <v>0</v>
      </c>
      <c r="O34" s="71">
        <v>0</v>
      </c>
      <c r="P34" s="71">
        <v>0</v>
      </c>
      <c r="Q34" s="71">
        <v>0</v>
      </c>
      <c r="R34" s="71">
        <v>0</v>
      </c>
      <c r="S34" s="134"/>
      <c r="T34" s="134"/>
      <c r="U34" s="134"/>
      <c r="V34" s="30">
        <v>8810</v>
      </c>
      <c r="W34" s="22" t="s">
        <v>25</v>
      </c>
      <c r="X34" s="30" t="s">
        <v>25</v>
      </c>
      <c r="Y34" s="29" t="s">
        <v>25</v>
      </c>
      <c r="Z34" s="29" t="s">
        <v>24</v>
      </c>
      <c r="AA34" s="29" t="s">
        <v>24</v>
      </c>
      <c r="AB34" s="58" t="s">
        <v>176</v>
      </c>
      <c r="AE34" s="30">
        <f t="shared" si="0"/>
        <v>8810</v>
      </c>
      <c r="AF34" s="56">
        <v>8810</v>
      </c>
      <c r="AG34" s="30">
        <v>1673.9</v>
      </c>
      <c r="AH34" s="30">
        <v>10483.9</v>
      </c>
    </row>
    <row r="35" spans="1:34" ht="33" x14ac:dyDescent="0.3">
      <c r="A35" s="22">
        <v>33</v>
      </c>
      <c r="B35" s="23">
        <v>1042003380</v>
      </c>
      <c r="C35" s="24" t="s">
        <v>20</v>
      </c>
      <c r="D35" s="117" t="s">
        <v>634</v>
      </c>
      <c r="E35" s="26" t="s">
        <v>22</v>
      </c>
      <c r="F35" s="114" t="s">
        <v>635</v>
      </c>
      <c r="G35" s="26" t="e">
        <v>#N/A</v>
      </c>
      <c r="H35" s="26" t="e">
        <v>#N/A</v>
      </c>
      <c r="I35" s="26" t="s">
        <v>20</v>
      </c>
      <c r="J35" s="70">
        <v>1</v>
      </c>
      <c r="K35" s="71">
        <v>0</v>
      </c>
      <c r="L35" s="71">
        <v>0</v>
      </c>
      <c r="M35" s="71">
        <v>0</v>
      </c>
      <c r="N35" s="71">
        <v>0</v>
      </c>
      <c r="O35" s="71">
        <v>0</v>
      </c>
      <c r="P35" s="71">
        <v>0</v>
      </c>
      <c r="Q35" s="71">
        <v>0</v>
      </c>
      <c r="R35" s="71">
        <v>0</v>
      </c>
      <c r="S35" s="134"/>
      <c r="T35" s="134"/>
      <c r="U35" s="134"/>
      <c r="V35" s="30">
        <v>15375</v>
      </c>
      <c r="W35" s="22" t="s">
        <v>25</v>
      </c>
      <c r="X35" s="30" t="s">
        <v>25</v>
      </c>
      <c r="Y35" s="29" t="s">
        <v>25</v>
      </c>
      <c r="Z35" s="29" t="s">
        <v>24</v>
      </c>
      <c r="AA35" s="29" t="s">
        <v>24</v>
      </c>
      <c r="AB35" s="58" t="s">
        <v>176</v>
      </c>
      <c r="AE35" s="30">
        <f t="shared" si="0"/>
        <v>15375</v>
      </c>
      <c r="AF35" s="56">
        <v>15375</v>
      </c>
      <c r="AG35" s="30">
        <v>2921.25</v>
      </c>
      <c r="AH35" s="30">
        <v>18296.25</v>
      </c>
    </row>
    <row r="36" spans="1:34" ht="33" x14ac:dyDescent="0.3">
      <c r="A36" s="22">
        <v>34</v>
      </c>
      <c r="B36" s="23">
        <v>1043276666</v>
      </c>
      <c r="C36" s="24" t="s">
        <v>20</v>
      </c>
      <c r="D36" s="117" t="s">
        <v>636</v>
      </c>
      <c r="E36" s="26" t="s">
        <v>22</v>
      </c>
      <c r="F36" s="114" t="s">
        <v>637</v>
      </c>
      <c r="G36" s="26" t="e">
        <v>#N/A</v>
      </c>
      <c r="H36" s="26" t="e">
        <v>#N/A</v>
      </c>
      <c r="I36" s="26" t="s">
        <v>20</v>
      </c>
      <c r="J36" s="70">
        <v>34611</v>
      </c>
      <c r="K36" s="71">
        <v>81</v>
      </c>
      <c r="L36" s="71">
        <v>39</v>
      </c>
      <c r="M36" s="71">
        <v>41</v>
      </c>
      <c r="N36" s="71">
        <v>3.4166666666666665</v>
      </c>
      <c r="O36" s="71">
        <v>10</v>
      </c>
      <c r="P36" s="71">
        <v>0.83333333333333337</v>
      </c>
      <c r="Q36" s="71">
        <v>0</v>
      </c>
      <c r="R36" s="71">
        <v>25</v>
      </c>
      <c r="S36" s="134"/>
      <c r="T36" s="134"/>
      <c r="U36" s="134"/>
      <c r="V36" s="30" t="s">
        <v>25</v>
      </c>
      <c r="W36" s="22" t="s">
        <v>25</v>
      </c>
      <c r="X36" s="30" t="s">
        <v>25</v>
      </c>
      <c r="Y36" s="29" t="s">
        <v>25</v>
      </c>
      <c r="Z36" s="29" t="s">
        <v>24</v>
      </c>
      <c r="AA36" s="29">
        <v>10161</v>
      </c>
      <c r="AB36" s="58" t="s">
        <v>176</v>
      </c>
      <c r="AE36" s="30">
        <f t="shared" si="0"/>
        <v>10161</v>
      </c>
      <c r="AF36" s="56">
        <v>10161</v>
      </c>
      <c r="AG36" s="30">
        <v>1930.59</v>
      </c>
      <c r="AH36" s="30">
        <v>12091.59</v>
      </c>
    </row>
    <row r="37" spans="1:34" ht="49.5" x14ac:dyDescent="0.3">
      <c r="A37" s="22">
        <v>35</v>
      </c>
      <c r="B37" s="23">
        <v>1043276672</v>
      </c>
      <c r="C37" s="24" t="s">
        <v>20</v>
      </c>
      <c r="D37" s="117" t="s">
        <v>638</v>
      </c>
      <c r="E37" s="26" t="s">
        <v>22</v>
      </c>
      <c r="F37" s="114" t="s">
        <v>639</v>
      </c>
      <c r="G37" s="26" t="e">
        <v>#N/A</v>
      </c>
      <c r="H37" s="26" t="e">
        <v>#N/A</v>
      </c>
      <c r="I37" s="26" t="s">
        <v>20</v>
      </c>
      <c r="J37" s="70">
        <v>1</v>
      </c>
      <c r="K37" s="71">
        <v>0</v>
      </c>
      <c r="L37" s="71">
        <v>0</v>
      </c>
      <c r="M37" s="71">
        <v>0</v>
      </c>
      <c r="N37" s="71">
        <v>0</v>
      </c>
      <c r="O37" s="71">
        <v>0</v>
      </c>
      <c r="P37" s="71">
        <v>0</v>
      </c>
      <c r="Q37" s="71">
        <v>0</v>
      </c>
      <c r="R37" s="71">
        <v>0</v>
      </c>
      <c r="S37" s="134"/>
      <c r="T37" s="134"/>
      <c r="U37" s="134"/>
      <c r="V37" s="30" t="s">
        <v>25</v>
      </c>
      <c r="W37" s="22" t="s">
        <v>25</v>
      </c>
      <c r="X37" s="30">
        <v>4200</v>
      </c>
      <c r="Y37" s="29" t="s">
        <v>25</v>
      </c>
      <c r="Z37" s="29" t="s">
        <v>24</v>
      </c>
      <c r="AA37" s="29">
        <v>11924</v>
      </c>
      <c r="AB37" s="58" t="s">
        <v>176</v>
      </c>
      <c r="AE37" s="30">
        <f t="shared" si="0"/>
        <v>4200</v>
      </c>
      <c r="AF37" s="56">
        <v>8062</v>
      </c>
      <c r="AG37" s="30">
        <v>1531.78</v>
      </c>
      <c r="AH37" s="30">
        <v>9593.7800000000007</v>
      </c>
    </row>
    <row r="38" spans="1:34" x14ac:dyDescent="0.3">
      <c r="A38" s="22">
        <v>36</v>
      </c>
      <c r="B38" s="23">
        <v>1043205843</v>
      </c>
      <c r="C38" s="24" t="s">
        <v>20</v>
      </c>
      <c r="D38" s="117" t="s">
        <v>640</v>
      </c>
      <c r="E38" s="26" t="s">
        <v>217</v>
      </c>
      <c r="F38" s="114" t="s">
        <v>640</v>
      </c>
      <c r="G38" s="26" t="e">
        <v>#N/A</v>
      </c>
      <c r="H38" s="26" t="e">
        <v>#N/A</v>
      </c>
      <c r="I38" s="26" t="s">
        <v>20</v>
      </c>
      <c r="J38" s="70">
        <v>59.826790000000003</v>
      </c>
      <c r="K38" s="71">
        <v>0</v>
      </c>
      <c r="L38" s="71">
        <v>0</v>
      </c>
      <c r="M38" s="71">
        <v>0</v>
      </c>
      <c r="N38" s="71">
        <v>0</v>
      </c>
      <c r="O38" s="71">
        <v>1000</v>
      </c>
      <c r="P38" s="71">
        <v>83.333333333333329</v>
      </c>
      <c r="Q38" s="71">
        <v>0</v>
      </c>
      <c r="R38" s="71">
        <v>0</v>
      </c>
      <c r="S38" s="134"/>
      <c r="T38" s="134"/>
      <c r="U38" s="134"/>
      <c r="V38" s="30" t="s">
        <v>25</v>
      </c>
      <c r="W38" s="22" t="s">
        <v>25</v>
      </c>
      <c r="X38" s="30" t="s">
        <v>25</v>
      </c>
      <c r="Y38" s="29" t="s">
        <v>25</v>
      </c>
      <c r="Z38" s="29" t="s">
        <v>24</v>
      </c>
      <c r="AA38" s="29">
        <v>11081</v>
      </c>
      <c r="AB38" s="58" t="s">
        <v>176</v>
      </c>
      <c r="AE38" s="30">
        <f t="shared" si="0"/>
        <v>11081</v>
      </c>
      <c r="AF38" s="56">
        <v>11081</v>
      </c>
      <c r="AG38" s="30">
        <v>2105.39</v>
      </c>
      <c r="AH38" s="30">
        <v>13186.39</v>
      </c>
    </row>
    <row r="39" spans="1:34" x14ac:dyDescent="0.3">
      <c r="A39" s="22">
        <v>37</v>
      </c>
      <c r="B39" s="23">
        <v>1043205582</v>
      </c>
      <c r="C39" s="24" t="s">
        <v>20</v>
      </c>
      <c r="D39" s="117" t="s">
        <v>641</v>
      </c>
      <c r="E39" s="26" t="s">
        <v>22</v>
      </c>
      <c r="F39" s="114" t="s">
        <v>642</v>
      </c>
      <c r="G39" s="26" t="e">
        <v>#N/A</v>
      </c>
      <c r="H39" s="26" t="e">
        <v>#N/A</v>
      </c>
      <c r="I39" s="26" t="s">
        <v>20</v>
      </c>
      <c r="J39" s="70">
        <v>37432.75</v>
      </c>
      <c r="K39" s="71">
        <v>2</v>
      </c>
      <c r="L39" s="71">
        <v>8</v>
      </c>
      <c r="M39" s="71">
        <v>2</v>
      </c>
      <c r="N39" s="71">
        <v>0.16666666666666666</v>
      </c>
      <c r="O39" s="71">
        <v>0</v>
      </c>
      <c r="P39" s="71">
        <v>0</v>
      </c>
      <c r="Q39" s="71">
        <v>0</v>
      </c>
      <c r="R39" s="71">
        <v>3</v>
      </c>
      <c r="S39" s="134"/>
      <c r="T39" s="134"/>
      <c r="U39" s="134"/>
      <c r="V39" s="30">
        <v>105524</v>
      </c>
      <c r="W39" s="22" t="s">
        <v>25</v>
      </c>
      <c r="X39" s="30">
        <v>1200</v>
      </c>
      <c r="Y39" s="29" t="s">
        <v>25</v>
      </c>
      <c r="Z39" s="29" t="s">
        <v>24</v>
      </c>
      <c r="AA39" s="29" t="s">
        <v>37</v>
      </c>
      <c r="AB39" s="58" t="s">
        <v>176</v>
      </c>
      <c r="AE39" s="30">
        <f t="shared" si="0"/>
        <v>1200</v>
      </c>
      <c r="AF39" s="56">
        <v>53362</v>
      </c>
      <c r="AG39" s="30">
        <v>10138.780000000001</v>
      </c>
      <c r="AH39" s="30">
        <v>63500.78</v>
      </c>
    </row>
    <row r="40" spans="1:34" ht="49.5" x14ac:dyDescent="0.3">
      <c r="A40" s="22">
        <v>38</v>
      </c>
      <c r="B40" s="23">
        <v>1043205214</v>
      </c>
      <c r="C40" s="24" t="s">
        <v>20</v>
      </c>
      <c r="D40" s="117" t="s">
        <v>643</v>
      </c>
      <c r="E40" s="26" t="s">
        <v>22</v>
      </c>
      <c r="F40" s="114" t="s">
        <v>643</v>
      </c>
      <c r="G40" s="26" t="e">
        <v>#N/A</v>
      </c>
      <c r="H40" s="26" t="e">
        <v>#N/A</v>
      </c>
      <c r="I40" s="26" t="s">
        <v>20</v>
      </c>
      <c r="J40" s="70">
        <v>69226.11</v>
      </c>
      <c r="K40" s="71">
        <v>0</v>
      </c>
      <c r="L40" s="71">
        <v>1</v>
      </c>
      <c r="M40" s="71">
        <v>0</v>
      </c>
      <c r="N40" s="71">
        <v>0</v>
      </c>
      <c r="O40" s="71">
        <v>2</v>
      </c>
      <c r="P40" s="71">
        <v>0.16666666666666666</v>
      </c>
      <c r="Q40" s="71">
        <v>0</v>
      </c>
      <c r="R40" s="71">
        <v>0</v>
      </c>
      <c r="S40" s="134"/>
      <c r="T40" s="134"/>
      <c r="U40" s="134"/>
      <c r="V40" s="30" t="s">
        <v>25</v>
      </c>
      <c r="W40" s="22" t="s">
        <v>25</v>
      </c>
      <c r="X40" s="30" t="s">
        <v>25</v>
      </c>
      <c r="Y40" s="29" t="s">
        <v>25</v>
      </c>
      <c r="Z40" s="29">
        <v>47059</v>
      </c>
      <c r="AA40" s="29" t="s">
        <v>24</v>
      </c>
      <c r="AB40" s="58" t="s">
        <v>176</v>
      </c>
      <c r="AE40" s="30">
        <f t="shared" si="0"/>
        <v>47059</v>
      </c>
      <c r="AF40" s="56">
        <v>47059</v>
      </c>
      <c r="AG40" s="30">
        <v>8941.2099999999991</v>
      </c>
      <c r="AH40" s="30">
        <v>56000.21</v>
      </c>
    </row>
    <row r="41" spans="1:34" ht="33" x14ac:dyDescent="0.3">
      <c r="A41" s="22">
        <v>39</v>
      </c>
      <c r="B41" s="23">
        <v>1043205580</v>
      </c>
      <c r="C41" s="24" t="s">
        <v>20</v>
      </c>
      <c r="D41" s="117" t="s">
        <v>644</v>
      </c>
      <c r="E41" s="26" t="s">
        <v>22</v>
      </c>
      <c r="F41" s="114" t="s">
        <v>644</v>
      </c>
      <c r="G41" s="26" t="e">
        <v>#N/A</v>
      </c>
      <c r="H41" s="26" t="e">
        <v>#N/A</v>
      </c>
      <c r="I41" s="26" t="s">
        <v>20</v>
      </c>
      <c r="J41" s="70">
        <v>36851</v>
      </c>
      <c r="K41" s="71">
        <v>4</v>
      </c>
      <c r="L41" s="71">
        <v>36</v>
      </c>
      <c r="M41" s="71">
        <v>0</v>
      </c>
      <c r="N41" s="71">
        <v>0</v>
      </c>
      <c r="O41" s="71">
        <v>1</v>
      </c>
      <c r="P41" s="71">
        <v>8.3333333333333329E-2</v>
      </c>
      <c r="Q41" s="71">
        <v>0</v>
      </c>
      <c r="R41" s="71">
        <v>0</v>
      </c>
      <c r="S41" s="134"/>
      <c r="T41" s="134"/>
      <c r="U41" s="134"/>
      <c r="V41" s="30">
        <v>120525</v>
      </c>
      <c r="W41" s="22" t="s">
        <v>25</v>
      </c>
      <c r="X41" s="30" t="s">
        <v>25</v>
      </c>
      <c r="Y41" s="29" t="s">
        <v>25</v>
      </c>
      <c r="Z41" s="29" t="s">
        <v>24</v>
      </c>
      <c r="AA41" s="29" t="s">
        <v>24</v>
      </c>
      <c r="AB41" s="58" t="s">
        <v>176</v>
      </c>
      <c r="AE41" s="30">
        <f t="shared" si="0"/>
        <v>120525</v>
      </c>
      <c r="AF41" s="56">
        <v>120525</v>
      </c>
      <c r="AG41" s="30">
        <v>22899.75</v>
      </c>
      <c r="AH41" s="30">
        <v>143424.75</v>
      </c>
    </row>
    <row r="42" spans="1:34" x14ac:dyDescent="0.3">
      <c r="A42" s="22">
        <v>40</v>
      </c>
      <c r="B42" s="31">
        <v>1042003180</v>
      </c>
      <c r="C42" s="24"/>
      <c r="D42" s="117" t="s">
        <v>645</v>
      </c>
      <c r="E42" s="26" t="s">
        <v>22</v>
      </c>
      <c r="F42" s="114"/>
      <c r="G42" s="26"/>
      <c r="H42" s="26"/>
      <c r="I42" s="26"/>
      <c r="J42" s="70"/>
      <c r="K42" s="71"/>
      <c r="L42" s="71"/>
      <c r="M42" s="71"/>
      <c r="N42" s="71"/>
      <c r="O42" s="71"/>
      <c r="P42" s="71"/>
      <c r="Q42" s="71"/>
      <c r="R42" s="71"/>
      <c r="S42" s="134"/>
      <c r="T42" s="134"/>
      <c r="U42" s="134"/>
      <c r="V42" s="30">
        <v>3700</v>
      </c>
      <c r="W42" s="22" t="s">
        <v>25</v>
      </c>
      <c r="X42" s="30" t="s">
        <v>25</v>
      </c>
      <c r="Y42" s="29" t="s">
        <v>25</v>
      </c>
      <c r="Z42" s="29" t="s">
        <v>24</v>
      </c>
      <c r="AA42" s="29" t="s">
        <v>24</v>
      </c>
      <c r="AB42" s="58" t="s">
        <v>176</v>
      </c>
      <c r="AE42" s="30">
        <f t="shared" si="0"/>
        <v>3700</v>
      </c>
      <c r="AF42" s="56">
        <v>3700</v>
      </c>
      <c r="AG42" s="30">
        <v>703</v>
      </c>
      <c r="AH42" s="30">
        <v>4403</v>
      </c>
    </row>
    <row r="43" spans="1:34" ht="33" x14ac:dyDescent="0.3">
      <c r="A43" s="22">
        <v>41</v>
      </c>
      <c r="B43" s="23">
        <v>1042003391</v>
      </c>
      <c r="C43" s="24" t="s">
        <v>20</v>
      </c>
      <c r="D43" s="117" t="s">
        <v>646</v>
      </c>
      <c r="E43" s="26" t="s">
        <v>22</v>
      </c>
      <c r="F43" s="114" t="s">
        <v>647</v>
      </c>
      <c r="G43" s="26" t="e">
        <v>#N/A</v>
      </c>
      <c r="H43" s="26" t="e">
        <v>#N/A</v>
      </c>
      <c r="I43" s="26" t="s">
        <v>20</v>
      </c>
      <c r="J43" s="70">
        <v>1</v>
      </c>
      <c r="K43" s="71">
        <v>0</v>
      </c>
      <c r="L43" s="71">
        <v>0</v>
      </c>
      <c r="M43" s="71">
        <v>0</v>
      </c>
      <c r="N43" s="71">
        <v>0</v>
      </c>
      <c r="O43" s="71">
        <v>0</v>
      </c>
      <c r="P43" s="71">
        <v>0</v>
      </c>
      <c r="Q43" s="71">
        <v>0</v>
      </c>
      <c r="R43" s="71">
        <v>0</v>
      </c>
      <c r="S43" s="134"/>
      <c r="T43" s="134"/>
      <c r="U43" s="134"/>
      <c r="V43" s="30">
        <v>6095</v>
      </c>
      <c r="W43" s="22" t="s">
        <v>25</v>
      </c>
      <c r="X43" s="30">
        <v>550</v>
      </c>
      <c r="Y43" s="29" t="s">
        <v>25</v>
      </c>
      <c r="Z43" s="29" t="s">
        <v>24</v>
      </c>
      <c r="AA43" s="29" t="s">
        <v>37</v>
      </c>
      <c r="AB43" s="58">
        <v>5035</v>
      </c>
      <c r="AE43" s="30">
        <f t="shared" si="0"/>
        <v>550</v>
      </c>
      <c r="AF43" s="56">
        <v>3893.3333333333335</v>
      </c>
      <c r="AG43" s="30">
        <v>739.73333333333346</v>
      </c>
      <c r="AH43" s="30">
        <v>4633.0666666666666</v>
      </c>
    </row>
    <row r="44" spans="1:34" ht="33" x14ac:dyDescent="0.3">
      <c r="A44" s="22">
        <v>42</v>
      </c>
      <c r="B44" s="23">
        <v>1042003392</v>
      </c>
      <c r="C44" s="24" t="s">
        <v>20</v>
      </c>
      <c r="D44" s="117" t="s">
        <v>648</v>
      </c>
      <c r="E44" s="26" t="s">
        <v>22</v>
      </c>
      <c r="F44" s="114" t="s">
        <v>649</v>
      </c>
      <c r="G44" s="26" t="e">
        <v>#N/A</v>
      </c>
      <c r="H44" s="26" t="e">
        <v>#N/A</v>
      </c>
      <c r="I44" s="26" t="s">
        <v>20</v>
      </c>
      <c r="J44" s="70">
        <v>3352.98333</v>
      </c>
      <c r="K44" s="71">
        <v>0</v>
      </c>
      <c r="L44" s="71">
        <v>0</v>
      </c>
      <c r="M44" s="71">
        <v>0</v>
      </c>
      <c r="N44" s="71">
        <v>0</v>
      </c>
      <c r="O44" s="71">
        <v>3</v>
      </c>
      <c r="P44" s="71">
        <v>0.25</v>
      </c>
      <c r="Q44" s="71">
        <v>0</v>
      </c>
      <c r="R44" s="71">
        <v>0</v>
      </c>
      <c r="S44" s="134"/>
      <c r="T44" s="134"/>
      <c r="U44" s="134"/>
      <c r="V44" s="30">
        <v>6985</v>
      </c>
      <c r="W44" s="22" t="s">
        <v>25</v>
      </c>
      <c r="X44" s="30" t="s">
        <v>25</v>
      </c>
      <c r="Y44" s="29" t="s">
        <v>25</v>
      </c>
      <c r="Z44" s="29" t="s">
        <v>24</v>
      </c>
      <c r="AA44" s="29" t="s">
        <v>37</v>
      </c>
      <c r="AB44" s="58">
        <v>5754</v>
      </c>
      <c r="AE44" s="30">
        <f t="shared" si="0"/>
        <v>5754</v>
      </c>
      <c r="AF44" s="56">
        <v>6369.5</v>
      </c>
      <c r="AG44" s="30">
        <v>1210.2049999999999</v>
      </c>
      <c r="AH44" s="30">
        <v>7579.7049999999999</v>
      </c>
    </row>
    <row r="45" spans="1:34" ht="33" x14ac:dyDescent="0.3">
      <c r="A45" s="22">
        <v>43</v>
      </c>
      <c r="B45" s="23">
        <v>1042003393</v>
      </c>
      <c r="C45" s="24" t="s">
        <v>20</v>
      </c>
      <c r="D45" s="117" t="s">
        <v>650</v>
      </c>
      <c r="E45" s="26" t="s">
        <v>22</v>
      </c>
      <c r="F45" s="114" t="s">
        <v>651</v>
      </c>
      <c r="G45" s="26" t="e">
        <v>#N/A</v>
      </c>
      <c r="H45" s="26" t="e">
        <v>#N/A</v>
      </c>
      <c r="I45" s="26" t="s">
        <v>20</v>
      </c>
      <c r="J45" s="70">
        <v>3352.98333</v>
      </c>
      <c r="K45" s="71">
        <v>0</v>
      </c>
      <c r="L45" s="71">
        <v>0</v>
      </c>
      <c r="M45" s="71">
        <v>0</v>
      </c>
      <c r="N45" s="71">
        <v>0</v>
      </c>
      <c r="O45" s="71">
        <v>3</v>
      </c>
      <c r="P45" s="71">
        <v>0.25</v>
      </c>
      <c r="Q45" s="71">
        <v>0</v>
      </c>
      <c r="R45" s="71">
        <v>0</v>
      </c>
      <c r="S45" s="134"/>
      <c r="T45" s="134"/>
      <c r="U45" s="134"/>
      <c r="V45" s="30">
        <v>8766</v>
      </c>
      <c r="W45" s="22" t="s">
        <v>25</v>
      </c>
      <c r="X45" s="30" t="s">
        <v>25</v>
      </c>
      <c r="Y45" s="29" t="s">
        <v>25</v>
      </c>
      <c r="Z45" s="29" t="s">
        <v>24</v>
      </c>
      <c r="AA45" s="29" t="s">
        <v>37</v>
      </c>
      <c r="AB45" s="58">
        <v>7193</v>
      </c>
      <c r="AE45" s="30">
        <f t="shared" si="0"/>
        <v>7193</v>
      </c>
      <c r="AF45" s="56">
        <v>7979.5</v>
      </c>
      <c r="AG45" s="30">
        <v>1516.105</v>
      </c>
      <c r="AH45" s="30">
        <v>9495.6049999999996</v>
      </c>
    </row>
    <row r="46" spans="1:34" ht="33" x14ac:dyDescent="0.3">
      <c r="A46" s="22">
        <v>44</v>
      </c>
      <c r="B46" s="23">
        <v>1042003398</v>
      </c>
      <c r="C46" s="24" t="s">
        <v>20</v>
      </c>
      <c r="D46" s="117" t="s">
        <v>652</v>
      </c>
      <c r="E46" s="26" t="s">
        <v>22</v>
      </c>
      <c r="F46" s="114" t="s">
        <v>653</v>
      </c>
      <c r="G46" s="26" t="e">
        <v>#N/A</v>
      </c>
      <c r="H46" s="26" t="e">
        <v>#N/A</v>
      </c>
      <c r="I46" s="26" t="s">
        <v>20</v>
      </c>
      <c r="J46" s="70">
        <v>1</v>
      </c>
      <c r="K46" s="71">
        <v>0</v>
      </c>
      <c r="L46" s="71">
        <v>0</v>
      </c>
      <c r="M46" s="71">
        <v>0</v>
      </c>
      <c r="N46" s="71">
        <v>0</v>
      </c>
      <c r="O46" s="71">
        <v>0</v>
      </c>
      <c r="P46" s="71">
        <v>0</v>
      </c>
      <c r="Q46" s="71">
        <v>0</v>
      </c>
      <c r="R46" s="71">
        <v>0</v>
      </c>
      <c r="S46" s="134"/>
      <c r="T46" s="134"/>
      <c r="U46" s="134"/>
      <c r="V46" s="30">
        <v>18101</v>
      </c>
      <c r="W46" s="22" t="s">
        <v>25</v>
      </c>
      <c r="X46" s="30" t="s">
        <v>25</v>
      </c>
      <c r="Y46" s="29" t="s">
        <v>25</v>
      </c>
      <c r="Z46" s="29" t="s">
        <v>24</v>
      </c>
      <c r="AA46" s="29" t="s">
        <v>37</v>
      </c>
      <c r="AB46" s="58" t="s">
        <v>176</v>
      </c>
      <c r="AE46" s="30">
        <f t="shared" si="0"/>
        <v>18101</v>
      </c>
      <c r="AF46" s="56">
        <v>18101</v>
      </c>
      <c r="AG46" s="30">
        <v>3439.19</v>
      </c>
      <c r="AH46" s="30">
        <v>21540.19</v>
      </c>
    </row>
    <row r="47" spans="1:34" ht="33" x14ac:dyDescent="0.3">
      <c r="A47" s="22">
        <v>45</v>
      </c>
      <c r="B47" s="23">
        <v>1042003400</v>
      </c>
      <c r="C47" s="24" t="s">
        <v>20</v>
      </c>
      <c r="D47" s="117" t="s">
        <v>654</v>
      </c>
      <c r="E47" s="26" t="s">
        <v>22</v>
      </c>
      <c r="F47" s="114" t="s">
        <v>655</v>
      </c>
      <c r="G47" s="26" t="e">
        <v>#N/A</v>
      </c>
      <c r="H47" s="26" t="e">
        <v>#N/A</v>
      </c>
      <c r="I47" s="26" t="s">
        <v>20</v>
      </c>
      <c r="J47" s="70">
        <v>1</v>
      </c>
      <c r="K47" s="71">
        <v>0</v>
      </c>
      <c r="L47" s="71">
        <v>0</v>
      </c>
      <c r="M47" s="71">
        <v>0</v>
      </c>
      <c r="N47" s="71">
        <v>0</v>
      </c>
      <c r="O47" s="71">
        <v>0</v>
      </c>
      <c r="P47" s="71">
        <v>0</v>
      </c>
      <c r="Q47" s="71">
        <v>0</v>
      </c>
      <c r="R47" s="71">
        <v>0</v>
      </c>
      <c r="S47" s="134"/>
      <c r="T47" s="134"/>
      <c r="U47" s="134"/>
      <c r="V47" s="30">
        <v>29090</v>
      </c>
      <c r="W47" s="22" t="s">
        <v>25</v>
      </c>
      <c r="X47" s="30" t="s">
        <v>25</v>
      </c>
      <c r="Y47" s="29" t="s">
        <v>25</v>
      </c>
      <c r="Z47" s="29" t="s">
        <v>24</v>
      </c>
      <c r="AA47" s="29" t="s">
        <v>37</v>
      </c>
      <c r="AB47" s="58" t="s">
        <v>176</v>
      </c>
      <c r="AE47" s="30">
        <f t="shared" si="0"/>
        <v>29090</v>
      </c>
      <c r="AF47" s="56">
        <v>29090</v>
      </c>
      <c r="AG47" s="30">
        <v>5527.1</v>
      </c>
      <c r="AH47" s="30">
        <v>34617.1</v>
      </c>
    </row>
    <row r="48" spans="1:34" ht="33" x14ac:dyDescent="0.3">
      <c r="A48" s="22">
        <v>46</v>
      </c>
      <c r="B48" s="23">
        <v>1042003397</v>
      </c>
      <c r="C48" s="24" t="s">
        <v>20</v>
      </c>
      <c r="D48" s="117" t="s">
        <v>656</v>
      </c>
      <c r="E48" s="26" t="s">
        <v>22</v>
      </c>
      <c r="F48" s="114" t="s">
        <v>657</v>
      </c>
      <c r="G48" s="26" t="e">
        <v>#N/A</v>
      </c>
      <c r="H48" s="26" t="e">
        <v>#N/A</v>
      </c>
      <c r="I48" s="26" t="s">
        <v>20</v>
      </c>
      <c r="J48" s="70">
        <v>1</v>
      </c>
      <c r="K48" s="71">
        <v>0</v>
      </c>
      <c r="L48" s="71">
        <v>0</v>
      </c>
      <c r="M48" s="71">
        <v>0</v>
      </c>
      <c r="N48" s="71">
        <v>0</v>
      </c>
      <c r="O48" s="71">
        <v>0</v>
      </c>
      <c r="P48" s="71">
        <v>0</v>
      </c>
      <c r="Q48" s="71">
        <v>0</v>
      </c>
      <c r="R48" s="71">
        <v>0</v>
      </c>
      <c r="S48" s="134"/>
      <c r="T48" s="134"/>
      <c r="U48" s="134"/>
      <c r="V48" s="30">
        <v>29090</v>
      </c>
      <c r="W48" s="22" t="s">
        <v>25</v>
      </c>
      <c r="X48" s="30" t="s">
        <v>25</v>
      </c>
      <c r="Y48" s="29" t="s">
        <v>25</v>
      </c>
      <c r="Z48" s="29" t="s">
        <v>24</v>
      </c>
      <c r="AA48" s="29" t="s">
        <v>37</v>
      </c>
      <c r="AB48" s="58" t="s">
        <v>176</v>
      </c>
      <c r="AE48" s="30">
        <f t="shared" si="0"/>
        <v>29090</v>
      </c>
      <c r="AF48" s="56">
        <v>29090</v>
      </c>
      <c r="AG48" s="30">
        <v>5527.1</v>
      </c>
      <c r="AH48" s="30">
        <v>34617.1</v>
      </c>
    </row>
    <row r="49" spans="1:34" x14ac:dyDescent="0.3">
      <c r="A49" s="22">
        <v>47</v>
      </c>
      <c r="B49" s="23">
        <v>10432845061</v>
      </c>
      <c r="C49" s="24" t="s">
        <v>20</v>
      </c>
      <c r="D49" s="117" t="s">
        <v>658</v>
      </c>
      <c r="E49" s="26" t="s">
        <v>22</v>
      </c>
      <c r="F49" s="114" t="s">
        <v>658</v>
      </c>
      <c r="G49" s="26" t="e">
        <v>#N/A</v>
      </c>
      <c r="H49" s="26" t="e">
        <v>#N/A</v>
      </c>
      <c r="I49" s="26" t="s">
        <v>20</v>
      </c>
      <c r="J49" s="70">
        <v>1</v>
      </c>
      <c r="K49" s="71">
        <v>0</v>
      </c>
      <c r="L49" s="71">
        <v>0</v>
      </c>
      <c r="M49" s="71">
        <v>0</v>
      </c>
      <c r="N49" s="71">
        <v>0</v>
      </c>
      <c r="O49" s="71">
        <v>0</v>
      </c>
      <c r="P49" s="71">
        <v>0</v>
      </c>
      <c r="Q49" s="71">
        <v>0</v>
      </c>
      <c r="R49" s="71">
        <v>0</v>
      </c>
      <c r="S49" s="134"/>
      <c r="T49" s="134"/>
      <c r="U49" s="134"/>
      <c r="V49" s="30" t="s">
        <v>25</v>
      </c>
      <c r="W49" s="22" t="s">
        <v>25</v>
      </c>
      <c r="X49" s="30">
        <v>350</v>
      </c>
      <c r="Y49" s="29" t="s">
        <v>25</v>
      </c>
      <c r="Z49" s="29" t="s">
        <v>24</v>
      </c>
      <c r="AA49" s="29" t="s">
        <v>24</v>
      </c>
      <c r="AB49" s="58" t="s">
        <v>176</v>
      </c>
      <c r="AE49" s="30">
        <f t="shared" si="0"/>
        <v>350</v>
      </c>
      <c r="AF49" s="56">
        <v>350</v>
      </c>
      <c r="AG49" s="30">
        <v>66.5</v>
      </c>
      <c r="AH49" s="30">
        <v>416.5</v>
      </c>
    </row>
    <row r="50" spans="1:34" x14ac:dyDescent="0.3">
      <c r="A50" s="22">
        <v>48</v>
      </c>
      <c r="B50" s="118">
        <v>1042099019</v>
      </c>
      <c r="C50" s="118" t="s">
        <v>20</v>
      </c>
      <c r="D50" s="117" t="s">
        <v>659</v>
      </c>
      <c r="E50" s="26" t="s">
        <v>66</v>
      </c>
      <c r="F50" s="114" t="s">
        <v>659</v>
      </c>
      <c r="G50" s="138" t="e">
        <v>#N/A</v>
      </c>
      <c r="H50" s="138" t="e">
        <v>#N/A</v>
      </c>
      <c r="I50" s="138" t="s">
        <v>20</v>
      </c>
      <c r="J50" s="139">
        <v>1524.07</v>
      </c>
      <c r="K50" s="140">
        <v>0</v>
      </c>
      <c r="L50" s="140">
        <v>26</v>
      </c>
      <c r="M50" s="140">
        <v>40</v>
      </c>
      <c r="N50" s="140">
        <v>3.3333333333333335</v>
      </c>
      <c r="O50" s="140">
        <v>1</v>
      </c>
      <c r="P50" s="140">
        <v>8.3333333333333329E-2</v>
      </c>
      <c r="Q50" s="140">
        <v>0</v>
      </c>
      <c r="R50" s="140">
        <v>4</v>
      </c>
      <c r="S50" s="141"/>
      <c r="T50" s="141"/>
      <c r="U50" s="141"/>
      <c r="V50" s="30" t="s">
        <v>25</v>
      </c>
      <c r="W50" s="22" t="s">
        <v>25</v>
      </c>
      <c r="X50" s="30">
        <v>4900</v>
      </c>
      <c r="Y50" s="29">
        <v>500</v>
      </c>
      <c r="Z50" s="29" t="s">
        <v>24</v>
      </c>
      <c r="AA50" s="29" t="s">
        <v>24</v>
      </c>
      <c r="AB50" s="58" t="s">
        <v>176</v>
      </c>
      <c r="AE50" s="30">
        <f t="shared" si="0"/>
        <v>500</v>
      </c>
      <c r="AF50" s="56">
        <v>2700</v>
      </c>
      <c r="AG50" s="30">
        <v>513</v>
      </c>
      <c r="AH50" s="30">
        <v>3213</v>
      </c>
    </row>
    <row r="51" spans="1:34" ht="33" x14ac:dyDescent="0.3">
      <c r="A51" s="22">
        <v>49</v>
      </c>
      <c r="B51" s="23">
        <v>1043247623</v>
      </c>
      <c r="C51" s="24" t="s">
        <v>20</v>
      </c>
      <c r="D51" s="117" t="s">
        <v>660</v>
      </c>
      <c r="E51" s="26" t="s">
        <v>22</v>
      </c>
      <c r="F51" s="114" t="s">
        <v>661</v>
      </c>
      <c r="G51" s="26" t="e">
        <v>#N/A</v>
      </c>
      <c r="H51" s="26" t="e">
        <v>#N/A</v>
      </c>
      <c r="I51" s="26" t="s">
        <v>20</v>
      </c>
      <c r="J51" s="70">
        <v>1</v>
      </c>
      <c r="K51" s="71">
        <v>0</v>
      </c>
      <c r="L51" s="71">
        <v>0</v>
      </c>
      <c r="M51" s="71">
        <v>0</v>
      </c>
      <c r="N51" s="71">
        <v>0</v>
      </c>
      <c r="O51" s="71">
        <v>0</v>
      </c>
      <c r="P51" s="71">
        <v>0</v>
      </c>
      <c r="Q51" s="71">
        <v>0</v>
      </c>
      <c r="R51" s="71">
        <v>0</v>
      </c>
      <c r="S51" s="134"/>
      <c r="T51" s="134"/>
      <c r="U51" s="134"/>
      <c r="V51" s="30" t="s">
        <v>25</v>
      </c>
      <c r="W51" s="22" t="s">
        <v>25</v>
      </c>
      <c r="X51" s="30" t="s">
        <v>25</v>
      </c>
      <c r="Y51" s="29" t="s">
        <v>25</v>
      </c>
      <c r="Z51" s="29">
        <v>20084</v>
      </c>
      <c r="AA51" s="29" t="s">
        <v>24</v>
      </c>
      <c r="AB51" s="58" t="s">
        <v>176</v>
      </c>
      <c r="AE51" s="30">
        <f t="shared" si="0"/>
        <v>20084</v>
      </c>
      <c r="AF51" s="56">
        <v>20084</v>
      </c>
      <c r="AG51" s="30">
        <v>3815.96</v>
      </c>
      <c r="AH51" s="30">
        <v>23899.96</v>
      </c>
    </row>
    <row r="52" spans="1:34" ht="33" x14ac:dyDescent="0.3">
      <c r="A52" s="22">
        <v>50</v>
      </c>
      <c r="B52" s="23">
        <v>1043289671</v>
      </c>
      <c r="C52" s="24" t="s">
        <v>20</v>
      </c>
      <c r="D52" s="117" t="s">
        <v>662</v>
      </c>
      <c r="E52" s="26" t="s">
        <v>22</v>
      </c>
      <c r="F52" s="114" t="s">
        <v>662</v>
      </c>
      <c r="G52" s="26" t="e">
        <v>#N/A</v>
      </c>
      <c r="H52" s="26" t="e">
        <v>#N/A</v>
      </c>
      <c r="I52" s="26" t="s">
        <v>20</v>
      </c>
      <c r="J52" s="70">
        <v>1</v>
      </c>
      <c r="K52" s="71">
        <v>0</v>
      </c>
      <c r="L52" s="71">
        <v>0</v>
      </c>
      <c r="M52" s="71">
        <v>0</v>
      </c>
      <c r="N52" s="71">
        <v>0</v>
      </c>
      <c r="O52" s="71">
        <v>0</v>
      </c>
      <c r="P52" s="71">
        <v>0</v>
      </c>
      <c r="Q52" s="71">
        <v>0</v>
      </c>
      <c r="R52" s="71">
        <v>0</v>
      </c>
      <c r="S52" s="134"/>
      <c r="T52" s="134"/>
      <c r="U52" s="134"/>
      <c r="V52" s="30">
        <v>24116</v>
      </c>
      <c r="W52" s="22" t="s">
        <v>25</v>
      </c>
      <c r="X52" s="30" t="s">
        <v>25</v>
      </c>
      <c r="Y52" s="29" t="s">
        <v>25</v>
      </c>
      <c r="Z52" s="29" t="s">
        <v>24</v>
      </c>
      <c r="AA52" s="29">
        <v>15553</v>
      </c>
      <c r="AB52" s="58" t="s">
        <v>176</v>
      </c>
      <c r="AE52" s="30">
        <f t="shared" si="0"/>
        <v>15553</v>
      </c>
      <c r="AF52" s="56">
        <v>19834.5</v>
      </c>
      <c r="AG52" s="30">
        <v>3768.5549999999998</v>
      </c>
      <c r="AH52" s="30">
        <v>23603.055</v>
      </c>
    </row>
    <row r="53" spans="1:34" ht="33" x14ac:dyDescent="0.3">
      <c r="A53" s="22">
        <v>51</v>
      </c>
      <c r="B53" s="23">
        <v>1043289582</v>
      </c>
      <c r="C53" s="24" t="s">
        <v>20</v>
      </c>
      <c r="D53" s="117" t="s">
        <v>663</v>
      </c>
      <c r="E53" s="26" t="s">
        <v>22</v>
      </c>
      <c r="F53" s="114" t="s">
        <v>664</v>
      </c>
      <c r="G53" s="26" t="e">
        <v>#N/A</v>
      </c>
      <c r="H53" s="26" t="e">
        <v>#N/A</v>
      </c>
      <c r="I53" s="26" t="s">
        <v>20</v>
      </c>
      <c r="J53" s="70">
        <v>14423</v>
      </c>
      <c r="K53" s="71">
        <v>18</v>
      </c>
      <c r="L53" s="71">
        <v>1</v>
      </c>
      <c r="M53" s="71">
        <v>12</v>
      </c>
      <c r="N53" s="71">
        <v>1</v>
      </c>
      <c r="O53" s="71">
        <v>0</v>
      </c>
      <c r="P53" s="71">
        <v>0</v>
      </c>
      <c r="Q53" s="71">
        <v>0</v>
      </c>
      <c r="R53" s="71">
        <v>0</v>
      </c>
      <c r="S53" s="134"/>
      <c r="T53" s="134"/>
      <c r="U53" s="134"/>
      <c r="V53" s="30">
        <v>60484</v>
      </c>
      <c r="W53" s="22" t="s">
        <v>25</v>
      </c>
      <c r="X53" s="30" t="s">
        <v>25</v>
      </c>
      <c r="Y53" s="29" t="s">
        <v>25</v>
      </c>
      <c r="Z53" s="29" t="s">
        <v>24</v>
      </c>
      <c r="AA53" s="29" t="s">
        <v>37</v>
      </c>
      <c r="AB53" s="58" t="s">
        <v>37</v>
      </c>
      <c r="AE53" s="30">
        <f t="shared" si="0"/>
        <v>60484</v>
      </c>
      <c r="AF53" s="56">
        <v>60484</v>
      </c>
      <c r="AG53" s="30">
        <v>11491.96</v>
      </c>
      <c r="AH53" s="30">
        <v>71975.959999999992</v>
      </c>
    </row>
    <row r="54" spans="1:34" ht="33" x14ac:dyDescent="0.3">
      <c r="A54" s="22">
        <v>52</v>
      </c>
      <c r="B54" s="23">
        <v>1043289521</v>
      </c>
      <c r="C54" s="24" t="s">
        <v>20</v>
      </c>
      <c r="D54" s="117" t="s">
        <v>665</v>
      </c>
      <c r="E54" s="26" t="s">
        <v>22</v>
      </c>
      <c r="F54" s="114" t="s">
        <v>665</v>
      </c>
      <c r="G54" s="26" t="e">
        <v>#N/A</v>
      </c>
      <c r="H54" s="26" t="e">
        <v>#N/A</v>
      </c>
      <c r="I54" s="26" t="s">
        <v>20</v>
      </c>
      <c r="J54" s="70">
        <v>17881</v>
      </c>
      <c r="K54" s="71">
        <v>3</v>
      </c>
      <c r="L54" s="71">
        <v>17</v>
      </c>
      <c r="M54" s="71">
        <v>4</v>
      </c>
      <c r="N54" s="71">
        <v>0.33333333333333331</v>
      </c>
      <c r="O54" s="71">
        <v>0</v>
      </c>
      <c r="P54" s="71">
        <v>0</v>
      </c>
      <c r="Q54" s="71">
        <v>0</v>
      </c>
      <c r="R54" s="71">
        <v>0</v>
      </c>
      <c r="S54" s="134"/>
      <c r="T54" s="134"/>
      <c r="U54" s="134"/>
      <c r="V54" s="30">
        <v>74989</v>
      </c>
      <c r="W54" s="22" t="s">
        <v>25</v>
      </c>
      <c r="X54" s="30" t="s">
        <v>25</v>
      </c>
      <c r="Y54" s="29" t="s">
        <v>25</v>
      </c>
      <c r="Z54" s="29" t="s">
        <v>24</v>
      </c>
      <c r="AA54" s="29">
        <v>87100</v>
      </c>
      <c r="AB54" s="58">
        <v>62575</v>
      </c>
      <c r="AE54" s="30">
        <f t="shared" si="0"/>
        <v>62575</v>
      </c>
      <c r="AF54" s="56">
        <v>74888</v>
      </c>
      <c r="AG54" s="30">
        <v>14228.72</v>
      </c>
      <c r="AH54" s="30">
        <v>89116.72</v>
      </c>
    </row>
    <row r="55" spans="1:34" x14ac:dyDescent="0.3">
      <c r="A55" s="22">
        <v>53</v>
      </c>
      <c r="B55" s="23">
        <v>1043289522</v>
      </c>
      <c r="C55" s="24" t="s">
        <v>20</v>
      </c>
      <c r="D55" s="117" t="s">
        <v>666</v>
      </c>
      <c r="E55" s="26" t="s">
        <v>22</v>
      </c>
      <c r="F55" s="114" t="s">
        <v>666</v>
      </c>
      <c r="G55" s="26" t="e">
        <v>#N/A</v>
      </c>
      <c r="H55" s="26" t="e">
        <v>#N/A</v>
      </c>
      <c r="I55" s="26" t="s">
        <v>20</v>
      </c>
      <c r="J55" s="70">
        <v>26709.5</v>
      </c>
      <c r="K55" s="71">
        <v>30</v>
      </c>
      <c r="L55" s="71">
        <v>36</v>
      </c>
      <c r="M55" s="71">
        <v>6</v>
      </c>
      <c r="N55" s="71">
        <v>0.5</v>
      </c>
      <c r="O55" s="71">
        <v>0</v>
      </c>
      <c r="P55" s="71">
        <v>0</v>
      </c>
      <c r="Q55" s="71">
        <v>0</v>
      </c>
      <c r="R55" s="71">
        <v>0</v>
      </c>
      <c r="S55" s="134"/>
      <c r="T55" s="134"/>
      <c r="U55" s="134"/>
      <c r="V55" s="30">
        <v>112006</v>
      </c>
      <c r="W55" s="22" t="s">
        <v>25</v>
      </c>
      <c r="X55" s="30" t="s">
        <v>25</v>
      </c>
      <c r="Y55" s="29" t="s">
        <v>25</v>
      </c>
      <c r="Z55" s="29" t="s">
        <v>24</v>
      </c>
      <c r="AA55" s="29">
        <v>134797</v>
      </c>
      <c r="AB55" s="58">
        <v>93503</v>
      </c>
      <c r="AE55" s="30">
        <f t="shared" si="0"/>
        <v>93503</v>
      </c>
      <c r="AF55" s="56">
        <v>113435.33333333333</v>
      </c>
      <c r="AG55" s="30">
        <v>21552.71333333333</v>
      </c>
      <c r="AH55" s="30">
        <v>134988.04666666666</v>
      </c>
    </row>
    <row r="56" spans="1:34" ht="33" x14ac:dyDescent="0.3">
      <c r="A56" s="22">
        <v>54</v>
      </c>
      <c r="B56" s="23">
        <v>1043289581</v>
      </c>
      <c r="C56" s="24" t="s">
        <v>20</v>
      </c>
      <c r="D56" s="117" t="s">
        <v>667</v>
      </c>
      <c r="E56" s="26" t="s">
        <v>22</v>
      </c>
      <c r="F56" s="114" t="s">
        <v>667</v>
      </c>
      <c r="G56" s="26" t="e">
        <v>#N/A</v>
      </c>
      <c r="H56" s="26" t="e">
        <v>#N/A</v>
      </c>
      <c r="I56" s="26" t="s">
        <v>20</v>
      </c>
      <c r="J56" s="70">
        <v>37222</v>
      </c>
      <c r="K56" s="71">
        <v>28</v>
      </c>
      <c r="L56" s="71">
        <v>1</v>
      </c>
      <c r="M56" s="71">
        <v>3</v>
      </c>
      <c r="N56" s="71">
        <v>0.25</v>
      </c>
      <c r="O56" s="71">
        <v>0</v>
      </c>
      <c r="P56" s="71">
        <v>0</v>
      </c>
      <c r="Q56" s="71">
        <v>0</v>
      </c>
      <c r="R56" s="71">
        <v>0</v>
      </c>
      <c r="S56" s="134"/>
      <c r="T56" s="134"/>
      <c r="U56" s="134"/>
      <c r="V56" s="30">
        <v>156092</v>
      </c>
      <c r="W56" s="22" t="s">
        <v>25</v>
      </c>
      <c r="X56" s="30" t="s">
        <v>25</v>
      </c>
      <c r="Y56" s="29" t="s">
        <v>25</v>
      </c>
      <c r="Z56" s="29" t="s">
        <v>24</v>
      </c>
      <c r="AA56" s="29">
        <v>150351</v>
      </c>
      <c r="AB56" s="58">
        <v>101302</v>
      </c>
      <c r="AE56" s="30">
        <f t="shared" si="0"/>
        <v>101302</v>
      </c>
      <c r="AF56" s="56">
        <v>135915</v>
      </c>
      <c r="AG56" s="30">
        <v>25823.85</v>
      </c>
      <c r="AH56" s="30">
        <v>161738.85</v>
      </c>
    </row>
    <row r="57" spans="1:34" ht="33" x14ac:dyDescent="0.3">
      <c r="A57" s="22">
        <v>55</v>
      </c>
      <c r="B57" s="23">
        <v>1042003420</v>
      </c>
      <c r="C57" s="24" t="s">
        <v>20</v>
      </c>
      <c r="D57" s="117" t="s">
        <v>668</v>
      </c>
      <c r="E57" s="26" t="s">
        <v>22</v>
      </c>
      <c r="F57" s="114" t="s">
        <v>669</v>
      </c>
      <c r="G57" s="26" t="e">
        <v>#N/A</v>
      </c>
      <c r="H57" s="26" t="e">
        <v>#N/A</v>
      </c>
      <c r="I57" s="26" t="s">
        <v>20</v>
      </c>
      <c r="J57" s="70">
        <v>1</v>
      </c>
      <c r="K57" s="71">
        <v>0</v>
      </c>
      <c r="L57" s="71">
        <v>0</v>
      </c>
      <c r="M57" s="71">
        <v>0</v>
      </c>
      <c r="N57" s="71">
        <v>0</v>
      </c>
      <c r="O57" s="71">
        <v>0</v>
      </c>
      <c r="P57" s="71">
        <v>0</v>
      </c>
      <c r="Q57" s="71">
        <v>0</v>
      </c>
      <c r="R57" s="71">
        <v>0</v>
      </c>
      <c r="S57" s="134"/>
      <c r="T57" s="134"/>
      <c r="U57" s="134"/>
      <c r="V57" s="30">
        <v>426</v>
      </c>
      <c r="W57" s="22" t="s">
        <v>25</v>
      </c>
      <c r="X57" s="30" t="s">
        <v>25</v>
      </c>
      <c r="Y57" s="29" t="s">
        <v>25</v>
      </c>
      <c r="Z57" s="29" t="s">
        <v>24</v>
      </c>
      <c r="AA57" s="29" t="s">
        <v>37</v>
      </c>
      <c r="AB57" s="58">
        <v>769</v>
      </c>
      <c r="AE57" s="30">
        <f t="shared" si="0"/>
        <v>426</v>
      </c>
      <c r="AF57" s="56">
        <v>597.5</v>
      </c>
      <c r="AG57" s="30">
        <v>113.52500000000001</v>
      </c>
      <c r="AH57" s="30">
        <v>711.02499999999998</v>
      </c>
    </row>
    <row r="58" spans="1:34" ht="33" x14ac:dyDescent="0.3">
      <c r="A58" s="22">
        <v>56</v>
      </c>
      <c r="B58" s="23">
        <v>1042003387</v>
      </c>
      <c r="C58" s="24" t="s">
        <v>20</v>
      </c>
      <c r="D58" s="117" t="s">
        <v>670</v>
      </c>
      <c r="E58" s="26" t="s">
        <v>22</v>
      </c>
      <c r="F58" s="114" t="s">
        <v>671</v>
      </c>
      <c r="G58" s="26" t="e">
        <v>#N/A</v>
      </c>
      <c r="H58" s="26" t="e">
        <v>#N/A</v>
      </c>
      <c r="I58" s="26" t="s">
        <v>20</v>
      </c>
      <c r="J58" s="70">
        <v>2998.33</v>
      </c>
      <c r="K58" s="71">
        <v>0</v>
      </c>
      <c r="L58" s="71">
        <v>0</v>
      </c>
      <c r="M58" s="71">
        <v>0</v>
      </c>
      <c r="N58" s="71">
        <v>0</v>
      </c>
      <c r="O58" s="71">
        <v>0</v>
      </c>
      <c r="P58" s="71">
        <v>0</v>
      </c>
      <c r="Q58" s="71">
        <v>0</v>
      </c>
      <c r="R58" s="71">
        <v>2</v>
      </c>
      <c r="S58" s="134"/>
      <c r="T58" s="134"/>
      <c r="U58" s="134"/>
      <c r="V58" s="30">
        <v>2412</v>
      </c>
      <c r="W58" s="22" t="s">
        <v>25</v>
      </c>
      <c r="X58" s="30" t="s">
        <v>25</v>
      </c>
      <c r="Y58" s="29" t="s">
        <v>25</v>
      </c>
      <c r="Z58" s="29" t="s">
        <v>24</v>
      </c>
      <c r="AA58" s="29" t="s">
        <v>37</v>
      </c>
      <c r="AB58" s="58">
        <v>2302</v>
      </c>
      <c r="AE58" s="30">
        <f t="shared" si="0"/>
        <v>2302</v>
      </c>
      <c r="AF58" s="56">
        <v>2357</v>
      </c>
      <c r="AG58" s="30">
        <v>447.83</v>
      </c>
      <c r="AH58" s="30">
        <v>2804.83</v>
      </c>
    </row>
    <row r="59" spans="1:34" ht="33" x14ac:dyDescent="0.3">
      <c r="A59" s="22">
        <v>57</v>
      </c>
      <c r="B59" s="23">
        <v>1042003388</v>
      </c>
      <c r="C59" s="24" t="s">
        <v>20</v>
      </c>
      <c r="D59" s="117" t="s">
        <v>672</v>
      </c>
      <c r="E59" s="26" t="s">
        <v>22</v>
      </c>
      <c r="F59" s="114" t="s">
        <v>673</v>
      </c>
      <c r="G59" s="26" t="e">
        <v>#N/A</v>
      </c>
      <c r="H59" s="26" t="e">
        <v>#N/A</v>
      </c>
      <c r="I59" s="26" t="s">
        <v>20</v>
      </c>
      <c r="J59" s="70">
        <v>1</v>
      </c>
      <c r="K59" s="71">
        <v>0</v>
      </c>
      <c r="L59" s="71">
        <v>0</v>
      </c>
      <c r="M59" s="71">
        <v>0</v>
      </c>
      <c r="N59" s="71">
        <v>0</v>
      </c>
      <c r="O59" s="71">
        <v>0</v>
      </c>
      <c r="P59" s="71">
        <v>0</v>
      </c>
      <c r="Q59" s="71">
        <v>0</v>
      </c>
      <c r="R59" s="71">
        <v>0</v>
      </c>
      <c r="S59" s="134"/>
      <c r="T59" s="134"/>
      <c r="U59" s="134"/>
      <c r="V59" s="30">
        <v>2762</v>
      </c>
      <c r="W59" s="22" t="s">
        <v>25</v>
      </c>
      <c r="X59" s="30" t="s">
        <v>25</v>
      </c>
      <c r="Y59" s="29" t="s">
        <v>25</v>
      </c>
      <c r="Z59" s="29" t="s">
        <v>24</v>
      </c>
      <c r="AA59" s="29" t="s">
        <v>37</v>
      </c>
      <c r="AB59" s="58">
        <v>2302</v>
      </c>
      <c r="AE59" s="30">
        <f t="shared" si="0"/>
        <v>2302</v>
      </c>
      <c r="AF59" s="56">
        <v>2532</v>
      </c>
      <c r="AG59" s="30">
        <v>481.08</v>
      </c>
      <c r="AH59" s="30">
        <v>3013.08</v>
      </c>
    </row>
    <row r="60" spans="1:34" ht="33" x14ac:dyDescent="0.3">
      <c r="A60" s="22">
        <v>58</v>
      </c>
      <c r="B60" s="23">
        <v>1042003389</v>
      </c>
      <c r="C60" s="24" t="s">
        <v>20</v>
      </c>
      <c r="D60" s="117" t="s">
        <v>674</v>
      </c>
      <c r="E60" s="26" t="s">
        <v>22</v>
      </c>
      <c r="F60" s="114" t="s">
        <v>675</v>
      </c>
      <c r="G60" s="26" t="e">
        <v>#N/A</v>
      </c>
      <c r="H60" s="26" t="e">
        <v>#N/A</v>
      </c>
      <c r="I60" s="26" t="s">
        <v>20</v>
      </c>
      <c r="J60" s="70">
        <v>1</v>
      </c>
      <c r="K60" s="71">
        <v>0</v>
      </c>
      <c r="L60" s="71">
        <v>0</v>
      </c>
      <c r="M60" s="71">
        <v>0</v>
      </c>
      <c r="N60" s="71">
        <v>0</v>
      </c>
      <c r="O60" s="71">
        <v>0</v>
      </c>
      <c r="P60" s="71">
        <v>0</v>
      </c>
      <c r="Q60" s="71">
        <v>0</v>
      </c>
      <c r="R60" s="71">
        <v>0</v>
      </c>
      <c r="S60" s="134"/>
      <c r="T60" s="134"/>
      <c r="U60" s="134"/>
      <c r="V60" s="30">
        <v>3986</v>
      </c>
      <c r="W60" s="22" t="s">
        <v>25</v>
      </c>
      <c r="X60" s="30" t="s">
        <v>25</v>
      </c>
      <c r="Y60" s="29" t="s">
        <v>25</v>
      </c>
      <c r="Z60" s="29" t="s">
        <v>24</v>
      </c>
      <c r="AA60" s="29" t="s">
        <v>37</v>
      </c>
      <c r="AB60" s="58">
        <v>18341</v>
      </c>
      <c r="AE60" s="30">
        <f t="shared" si="0"/>
        <v>3986</v>
      </c>
      <c r="AF60" s="56">
        <v>11163.5</v>
      </c>
      <c r="AG60" s="30">
        <v>2121.0650000000001</v>
      </c>
      <c r="AH60" s="30">
        <v>13284.565000000001</v>
      </c>
    </row>
    <row r="61" spans="1:34" ht="33" x14ac:dyDescent="0.3">
      <c r="A61" s="22">
        <v>59</v>
      </c>
      <c r="B61" s="23">
        <v>1042003390</v>
      </c>
      <c r="C61" s="24" t="s">
        <v>20</v>
      </c>
      <c r="D61" s="117" t="s">
        <v>676</v>
      </c>
      <c r="E61" s="26" t="s">
        <v>22</v>
      </c>
      <c r="F61" s="114" t="s">
        <v>677</v>
      </c>
      <c r="G61" s="26" t="e">
        <v>#N/A</v>
      </c>
      <c r="H61" s="26" t="e">
        <v>#N/A</v>
      </c>
      <c r="I61" s="26" t="s">
        <v>20</v>
      </c>
      <c r="J61" s="70">
        <v>1</v>
      </c>
      <c r="K61" s="71">
        <v>0</v>
      </c>
      <c r="L61" s="71">
        <v>0</v>
      </c>
      <c r="M61" s="71">
        <v>0</v>
      </c>
      <c r="N61" s="71">
        <v>0</v>
      </c>
      <c r="O61" s="71">
        <v>0</v>
      </c>
      <c r="P61" s="71">
        <v>0</v>
      </c>
      <c r="Q61" s="71">
        <v>0</v>
      </c>
      <c r="R61" s="71">
        <v>0</v>
      </c>
      <c r="S61" s="134"/>
      <c r="T61" s="134"/>
      <c r="U61" s="134"/>
      <c r="V61" s="30">
        <v>7962</v>
      </c>
      <c r="W61" s="22" t="s">
        <v>25</v>
      </c>
      <c r="X61" s="30" t="s">
        <v>25</v>
      </c>
      <c r="Y61" s="29" t="s">
        <v>25</v>
      </c>
      <c r="Z61" s="29" t="s">
        <v>24</v>
      </c>
      <c r="AA61" s="29">
        <v>13777</v>
      </c>
      <c r="AB61" s="58">
        <v>6617</v>
      </c>
      <c r="AE61" s="30">
        <f t="shared" si="0"/>
        <v>6617</v>
      </c>
      <c r="AF61" s="56">
        <v>9452</v>
      </c>
      <c r="AG61" s="30">
        <v>1795.88</v>
      </c>
      <c r="AH61" s="30">
        <v>11247.880000000001</v>
      </c>
    </row>
    <row r="62" spans="1:34" ht="33" x14ac:dyDescent="0.3">
      <c r="A62" s="22">
        <v>60</v>
      </c>
      <c r="B62" s="23">
        <v>1123284625</v>
      </c>
      <c r="C62" s="24" t="s">
        <v>20</v>
      </c>
      <c r="D62" s="117" t="s">
        <v>678</v>
      </c>
      <c r="E62" s="26" t="s">
        <v>22</v>
      </c>
      <c r="F62" s="114" t="s">
        <v>679</v>
      </c>
      <c r="G62" s="26" t="e">
        <v>#N/A</v>
      </c>
      <c r="H62" s="26" t="e">
        <v>#N/A</v>
      </c>
      <c r="I62" s="26" t="s">
        <v>20</v>
      </c>
      <c r="J62" s="70">
        <v>1</v>
      </c>
      <c r="K62" s="71">
        <v>0</v>
      </c>
      <c r="L62" s="71">
        <v>0</v>
      </c>
      <c r="M62" s="71">
        <v>0</v>
      </c>
      <c r="N62" s="71">
        <v>0</v>
      </c>
      <c r="O62" s="71">
        <v>0</v>
      </c>
      <c r="P62" s="71">
        <v>0</v>
      </c>
      <c r="Q62" s="71">
        <v>0</v>
      </c>
      <c r="R62" s="71">
        <v>0</v>
      </c>
      <c r="S62" s="134"/>
      <c r="T62" s="134"/>
      <c r="U62" s="134"/>
      <c r="V62" s="30">
        <v>30067</v>
      </c>
      <c r="W62" s="22" t="s">
        <v>25</v>
      </c>
      <c r="X62" s="30" t="s">
        <v>25</v>
      </c>
      <c r="Y62" s="29" t="s">
        <v>25</v>
      </c>
      <c r="Z62" s="29" t="s">
        <v>24</v>
      </c>
      <c r="AA62" s="29" t="s">
        <v>37</v>
      </c>
      <c r="AB62" s="58" t="s">
        <v>176</v>
      </c>
      <c r="AE62" s="30">
        <f t="shared" si="0"/>
        <v>30067</v>
      </c>
      <c r="AF62" s="56">
        <v>30067</v>
      </c>
      <c r="AG62" s="30">
        <v>5712.73</v>
      </c>
      <c r="AH62" s="30">
        <v>35779.729999999996</v>
      </c>
    </row>
    <row r="63" spans="1:34" ht="33" x14ac:dyDescent="0.3">
      <c r="A63" s="22">
        <v>61</v>
      </c>
      <c r="B63" s="23">
        <v>1123284623</v>
      </c>
      <c r="C63" s="24" t="s">
        <v>20</v>
      </c>
      <c r="D63" s="117" t="s">
        <v>680</v>
      </c>
      <c r="E63" s="26" t="s">
        <v>22</v>
      </c>
      <c r="F63" s="114" t="s">
        <v>680</v>
      </c>
      <c r="G63" s="26" t="e">
        <v>#N/A</v>
      </c>
      <c r="H63" s="26" t="e">
        <v>#N/A</v>
      </c>
      <c r="I63" s="26" t="s">
        <v>20</v>
      </c>
      <c r="J63" s="70">
        <v>1</v>
      </c>
      <c r="K63" s="71">
        <v>0</v>
      </c>
      <c r="L63" s="71">
        <v>0</v>
      </c>
      <c r="M63" s="71">
        <v>0</v>
      </c>
      <c r="N63" s="71">
        <v>0</v>
      </c>
      <c r="O63" s="71">
        <v>0</v>
      </c>
      <c r="P63" s="71">
        <v>0</v>
      </c>
      <c r="Q63" s="71">
        <v>0</v>
      </c>
      <c r="R63" s="71">
        <v>0</v>
      </c>
      <c r="S63" s="134"/>
      <c r="T63" s="134"/>
      <c r="U63" s="134"/>
      <c r="V63" s="30">
        <v>16701</v>
      </c>
      <c r="W63" s="22" t="s">
        <v>25</v>
      </c>
      <c r="X63" s="30" t="s">
        <v>25</v>
      </c>
      <c r="Y63" s="29" t="s">
        <v>25</v>
      </c>
      <c r="Z63" s="29" t="s">
        <v>24</v>
      </c>
      <c r="AA63" s="29" t="s">
        <v>37</v>
      </c>
      <c r="AB63" s="58" t="s">
        <v>176</v>
      </c>
      <c r="AE63" s="30">
        <f t="shared" si="0"/>
        <v>16701</v>
      </c>
      <c r="AF63" s="56">
        <v>16701</v>
      </c>
      <c r="AG63" s="30">
        <v>3173.19</v>
      </c>
      <c r="AH63" s="30">
        <v>19874.189999999999</v>
      </c>
    </row>
    <row r="64" spans="1:34" ht="33" x14ac:dyDescent="0.3">
      <c r="A64" s="22">
        <v>62</v>
      </c>
      <c r="B64" s="23">
        <v>1123284624</v>
      </c>
      <c r="C64" s="24" t="s">
        <v>20</v>
      </c>
      <c r="D64" s="117" t="s">
        <v>681</v>
      </c>
      <c r="E64" s="26" t="s">
        <v>22</v>
      </c>
      <c r="F64" s="114" t="s">
        <v>681</v>
      </c>
      <c r="G64" s="26" t="e">
        <v>#N/A</v>
      </c>
      <c r="H64" s="26" t="e">
        <v>#N/A</v>
      </c>
      <c r="I64" s="26" t="s">
        <v>20</v>
      </c>
      <c r="J64" s="70">
        <v>1</v>
      </c>
      <c r="K64" s="71">
        <v>0</v>
      </c>
      <c r="L64" s="71">
        <v>0</v>
      </c>
      <c r="M64" s="71">
        <v>0</v>
      </c>
      <c r="N64" s="71">
        <v>0</v>
      </c>
      <c r="O64" s="71">
        <v>0</v>
      </c>
      <c r="P64" s="71">
        <v>0</v>
      </c>
      <c r="Q64" s="71">
        <v>0</v>
      </c>
      <c r="R64" s="71">
        <v>0</v>
      </c>
      <c r="S64" s="134"/>
      <c r="T64" s="134"/>
      <c r="U64" s="134"/>
      <c r="V64" s="30">
        <v>9018</v>
      </c>
      <c r="W64" s="22" t="s">
        <v>25</v>
      </c>
      <c r="X64" s="30" t="s">
        <v>25</v>
      </c>
      <c r="Y64" s="29" t="s">
        <v>25</v>
      </c>
      <c r="Z64" s="29" t="s">
        <v>24</v>
      </c>
      <c r="AA64" s="29" t="s">
        <v>37</v>
      </c>
      <c r="AB64" s="58" t="s">
        <v>176</v>
      </c>
      <c r="AE64" s="30">
        <f t="shared" si="0"/>
        <v>9018</v>
      </c>
      <c r="AF64" s="56">
        <v>9018</v>
      </c>
      <c r="AG64" s="30">
        <v>1713.42</v>
      </c>
      <c r="AH64" s="30">
        <v>10731.42</v>
      </c>
    </row>
    <row r="65" spans="1:64" ht="33" x14ac:dyDescent="0.3">
      <c r="A65" s="22">
        <v>63</v>
      </c>
      <c r="B65" s="23">
        <v>1042003117</v>
      </c>
      <c r="C65" s="24" t="s">
        <v>20</v>
      </c>
      <c r="D65" s="117" t="s">
        <v>682</v>
      </c>
      <c r="E65" s="26" t="s">
        <v>22</v>
      </c>
      <c r="F65" s="114" t="s">
        <v>683</v>
      </c>
      <c r="G65" s="26" t="e">
        <v>#N/A</v>
      </c>
      <c r="H65" s="26" t="e">
        <v>#N/A</v>
      </c>
      <c r="I65" s="26" t="s">
        <v>20</v>
      </c>
      <c r="J65" s="70">
        <v>1</v>
      </c>
      <c r="K65" s="71">
        <v>0</v>
      </c>
      <c r="L65" s="71">
        <v>0</v>
      </c>
      <c r="M65" s="71">
        <v>0</v>
      </c>
      <c r="N65" s="71">
        <v>0</v>
      </c>
      <c r="O65" s="71">
        <v>0</v>
      </c>
      <c r="P65" s="71">
        <v>0</v>
      </c>
      <c r="Q65" s="71">
        <v>0</v>
      </c>
      <c r="R65" s="71">
        <v>0</v>
      </c>
      <c r="S65" s="134"/>
      <c r="T65" s="134"/>
      <c r="U65" s="134"/>
      <c r="V65" s="30">
        <v>27822</v>
      </c>
      <c r="W65" s="22" t="s">
        <v>25</v>
      </c>
      <c r="X65" s="30" t="s">
        <v>25</v>
      </c>
      <c r="Y65" s="29" t="s">
        <v>25</v>
      </c>
      <c r="Z65" s="29" t="s">
        <v>24</v>
      </c>
      <c r="AA65" s="29" t="s">
        <v>24</v>
      </c>
      <c r="AB65" s="58" t="s">
        <v>176</v>
      </c>
      <c r="AE65" s="30">
        <f t="shared" si="0"/>
        <v>27822</v>
      </c>
      <c r="AF65" s="56">
        <v>27822</v>
      </c>
      <c r="AG65" s="30">
        <v>5286.18</v>
      </c>
      <c r="AH65" s="30">
        <v>33108.18</v>
      </c>
    </row>
    <row r="66" spans="1:64" x14ac:dyDescent="0.3">
      <c r="A66" s="34">
        <v>64</v>
      </c>
      <c r="B66" s="154">
        <v>1042003167</v>
      </c>
      <c r="C66" s="36"/>
      <c r="D66" s="142" t="s">
        <v>684</v>
      </c>
      <c r="E66" s="38" t="s">
        <v>22</v>
      </c>
      <c r="F66" s="142" t="s">
        <v>685</v>
      </c>
      <c r="G66" s="38"/>
      <c r="H66" s="38"/>
      <c r="I66" s="38"/>
      <c r="J66" s="100"/>
      <c r="K66" s="101"/>
      <c r="L66" s="101"/>
      <c r="M66" s="101"/>
      <c r="N66" s="101"/>
      <c r="O66" s="101"/>
      <c r="P66" s="101"/>
      <c r="Q66" s="101"/>
      <c r="R66" s="101"/>
      <c r="S66" s="143"/>
      <c r="T66" s="143"/>
      <c r="U66" s="143"/>
      <c r="V66" s="42">
        <v>23882</v>
      </c>
      <c r="W66" s="34" t="s">
        <v>25</v>
      </c>
      <c r="X66" s="42" t="s">
        <v>25</v>
      </c>
      <c r="Y66" s="41" t="s">
        <v>25</v>
      </c>
      <c r="Z66" s="41" t="s">
        <v>24</v>
      </c>
      <c r="AA66" s="41" t="s">
        <v>24</v>
      </c>
      <c r="AB66" s="155" t="s">
        <v>176</v>
      </c>
      <c r="AE66" s="42">
        <f t="shared" si="0"/>
        <v>23882</v>
      </c>
      <c r="AF66" s="56">
        <v>23882</v>
      </c>
      <c r="AG66" s="30">
        <v>4537.58</v>
      </c>
      <c r="AH66" s="30">
        <v>28419.58</v>
      </c>
    </row>
    <row r="67" spans="1:64" s="1" customFormat="1" x14ac:dyDescent="0.3">
      <c r="A67" s="22">
        <v>65</v>
      </c>
      <c r="B67" s="74">
        <v>1042003186</v>
      </c>
      <c r="C67" s="24"/>
      <c r="D67" s="117" t="s">
        <v>686</v>
      </c>
      <c r="E67" s="26" t="s">
        <v>22</v>
      </c>
      <c r="F67" s="117" t="s">
        <v>687</v>
      </c>
      <c r="G67" s="26"/>
      <c r="H67" s="26"/>
      <c r="I67" s="26"/>
      <c r="J67" s="70"/>
      <c r="K67" s="71"/>
      <c r="L67" s="71"/>
      <c r="M67" s="71"/>
      <c r="N67" s="71"/>
      <c r="O67" s="71"/>
      <c r="P67" s="71"/>
      <c r="Q67" s="71"/>
      <c r="R67" s="71"/>
      <c r="S67" s="134"/>
      <c r="T67" s="134"/>
      <c r="U67" s="134"/>
      <c r="V67" s="30">
        <v>23882</v>
      </c>
      <c r="W67" s="22" t="s">
        <v>25</v>
      </c>
      <c r="X67" s="30" t="s">
        <v>25</v>
      </c>
      <c r="Y67" s="29" t="s">
        <v>25</v>
      </c>
      <c r="Z67" s="29" t="s">
        <v>24</v>
      </c>
      <c r="AA67" s="29" t="s">
        <v>24</v>
      </c>
      <c r="AB67" s="58" t="s">
        <v>176</v>
      </c>
      <c r="AC67" s="156"/>
      <c r="AD67" s="157"/>
      <c r="AE67" s="30">
        <f t="shared" ref="AE67" si="1">MIN(V67:AB67)</f>
        <v>23882</v>
      </c>
      <c r="AF67" s="56">
        <v>23882</v>
      </c>
      <c r="AG67" s="30">
        <v>4537.58</v>
      </c>
      <c r="AH67" s="30">
        <v>28419.58</v>
      </c>
      <c r="AI67" s="43"/>
      <c r="AJ67" s="43"/>
      <c r="AK67" s="43"/>
      <c r="AL67" s="43"/>
      <c r="AM67" s="43"/>
      <c r="AN67" s="43"/>
      <c r="AO67" s="43"/>
      <c r="AP67" s="43"/>
      <c r="AQ67" s="43"/>
      <c r="AR67" s="43"/>
      <c r="AS67" s="43"/>
      <c r="AT67" s="43"/>
      <c r="AU67" s="43"/>
      <c r="AV67" s="43"/>
      <c r="AW67" s="43"/>
      <c r="AX67" s="43"/>
      <c r="AY67" s="43"/>
      <c r="AZ67" s="43"/>
      <c r="BA67" s="43"/>
      <c r="BB67" s="43"/>
      <c r="BC67" s="158"/>
      <c r="BD67" s="53"/>
      <c r="BE67" s="53"/>
      <c r="BF67" s="53"/>
      <c r="BG67" s="53"/>
      <c r="BH67" s="53"/>
      <c r="BI67" s="53"/>
      <c r="BJ67" s="53"/>
      <c r="BK67" s="53"/>
      <c r="BL67" s="53"/>
    </row>
    <row r="68" spans="1:64" s="43" customFormat="1" x14ac:dyDescent="0.3">
      <c r="A68" s="49"/>
      <c r="B68" s="46"/>
      <c r="C68" s="46"/>
      <c r="D68" s="78"/>
      <c r="E68" s="48"/>
      <c r="F68" s="78"/>
      <c r="G68" s="46"/>
      <c r="H68" s="46"/>
      <c r="I68" s="46"/>
      <c r="J68" s="46"/>
      <c r="K68" s="46"/>
      <c r="L68" s="46"/>
      <c r="M68" s="46"/>
      <c r="N68" s="46"/>
      <c r="O68" s="46"/>
      <c r="P68" s="46"/>
      <c r="Q68" s="46"/>
      <c r="R68" s="46"/>
      <c r="S68" s="49"/>
      <c r="T68" s="49"/>
      <c r="U68" s="49"/>
      <c r="V68" s="51"/>
      <c r="W68" s="49"/>
      <c r="X68" s="51"/>
      <c r="Y68" s="52"/>
      <c r="Z68" s="52"/>
      <c r="AA68" s="49"/>
      <c r="AB68" s="50"/>
      <c r="AC68" s="50"/>
      <c r="AD68" s="49"/>
      <c r="AE68" s="49"/>
    </row>
    <row r="69" spans="1:64" s="43" customFormat="1" x14ac:dyDescent="0.3">
      <c r="A69" s="49"/>
      <c r="B69" s="46"/>
      <c r="C69" s="46"/>
      <c r="D69" s="78"/>
      <c r="E69" s="48"/>
      <c r="F69" s="78"/>
      <c r="G69" s="46"/>
      <c r="H69" s="46"/>
      <c r="I69" s="46"/>
      <c r="J69" s="46"/>
      <c r="K69" s="46"/>
      <c r="L69" s="46"/>
      <c r="M69" s="46"/>
      <c r="N69" s="46"/>
      <c r="O69" s="46"/>
      <c r="P69" s="46"/>
      <c r="Q69" s="46"/>
      <c r="R69" s="46"/>
      <c r="S69" s="49"/>
      <c r="T69" s="49"/>
      <c r="U69" s="49"/>
      <c r="V69" s="51"/>
      <c r="W69" s="49"/>
      <c r="X69" s="51"/>
      <c r="Y69" s="52"/>
      <c r="Z69" s="52"/>
      <c r="AA69" s="49"/>
      <c r="AB69" s="50"/>
      <c r="AC69" s="50"/>
      <c r="AD69" s="49"/>
      <c r="AE69" s="49"/>
    </row>
    <row r="70" spans="1:64" s="43" customFormat="1" x14ac:dyDescent="0.3">
      <c r="A70" s="49"/>
      <c r="B70" s="46"/>
      <c r="C70" s="46"/>
      <c r="D70" s="78"/>
      <c r="E70" s="48"/>
      <c r="F70" s="78"/>
      <c r="G70" s="46"/>
      <c r="H70" s="46"/>
      <c r="I70" s="46"/>
      <c r="J70" s="46"/>
      <c r="K70" s="46"/>
      <c r="L70" s="46"/>
      <c r="M70" s="46"/>
      <c r="N70" s="46"/>
      <c r="O70" s="46"/>
      <c r="P70" s="46"/>
      <c r="Q70" s="46"/>
      <c r="R70" s="46"/>
      <c r="S70" s="49"/>
      <c r="T70" s="49"/>
      <c r="U70" s="49"/>
      <c r="V70" s="51"/>
      <c r="W70" s="49"/>
      <c r="X70" s="51"/>
      <c r="Y70" s="52"/>
      <c r="Z70" s="52"/>
      <c r="AA70" s="49"/>
      <c r="AB70" s="50"/>
      <c r="AC70" s="50"/>
      <c r="AD70" s="49"/>
      <c r="AE70" s="49"/>
    </row>
    <row r="71" spans="1:64" s="43" customFormat="1" x14ac:dyDescent="0.3">
      <c r="A71" s="49"/>
      <c r="B71" s="46"/>
      <c r="C71" s="46"/>
      <c r="D71" s="78"/>
      <c r="E71" s="48"/>
      <c r="F71" s="78"/>
      <c r="G71" s="46"/>
      <c r="H71" s="46"/>
      <c r="I71" s="46"/>
      <c r="J71" s="46"/>
      <c r="K71" s="46"/>
      <c r="L71" s="46"/>
      <c r="M71" s="46"/>
      <c r="N71" s="46"/>
      <c r="O71" s="46"/>
      <c r="P71" s="46"/>
      <c r="Q71" s="46"/>
      <c r="R71" s="46"/>
      <c r="S71" s="49"/>
      <c r="T71" s="49"/>
      <c r="U71" s="49"/>
      <c r="V71" s="51"/>
      <c r="W71" s="49"/>
      <c r="X71" s="51"/>
      <c r="Y71" s="52"/>
      <c r="Z71" s="52"/>
      <c r="AA71" s="49"/>
      <c r="AB71" s="50"/>
      <c r="AC71" s="50"/>
      <c r="AD71" s="49"/>
      <c r="AE71" s="49"/>
    </row>
    <row r="72" spans="1:64" s="43" customFormat="1" x14ac:dyDescent="0.3">
      <c r="A72" s="49"/>
      <c r="B72" s="46"/>
      <c r="C72" s="46"/>
      <c r="D72" s="78"/>
      <c r="E72" s="48"/>
      <c r="F72" s="78"/>
      <c r="G72" s="46"/>
      <c r="H72" s="46"/>
      <c r="I72" s="46"/>
      <c r="J72" s="46"/>
      <c r="K72" s="46"/>
      <c r="L72" s="46"/>
      <c r="M72" s="46"/>
      <c r="N72" s="46"/>
      <c r="O72" s="46"/>
      <c r="P72" s="46"/>
      <c r="Q72" s="46"/>
      <c r="R72" s="46"/>
      <c r="S72" s="49"/>
      <c r="T72" s="49"/>
      <c r="U72" s="49"/>
      <c r="V72" s="51"/>
      <c r="W72" s="49"/>
      <c r="X72" s="51"/>
      <c r="Y72" s="52"/>
      <c r="Z72" s="52"/>
      <c r="AA72" s="49"/>
      <c r="AB72" s="50"/>
      <c r="AC72" s="50"/>
      <c r="AD72" s="49"/>
      <c r="AE72" s="49"/>
    </row>
    <row r="73" spans="1:64" s="43" customFormat="1" x14ac:dyDescent="0.3">
      <c r="A73" s="49"/>
      <c r="B73" s="46"/>
      <c r="C73" s="46"/>
      <c r="D73" s="78"/>
      <c r="E73" s="48"/>
      <c r="F73" s="78"/>
      <c r="G73" s="46"/>
      <c r="H73" s="46"/>
      <c r="I73" s="46"/>
      <c r="J73" s="46"/>
      <c r="K73" s="46"/>
      <c r="L73" s="46"/>
      <c r="M73" s="46"/>
      <c r="N73" s="46"/>
      <c r="O73" s="46"/>
      <c r="P73" s="46"/>
      <c r="Q73" s="46"/>
      <c r="R73" s="46"/>
      <c r="S73" s="49"/>
      <c r="T73" s="49"/>
      <c r="U73" s="49"/>
      <c r="V73" s="51"/>
      <c r="W73" s="49"/>
      <c r="X73" s="51"/>
      <c r="Y73" s="52"/>
      <c r="Z73" s="52"/>
      <c r="AA73" s="49"/>
      <c r="AB73" s="50"/>
      <c r="AC73" s="50"/>
      <c r="AD73" s="49"/>
      <c r="AE73" s="49"/>
    </row>
    <row r="74" spans="1:64" s="43" customFormat="1" x14ac:dyDescent="0.3">
      <c r="A74" s="49"/>
      <c r="B74" s="46"/>
      <c r="C74" s="46"/>
      <c r="D74" s="78"/>
      <c r="E74" s="48"/>
      <c r="F74" s="78"/>
      <c r="G74" s="46"/>
      <c r="H74" s="46"/>
      <c r="I74" s="46"/>
      <c r="J74" s="46"/>
      <c r="K74" s="46"/>
      <c r="L74" s="46"/>
      <c r="M74" s="46"/>
      <c r="N74" s="46"/>
      <c r="O74" s="46"/>
      <c r="P74" s="46"/>
      <c r="Q74" s="46"/>
      <c r="R74" s="46"/>
      <c r="S74" s="49"/>
      <c r="T74" s="49"/>
      <c r="U74" s="49"/>
      <c r="V74" s="51"/>
      <c r="W74" s="49"/>
      <c r="X74" s="51"/>
      <c r="Y74" s="52"/>
      <c r="Z74" s="52"/>
      <c r="AA74" s="49"/>
      <c r="AB74" s="50"/>
      <c r="AC74" s="50"/>
      <c r="AD74" s="49"/>
      <c r="AE74" s="49"/>
    </row>
    <row r="75" spans="1:64" s="43" customFormat="1" x14ac:dyDescent="0.3">
      <c r="A75" s="49"/>
      <c r="B75" s="46"/>
      <c r="C75" s="46"/>
      <c r="D75" s="78"/>
      <c r="E75" s="48"/>
      <c r="F75" s="78"/>
      <c r="G75" s="46"/>
      <c r="H75" s="46"/>
      <c r="I75" s="46"/>
      <c r="J75" s="46"/>
      <c r="K75" s="46"/>
      <c r="L75" s="46"/>
      <c r="M75" s="46"/>
      <c r="N75" s="46"/>
      <c r="O75" s="46"/>
      <c r="P75" s="46"/>
      <c r="Q75" s="46"/>
      <c r="R75" s="46"/>
      <c r="S75" s="49"/>
      <c r="T75" s="49"/>
      <c r="U75" s="49"/>
      <c r="V75" s="51"/>
      <c r="W75" s="49"/>
      <c r="X75" s="51"/>
      <c r="Y75" s="52"/>
      <c r="Z75" s="52"/>
      <c r="AA75" s="49"/>
      <c r="AB75" s="50"/>
      <c r="AC75" s="50"/>
      <c r="AD75" s="49"/>
      <c r="AE75" s="49"/>
    </row>
    <row r="76" spans="1:64" s="43" customFormat="1" x14ac:dyDescent="0.3">
      <c r="A76" s="49"/>
      <c r="B76" s="46"/>
      <c r="C76" s="46"/>
      <c r="D76" s="78"/>
      <c r="E76" s="48"/>
      <c r="F76" s="78"/>
      <c r="G76" s="46"/>
      <c r="H76" s="46"/>
      <c r="I76" s="46"/>
      <c r="J76" s="46"/>
      <c r="K76" s="46"/>
      <c r="L76" s="46"/>
      <c r="M76" s="46"/>
      <c r="N76" s="46"/>
      <c r="O76" s="46"/>
      <c r="P76" s="46"/>
      <c r="Q76" s="46"/>
      <c r="R76" s="46"/>
      <c r="S76" s="49"/>
      <c r="T76" s="49"/>
      <c r="U76" s="49"/>
      <c r="V76" s="51"/>
      <c r="W76" s="49"/>
      <c r="X76" s="51"/>
      <c r="Y76" s="52"/>
      <c r="Z76" s="52"/>
      <c r="AA76" s="49"/>
      <c r="AB76" s="50"/>
      <c r="AC76" s="50"/>
      <c r="AD76" s="49"/>
      <c r="AE76" s="49"/>
    </row>
    <row r="77" spans="1:64" s="43" customFormat="1" x14ac:dyDescent="0.3">
      <c r="A77" s="49"/>
      <c r="B77" s="46"/>
      <c r="C77" s="46"/>
      <c r="D77" s="78"/>
      <c r="E77" s="48"/>
      <c r="F77" s="78"/>
      <c r="G77" s="46"/>
      <c r="H77" s="46"/>
      <c r="I77" s="46"/>
      <c r="J77" s="46"/>
      <c r="K77" s="46"/>
      <c r="L77" s="46"/>
      <c r="M77" s="46"/>
      <c r="N77" s="46"/>
      <c r="O77" s="46"/>
      <c r="P77" s="46"/>
      <c r="Q77" s="46"/>
      <c r="R77" s="46"/>
      <c r="S77" s="49"/>
      <c r="T77" s="49"/>
      <c r="U77" s="49"/>
      <c r="V77" s="51"/>
      <c r="W77" s="49"/>
      <c r="X77" s="51"/>
      <c r="Y77" s="52"/>
      <c r="Z77" s="52"/>
      <c r="AA77" s="49"/>
      <c r="AB77" s="50"/>
      <c r="AC77" s="50"/>
      <c r="AD77" s="49"/>
      <c r="AE77" s="49"/>
    </row>
    <row r="78" spans="1:64" s="43" customFormat="1" x14ac:dyDescent="0.3">
      <c r="A78" s="49"/>
      <c r="B78" s="46"/>
      <c r="C78" s="46"/>
      <c r="D78" s="78"/>
      <c r="E78" s="48"/>
      <c r="F78" s="78"/>
      <c r="G78" s="46"/>
      <c r="H78" s="46"/>
      <c r="I78" s="46"/>
      <c r="J78" s="46"/>
      <c r="K78" s="46"/>
      <c r="L78" s="46"/>
      <c r="M78" s="46"/>
      <c r="N78" s="46"/>
      <c r="O78" s="46"/>
      <c r="P78" s="46"/>
      <c r="Q78" s="46"/>
      <c r="R78" s="46"/>
      <c r="S78" s="49"/>
      <c r="T78" s="49"/>
      <c r="U78" s="49"/>
      <c r="V78" s="51"/>
      <c r="W78" s="49"/>
      <c r="X78" s="51"/>
      <c r="Y78" s="52"/>
      <c r="Z78" s="52"/>
      <c r="AA78" s="49"/>
      <c r="AB78" s="50"/>
      <c r="AC78" s="50"/>
      <c r="AD78" s="49"/>
      <c r="AE78" s="49"/>
    </row>
    <row r="79" spans="1:64" s="43" customFormat="1" x14ac:dyDescent="0.3">
      <c r="A79" s="49"/>
      <c r="B79" s="46"/>
      <c r="C79" s="46"/>
      <c r="D79" s="78"/>
      <c r="E79" s="48"/>
      <c r="F79" s="78"/>
      <c r="G79" s="46"/>
      <c r="H79" s="46"/>
      <c r="I79" s="46"/>
      <c r="J79" s="46"/>
      <c r="K79" s="46"/>
      <c r="L79" s="46"/>
      <c r="M79" s="46"/>
      <c r="N79" s="46"/>
      <c r="O79" s="46"/>
      <c r="P79" s="46"/>
      <c r="Q79" s="46"/>
      <c r="R79" s="46"/>
      <c r="S79" s="49"/>
      <c r="T79" s="49"/>
      <c r="U79" s="49"/>
      <c r="V79" s="51"/>
      <c r="W79" s="49"/>
      <c r="X79" s="51"/>
      <c r="Y79" s="52"/>
      <c r="Z79" s="52"/>
      <c r="AA79" s="49"/>
      <c r="AB79" s="50"/>
      <c r="AC79" s="50"/>
      <c r="AD79" s="49"/>
      <c r="AE79" s="49"/>
    </row>
    <row r="80" spans="1:64" s="43" customFormat="1" x14ac:dyDescent="0.3">
      <c r="A80" s="49"/>
      <c r="B80" s="46"/>
      <c r="C80" s="46"/>
      <c r="D80" s="78"/>
      <c r="E80" s="48"/>
      <c r="F80" s="78"/>
      <c r="G80" s="46"/>
      <c r="H80" s="46"/>
      <c r="I80" s="46"/>
      <c r="J80" s="46"/>
      <c r="K80" s="46"/>
      <c r="L80" s="46"/>
      <c r="M80" s="46"/>
      <c r="N80" s="46"/>
      <c r="O80" s="46"/>
      <c r="P80" s="46"/>
      <c r="Q80" s="46"/>
      <c r="R80" s="46"/>
      <c r="S80" s="49"/>
      <c r="T80" s="49"/>
      <c r="U80" s="49"/>
      <c r="V80" s="51"/>
      <c r="W80" s="49"/>
      <c r="X80" s="51"/>
      <c r="Y80" s="52"/>
      <c r="Z80" s="52"/>
      <c r="AA80" s="49"/>
      <c r="AB80" s="50"/>
      <c r="AC80" s="50"/>
      <c r="AD80" s="49"/>
      <c r="AE80" s="49"/>
    </row>
    <row r="81" spans="1:31" s="43" customFormat="1" x14ac:dyDescent="0.3">
      <c r="A81" s="49"/>
      <c r="B81" s="46"/>
      <c r="C81" s="46"/>
      <c r="D81" s="78"/>
      <c r="E81" s="48"/>
      <c r="F81" s="78"/>
      <c r="G81" s="46"/>
      <c r="H81" s="46"/>
      <c r="I81" s="46"/>
      <c r="J81" s="46"/>
      <c r="K81" s="46"/>
      <c r="L81" s="46"/>
      <c r="M81" s="46"/>
      <c r="N81" s="46"/>
      <c r="O81" s="46"/>
      <c r="P81" s="46"/>
      <c r="Q81" s="46"/>
      <c r="R81" s="46"/>
      <c r="S81" s="49"/>
      <c r="T81" s="49"/>
      <c r="U81" s="49"/>
      <c r="V81" s="51"/>
      <c r="W81" s="49"/>
      <c r="X81" s="51"/>
      <c r="Y81" s="52"/>
      <c r="Z81" s="52"/>
      <c r="AA81" s="49"/>
      <c r="AB81" s="50"/>
      <c r="AC81" s="50"/>
      <c r="AD81" s="49"/>
      <c r="AE81" s="49"/>
    </row>
    <row r="82" spans="1:31" s="43" customFormat="1" x14ac:dyDescent="0.3">
      <c r="A82" s="49"/>
      <c r="B82" s="46"/>
      <c r="C82" s="46"/>
      <c r="D82" s="78"/>
      <c r="E82" s="48"/>
      <c r="F82" s="78"/>
      <c r="G82" s="46"/>
      <c r="H82" s="46"/>
      <c r="I82" s="46"/>
      <c r="J82" s="46"/>
      <c r="K82" s="46"/>
      <c r="L82" s="46"/>
      <c r="M82" s="46"/>
      <c r="N82" s="46"/>
      <c r="O82" s="46"/>
      <c r="P82" s="46"/>
      <c r="Q82" s="46"/>
      <c r="R82" s="46"/>
      <c r="S82" s="49"/>
      <c r="T82" s="49"/>
      <c r="U82" s="49"/>
      <c r="V82" s="51"/>
      <c r="W82" s="49"/>
      <c r="X82" s="51"/>
      <c r="Y82" s="52"/>
      <c r="Z82" s="52"/>
      <c r="AA82" s="49"/>
      <c r="AB82" s="50"/>
      <c r="AC82" s="50"/>
      <c r="AD82" s="49"/>
      <c r="AE82" s="49"/>
    </row>
    <row r="83" spans="1:31" s="43" customFormat="1" x14ac:dyDescent="0.3">
      <c r="A83" s="49"/>
      <c r="B83" s="46"/>
      <c r="C83" s="46"/>
      <c r="D83" s="78"/>
      <c r="E83" s="48"/>
      <c r="F83" s="78"/>
      <c r="G83" s="46"/>
      <c r="H83" s="46"/>
      <c r="I83" s="46"/>
      <c r="J83" s="46"/>
      <c r="K83" s="46"/>
      <c r="L83" s="46"/>
      <c r="M83" s="46"/>
      <c r="N83" s="46"/>
      <c r="O83" s="46"/>
      <c r="P83" s="46"/>
      <c r="Q83" s="46"/>
      <c r="R83" s="46"/>
      <c r="S83" s="49"/>
      <c r="T83" s="49"/>
      <c r="U83" s="49"/>
      <c r="V83" s="51"/>
      <c r="W83" s="49"/>
      <c r="X83" s="51"/>
      <c r="Y83" s="52"/>
      <c r="Z83" s="52"/>
      <c r="AA83" s="49"/>
      <c r="AB83" s="50"/>
      <c r="AC83" s="50"/>
      <c r="AD83" s="49"/>
      <c r="AE83" s="49"/>
    </row>
    <row r="84" spans="1:31" s="43" customFormat="1" x14ac:dyDescent="0.3">
      <c r="A84" s="49"/>
      <c r="B84" s="46"/>
      <c r="C84" s="46"/>
      <c r="D84" s="78"/>
      <c r="E84" s="48"/>
      <c r="F84" s="78"/>
      <c r="G84" s="46"/>
      <c r="H84" s="46"/>
      <c r="I84" s="46"/>
      <c r="J84" s="46"/>
      <c r="K84" s="46"/>
      <c r="L84" s="46"/>
      <c r="M84" s="46"/>
      <c r="N84" s="46"/>
      <c r="O84" s="46"/>
      <c r="P84" s="46"/>
      <c r="Q84" s="46"/>
      <c r="R84" s="46"/>
      <c r="S84" s="49"/>
      <c r="T84" s="49"/>
      <c r="U84" s="49"/>
      <c r="V84" s="51"/>
      <c r="W84" s="49"/>
      <c r="X84" s="51"/>
      <c r="Y84" s="52"/>
      <c r="Z84" s="52"/>
      <c r="AA84" s="49"/>
      <c r="AB84" s="50"/>
      <c r="AC84" s="50"/>
      <c r="AD84" s="49"/>
      <c r="AE84" s="49"/>
    </row>
    <row r="85" spans="1:31" s="43" customFormat="1" x14ac:dyDescent="0.3">
      <c r="A85" s="49"/>
      <c r="B85" s="46"/>
      <c r="C85" s="46"/>
      <c r="D85" s="78"/>
      <c r="E85" s="48"/>
      <c r="F85" s="78"/>
      <c r="G85" s="46"/>
      <c r="H85" s="46"/>
      <c r="I85" s="46"/>
      <c r="J85" s="46"/>
      <c r="K85" s="46"/>
      <c r="L85" s="46"/>
      <c r="M85" s="46"/>
      <c r="N85" s="46"/>
      <c r="O85" s="46"/>
      <c r="P85" s="46"/>
      <c r="Q85" s="46"/>
      <c r="R85" s="46"/>
      <c r="S85" s="49"/>
      <c r="T85" s="49"/>
      <c r="U85" s="49"/>
      <c r="V85" s="51"/>
      <c r="W85" s="49"/>
      <c r="X85" s="51"/>
      <c r="Y85" s="52"/>
      <c r="Z85" s="52"/>
      <c r="AA85" s="49"/>
      <c r="AB85" s="50"/>
      <c r="AC85" s="50"/>
      <c r="AD85" s="49"/>
      <c r="AE85" s="49"/>
    </row>
    <row r="86" spans="1:31" s="43" customFormat="1" x14ac:dyDescent="0.3">
      <c r="A86" s="49"/>
      <c r="B86" s="46"/>
      <c r="C86" s="46"/>
      <c r="D86" s="78"/>
      <c r="E86" s="48"/>
      <c r="F86" s="78"/>
      <c r="G86" s="46"/>
      <c r="H86" s="46"/>
      <c r="I86" s="46"/>
      <c r="J86" s="46"/>
      <c r="K86" s="46"/>
      <c r="L86" s="46"/>
      <c r="M86" s="46"/>
      <c r="N86" s="46"/>
      <c r="O86" s="46"/>
      <c r="P86" s="46"/>
      <c r="Q86" s="46"/>
      <c r="R86" s="46"/>
      <c r="S86" s="49"/>
      <c r="T86" s="49"/>
      <c r="U86" s="49"/>
      <c r="V86" s="51"/>
      <c r="W86" s="49"/>
      <c r="X86" s="51"/>
      <c r="Y86" s="52"/>
      <c r="Z86" s="52"/>
      <c r="AA86" s="49"/>
      <c r="AB86" s="50"/>
      <c r="AC86" s="50"/>
      <c r="AD86" s="49"/>
      <c r="AE86" s="49"/>
    </row>
    <row r="87" spans="1:31" s="43" customFormat="1" x14ac:dyDescent="0.3">
      <c r="A87" s="49"/>
      <c r="B87" s="46"/>
      <c r="C87" s="46"/>
      <c r="D87" s="78"/>
      <c r="E87" s="48"/>
      <c r="F87" s="78"/>
      <c r="G87" s="46"/>
      <c r="H87" s="46"/>
      <c r="I87" s="46"/>
      <c r="J87" s="46"/>
      <c r="K87" s="46"/>
      <c r="L87" s="46"/>
      <c r="M87" s="46"/>
      <c r="N87" s="46"/>
      <c r="O87" s="46"/>
      <c r="P87" s="46"/>
      <c r="Q87" s="46"/>
      <c r="R87" s="46"/>
      <c r="S87" s="49"/>
      <c r="T87" s="49"/>
      <c r="U87" s="49"/>
      <c r="V87" s="51"/>
      <c r="W87" s="49"/>
      <c r="X87" s="51"/>
      <c r="Y87" s="52"/>
      <c r="Z87" s="52"/>
      <c r="AA87" s="49"/>
      <c r="AB87" s="50"/>
      <c r="AC87" s="50"/>
      <c r="AD87" s="49"/>
      <c r="AE87" s="49"/>
    </row>
    <row r="88" spans="1:31" s="43" customFormat="1" x14ac:dyDescent="0.3">
      <c r="A88" s="49"/>
      <c r="B88" s="46"/>
      <c r="C88" s="46"/>
      <c r="D88" s="78"/>
      <c r="E88" s="48"/>
      <c r="F88" s="78"/>
      <c r="G88" s="46"/>
      <c r="H88" s="46"/>
      <c r="I88" s="46"/>
      <c r="J88" s="46"/>
      <c r="K88" s="46"/>
      <c r="L88" s="46"/>
      <c r="M88" s="46"/>
      <c r="N88" s="46"/>
      <c r="O88" s="46"/>
      <c r="P88" s="46"/>
      <c r="Q88" s="46"/>
      <c r="R88" s="46"/>
      <c r="S88" s="49"/>
      <c r="T88" s="49"/>
      <c r="U88" s="49"/>
      <c r="V88" s="51"/>
      <c r="W88" s="49"/>
      <c r="X88" s="51"/>
      <c r="Y88" s="52"/>
      <c r="Z88" s="52"/>
      <c r="AA88" s="49"/>
      <c r="AB88" s="50"/>
      <c r="AC88" s="50"/>
      <c r="AD88" s="49"/>
      <c r="AE88" s="49"/>
    </row>
    <row r="89" spans="1:31" s="43" customFormat="1" x14ac:dyDescent="0.3">
      <c r="A89" s="49"/>
      <c r="B89" s="46"/>
      <c r="C89" s="46"/>
      <c r="D89" s="78"/>
      <c r="E89" s="48"/>
      <c r="F89" s="78"/>
      <c r="G89" s="46"/>
      <c r="H89" s="46"/>
      <c r="I89" s="46"/>
      <c r="J89" s="46"/>
      <c r="K89" s="46"/>
      <c r="L89" s="46"/>
      <c r="M89" s="46"/>
      <c r="N89" s="46"/>
      <c r="O89" s="46"/>
      <c r="P89" s="46"/>
      <c r="Q89" s="46"/>
      <c r="R89" s="46"/>
      <c r="S89" s="49"/>
      <c r="T89" s="49"/>
      <c r="U89" s="49"/>
      <c r="V89" s="51"/>
      <c r="W89" s="49"/>
      <c r="X89" s="51"/>
      <c r="Y89" s="52"/>
      <c r="Z89" s="52"/>
      <c r="AA89" s="49"/>
      <c r="AB89" s="50"/>
      <c r="AC89" s="50"/>
      <c r="AD89" s="49"/>
      <c r="AE89" s="49"/>
    </row>
    <row r="90" spans="1:31" s="43" customFormat="1" x14ac:dyDescent="0.3">
      <c r="A90" s="49"/>
      <c r="B90" s="46"/>
      <c r="C90" s="46"/>
      <c r="D90" s="78"/>
      <c r="E90" s="48"/>
      <c r="F90" s="78"/>
      <c r="G90" s="46"/>
      <c r="H90" s="46"/>
      <c r="I90" s="46"/>
      <c r="J90" s="46"/>
      <c r="K90" s="46"/>
      <c r="L90" s="46"/>
      <c r="M90" s="46"/>
      <c r="N90" s="46"/>
      <c r="O90" s="46"/>
      <c r="P90" s="46"/>
      <c r="Q90" s="46"/>
      <c r="R90" s="46"/>
      <c r="S90" s="49"/>
      <c r="T90" s="49"/>
      <c r="U90" s="49"/>
      <c r="V90" s="51"/>
      <c r="W90" s="49"/>
      <c r="X90" s="51"/>
      <c r="Y90" s="52"/>
      <c r="Z90" s="52"/>
      <c r="AA90" s="49"/>
      <c r="AB90" s="50"/>
      <c r="AC90" s="50"/>
      <c r="AD90" s="49"/>
      <c r="AE90" s="49"/>
    </row>
    <row r="91" spans="1:31" s="43" customFormat="1" x14ac:dyDescent="0.3">
      <c r="A91" s="49"/>
      <c r="B91" s="46"/>
      <c r="C91" s="46"/>
      <c r="D91" s="78"/>
      <c r="E91" s="48"/>
      <c r="F91" s="78"/>
      <c r="G91" s="46"/>
      <c r="H91" s="46"/>
      <c r="I91" s="46"/>
      <c r="J91" s="46"/>
      <c r="K91" s="46"/>
      <c r="L91" s="46"/>
      <c r="M91" s="46"/>
      <c r="N91" s="46"/>
      <c r="O91" s="46"/>
      <c r="P91" s="46"/>
      <c r="Q91" s="46"/>
      <c r="R91" s="46"/>
      <c r="S91" s="49"/>
      <c r="T91" s="49"/>
      <c r="U91" s="49"/>
      <c r="V91" s="51"/>
      <c r="W91" s="49"/>
      <c r="X91" s="51"/>
      <c r="Y91" s="52"/>
      <c r="Z91" s="52"/>
      <c r="AA91" s="49"/>
      <c r="AB91" s="50"/>
      <c r="AC91" s="50"/>
      <c r="AD91" s="49"/>
      <c r="AE91" s="49"/>
    </row>
    <row r="92" spans="1:31" s="43" customFormat="1" x14ac:dyDescent="0.3">
      <c r="A92" s="49"/>
      <c r="B92" s="46"/>
      <c r="C92" s="46"/>
      <c r="D92" s="78"/>
      <c r="E92" s="48"/>
      <c r="F92" s="78"/>
      <c r="G92" s="46"/>
      <c r="H92" s="46"/>
      <c r="I92" s="46"/>
      <c r="J92" s="46"/>
      <c r="K92" s="46"/>
      <c r="L92" s="46"/>
      <c r="M92" s="46"/>
      <c r="N92" s="46"/>
      <c r="O92" s="46"/>
      <c r="P92" s="46"/>
      <c r="Q92" s="46"/>
      <c r="R92" s="46"/>
      <c r="S92" s="49"/>
      <c r="T92" s="49"/>
      <c r="U92" s="49"/>
      <c r="V92" s="51"/>
      <c r="W92" s="49"/>
      <c r="X92" s="51"/>
      <c r="Y92" s="52"/>
      <c r="Z92" s="52"/>
      <c r="AA92" s="49"/>
      <c r="AB92" s="50"/>
      <c r="AC92" s="50"/>
      <c r="AD92" s="49"/>
      <c r="AE92" s="49"/>
    </row>
    <row r="93" spans="1:31" s="43" customFormat="1" x14ac:dyDescent="0.3">
      <c r="A93" s="49"/>
      <c r="B93" s="46"/>
      <c r="C93" s="46"/>
      <c r="D93" s="78"/>
      <c r="E93" s="48"/>
      <c r="F93" s="78"/>
      <c r="G93" s="46"/>
      <c r="H93" s="46"/>
      <c r="I93" s="46"/>
      <c r="J93" s="46"/>
      <c r="K93" s="46"/>
      <c r="L93" s="46"/>
      <c r="M93" s="46"/>
      <c r="N93" s="46"/>
      <c r="O93" s="46"/>
      <c r="P93" s="46"/>
      <c r="Q93" s="46"/>
      <c r="R93" s="46"/>
      <c r="S93" s="49"/>
      <c r="T93" s="49"/>
      <c r="U93" s="49"/>
      <c r="V93" s="51"/>
      <c r="W93" s="49"/>
      <c r="X93" s="51"/>
      <c r="Y93" s="52"/>
      <c r="Z93" s="52"/>
      <c r="AA93" s="49"/>
      <c r="AB93" s="50"/>
      <c r="AC93" s="50"/>
      <c r="AD93" s="49"/>
      <c r="AE93" s="49"/>
    </row>
    <row r="94" spans="1:31" s="43" customFormat="1" x14ac:dyDescent="0.3">
      <c r="A94" s="49"/>
      <c r="B94" s="46"/>
      <c r="C94" s="46"/>
      <c r="D94" s="78"/>
      <c r="E94" s="48"/>
      <c r="F94" s="78"/>
      <c r="G94" s="46"/>
      <c r="H94" s="46"/>
      <c r="I94" s="46"/>
      <c r="J94" s="46"/>
      <c r="K94" s="46"/>
      <c r="L94" s="46"/>
      <c r="M94" s="46"/>
      <c r="N94" s="46"/>
      <c r="O94" s="46"/>
      <c r="P94" s="46"/>
      <c r="Q94" s="46"/>
      <c r="R94" s="46"/>
      <c r="S94" s="49"/>
      <c r="T94" s="49"/>
      <c r="U94" s="49"/>
      <c r="V94" s="51"/>
      <c r="W94" s="49"/>
      <c r="X94" s="51"/>
      <c r="Y94" s="52"/>
      <c r="Z94" s="52"/>
      <c r="AA94" s="49"/>
      <c r="AB94" s="50"/>
      <c r="AC94" s="50"/>
      <c r="AD94" s="49"/>
      <c r="AE94" s="49"/>
    </row>
    <row r="95" spans="1:31" s="43" customFormat="1" x14ac:dyDescent="0.3">
      <c r="A95" s="49"/>
      <c r="B95" s="46"/>
      <c r="C95" s="46"/>
      <c r="D95" s="78"/>
      <c r="E95" s="48"/>
      <c r="F95" s="78"/>
      <c r="G95" s="46"/>
      <c r="H95" s="46"/>
      <c r="I95" s="46"/>
      <c r="J95" s="46"/>
      <c r="K95" s="46"/>
      <c r="L95" s="46"/>
      <c r="M95" s="46"/>
      <c r="N95" s="46"/>
      <c r="O95" s="46"/>
      <c r="P95" s="46"/>
      <c r="Q95" s="46"/>
      <c r="R95" s="46"/>
      <c r="S95" s="49"/>
      <c r="T95" s="49"/>
      <c r="U95" s="49"/>
      <c r="V95" s="51"/>
      <c r="W95" s="49"/>
      <c r="X95" s="51"/>
      <c r="Y95" s="52"/>
      <c r="Z95" s="52"/>
      <c r="AA95" s="49"/>
      <c r="AB95" s="50"/>
      <c r="AC95" s="50"/>
      <c r="AD95" s="49"/>
      <c r="AE95" s="49"/>
    </row>
    <row r="96" spans="1:31" s="43" customFormat="1" x14ac:dyDescent="0.3">
      <c r="A96" s="49"/>
      <c r="B96" s="46"/>
      <c r="C96" s="46"/>
      <c r="D96" s="78"/>
      <c r="E96" s="48"/>
      <c r="F96" s="78"/>
      <c r="G96" s="46"/>
      <c r="H96" s="46"/>
      <c r="I96" s="46"/>
      <c r="J96" s="46"/>
      <c r="K96" s="46"/>
      <c r="L96" s="46"/>
      <c r="M96" s="46"/>
      <c r="N96" s="46"/>
      <c r="O96" s="46"/>
      <c r="P96" s="46"/>
      <c r="Q96" s="46"/>
      <c r="R96" s="46"/>
      <c r="S96" s="49"/>
      <c r="T96" s="49"/>
      <c r="U96" s="49"/>
      <c r="V96" s="51"/>
      <c r="W96" s="49"/>
      <c r="X96" s="51"/>
      <c r="Y96" s="52"/>
      <c r="Z96" s="52"/>
      <c r="AA96" s="49"/>
      <c r="AB96" s="50"/>
      <c r="AC96" s="50"/>
      <c r="AD96" s="49"/>
      <c r="AE96" s="49"/>
    </row>
    <row r="97" spans="1:31" s="43" customFormat="1" x14ac:dyDescent="0.3">
      <c r="A97" s="49"/>
      <c r="B97" s="46"/>
      <c r="C97" s="46"/>
      <c r="D97" s="78"/>
      <c r="E97" s="48"/>
      <c r="F97" s="78"/>
      <c r="G97" s="46"/>
      <c r="H97" s="46"/>
      <c r="I97" s="46"/>
      <c r="J97" s="46"/>
      <c r="K97" s="46"/>
      <c r="L97" s="46"/>
      <c r="M97" s="46"/>
      <c r="N97" s="46"/>
      <c r="O97" s="46"/>
      <c r="P97" s="46"/>
      <c r="Q97" s="46"/>
      <c r="R97" s="46"/>
      <c r="S97" s="49"/>
      <c r="T97" s="49"/>
      <c r="U97" s="49"/>
      <c r="V97" s="51"/>
      <c r="W97" s="49"/>
      <c r="X97" s="51"/>
      <c r="Y97" s="52"/>
      <c r="Z97" s="52"/>
      <c r="AA97" s="49"/>
      <c r="AB97" s="50"/>
      <c r="AC97" s="50"/>
      <c r="AD97" s="49"/>
      <c r="AE97" s="49"/>
    </row>
    <row r="98" spans="1:31" s="43" customFormat="1" x14ac:dyDescent="0.3">
      <c r="A98" s="49"/>
      <c r="B98" s="46"/>
      <c r="C98" s="46"/>
      <c r="D98" s="78"/>
      <c r="E98" s="48"/>
      <c r="F98" s="78"/>
      <c r="G98" s="46"/>
      <c r="H98" s="46"/>
      <c r="I98" s="46"/>
      <c r="J98" s="46"/>
      <c r="K98" s="46"/>
      <c r="L98" s="46"/>
      <c r="M98" s="46"/>
      <c r="N98" s="46"/>
      <c r="O98" s="46"/>
      <c r="P98" s="46"/>
      <c r="Q98" s="46"/>
      <c r="R98" s="46"/>
      <c r="S98" s="49"/>
      <c r="T98" s="49"/>
      <c r="U98" s="49"/>
      <c r="V98" s="51"/>
      <c r="W98" s="49"/>
      <c r="X98" s="51"/>
      <c r="Y98" s="52"/>
      <c r="Z98" s="52"/>
      <c r="AA98" s="49"/>
      <c r="AB98" s="50"/>
      <c r="AC98" s="50"/>
      <c r="AD98" s="49"/>
      <c r="AE98" s="49"/>
    </row>
    <row r="99" spans="1:31" s="43" customFormat="1" x14ac:dyDescent="0.3">
      <c r="A99" s="49"/>
      <c r="B99" s="46"/>
      <c r="C99" s="46"/>
      <c r="D99" s="78"/>
      <c r="E99" s="48"/>
      <c r="F99" s="78"/>
      <c r="G99" s="46"/>
      <c r="H99" s="46"/>
      <c r="I99" s="46"/>
      <c r="J99" s="46"/>
      <c r="K99" s="46"/>
      <c r="L99" s="46"/>
      <c r="M99" s="46"/>
      <c r="N99" s="46"/>
      <c r="O99" s="46"/>
      <c r="P99" s="46"/>
      <c r="Q99" s="46"/>
      <c r="R99" s="46"/>
      <c r="S99" s="49"/>
      <c r="T99" s="49"/>
      <c r="U99" s="49"/>
      <c r="V99" s="51"/>
      <c r="W99" s="49"/>
      <c r="X99" s="51"/>
      <c r="Y99" s="52"/>
      <c r="Z99" s="52"/>
      <c r="AA99" s="49"/>
      <c r="AB99" s="50"/>
      <c r="AC99" s="50"/>
      <c r="AD99" s="49"/>
      <c r="AE99" s="49"/>
    </row>
    <row r="100" spans="1:31" s="43" customFormat="1" x14ac:dyDescent="0.3">
      <c r="A100" s="49"/>
      <c r="B100" s="46"/>
      <c r="C100" s="46"/>
      <c r="D100" s="78"/>
      <c r="E100" s="48"/>
      <c r="F100" s="78"/>
      <c r="G100" s="46"/>
      <c r="H100" s="46"/>
      <c r="I100" s="46"/>
      <c r="J100" s="46"/>
      <c r="K100" s="46"/>
      <c r="L100" s="46"/>
      <c r="M100" s="46"/>
      <c r="N100" s="46"/>
      <c r="O100" s="46"/>
      <c r="P100" s="46"/>
      <c r="Q100" s="46"/>
      <c r="R100" s="46"/>
      <c r="S100" s="49"/>
      <c r="T100" s="49"/>
      <c r="U100" s="49"/>
      <c r="V100" s="51"/>
      <c r="W100" s="49"/>
      <c r="X100" s="51"/>
      <c r="Y100" s="52"/>
      <c r="Z100" s="52"/>
      <c r="AA100" s="49"/>
      <c r="AB100" s="50"/>
      <c r="AC100" s="50"/>
      <c r="AD100" s="49"/>
      <c r="AE100" s="49"/>
    </row>
    <row r="101" spans="1:31" s="43" customFormat="1" x14ac:dyDescent="0.3">
      <c r="A101" s="49"/>
      <c r="B101" s="46"/>
      <c r="C101" s="46"/>
      <c r="D101" s="78"/>
      <c r="E101" s="48"/>
      <c r="F101" s="78"/>
      <c r="G101" s="46"/>
      <c r="H101" s="46"/>
      <c r="I101" s="46"/>
      <c r="J101" s="46"/>
      <c r="K101" s="46"/>
      <c r="L101" s="46"/>
      <c r="M101" s="46"/>
      <c r="N101" s="46"/>
      <c r="O101" s="46"/>
      <c r="P101" s="46"/>
      <c r="Q101" s="46"/>
      <c r="R101" s="46"/>
      <c r="S101" s="49"/>
      <c r="T101" s="49"/>
      <c r="U101" s="49"/>
      <c r="V101" s="51"/>
      <c r="W101" s="49"/>
      <c r="X101" s="51"/>
      <c r="Y101" s="52"/>
      <c r="Z101" s="52"/>
      <c r="AA101" s="49"/>
      <c r="AB101" s="50"/>
      <c r="AC101" s="50"/>
      <c r="AD101" s="49"/>
      <c r="AE101" s="49"/>
    </row>
    <row r="102" spans="1:31" s="43" customFormat="1" x14ac:dyDescent="0.3">
      <c r="A102" s="49"/>
      <c r="B102" s="46"/>
      <c r="C102" s="46"/>
      <c r="D102" s="78"/>
      <c r="E102" s="48"/>
      <c r="F102" s="78"/>
      <c r="G102" s="46"/>
      <c r="H102" s="46"/>
      <c r="I102" s="46"/>
      <c r="J102" s="46"/>
      <c r="K102" s="46"/>
      <c r="L102" s="46"/>
      <c r="M102" s="46"/>
      <c r="N102" s="46"/>
      <c r="O102" s="46"/>
      <c r="P102" s="46"/>
      <c r="Q102" s="46"/>
      <c r="R102" s="46"/>
      <c r="S102" s="49"/>
      <c r="T102" s="49"/>
      <c r="U102" s="49"/>
      <c r="V102" s="51"/>
      <c r="W102" s="49"/>
      <c r="X102" s="51"/>
      <c r="Y102" s="52"/>
      <c r="Z102" s="52"/>
      <c r="AA102" s="49"/>
      <c r="AB102" s="50"/>
      <c r="AC102" s="50"/>
      <c r="AD102" s="49"/>
      <c r="AE102" s="49"/>
    </row>
    <row r="103" spans="1:31" s="43" customFormat="1" x14ac:dyDescent="0.3">
      <c r="A103" s="49"/>
      <c r="B103" s="46"/>
      <c r="C103" s="46"/>
      <c r="D103" s="78"/>
      <c r="E103" s="48"/>
      <c r="F103" s="78"/>
      <c r="G103" s="46"/>
      <c r="H103" s="46"/>
      <c r="I103" s="46"/>
      <c r="J103" s="46"/>
      <c r="K103" s="46"/>
      <c r="L103" s="46"/>
      <c r="M103" s="46"/>
      <c r="N103" s="46"/>
      <c r="O103" s="46"/>
      <c r="P103" s="46"/>
      <c r="Q103" s="46"/>
      <c r="R103" s="46"/>
      <c r="S103" s="49"/>
      <c r="T103" s="49"/>
      <c r="U103" s="49"/>
      <c r="V103" s="51"/>
      <c r="W103" s="49"/>
      <c r="X103" s="51"/>
      <c r="Y103" s="52"/>
      <c r="Z103" s="52"/>
      <c r="AA103" s="49"/>
      <c r="AB103" s="50"/>
      <c r="AC103" s="50"/>
      <c r="AD103" s="49"/>
      <c r="AE103" s="49"/>
    </row>
    <row r="104" spans="1:31" s="43" customFormat="1" x14ac:dyDescent="0.3">
      <c r="A104" s="49"/>
      <c r="B104" s="46"/>
      <c r="C104" s="46"/>
      <c r="D104" s="78"/>
      <c r="E104" s="48"/>
      <c r="F104" s="78"/>
      <c r="G104" s="46"/>
      <c r="H104" s="46"/>
      <c r="I104" s="46"/>
      <c r="J104" s="46"/>
      <c r="K104" s="46"/>
      <c r="L104" s="46"/>
      <c r="M104" s="46"/>
      <c r="N104" s="46"/>
      <c r="O104" s="46"/>
      <c r="P104" s="46"/>
      <c r="Q104" s="46"/>
      <c r="R104" s="46"/>
      <c r="S104" s="49"/>
      <c r="T104" s="49"/>
      <c r="U104" s="49"/>
      <c r="V104" s="51"/>
      <c r="W104" s="49"/>
      <c r="X104" s="51"/>
      <c r="Y104" s="52"/>
      <c r="Z104" s="52"/>
      <c r="AA104" s="49"/>
      <c r="AB104" s="50"/>
      <c r="AC104" s="50"/>
      <c r="AD104" s="49"/>
      <c r="AE104" s="49"/>
    </row>
    <row r="105" spans="1:31" s="43" customFormat="1" x14ac:dyDescent="0.3">
      <c r="A105" s="49"/>
      <c r="B105" s="46"/>
      <c r="C105" s="46"/>
      <c r="D105" s="78"/>
      <c r="E105" s="48"/>
      <c r="F105" s="78"/>
      <c r="G105" s="46"/>
      <c r="H105" s="46"/>
      <c r="I105" s="46"/>
      <c r="J105" s="46"/>
      <c r="K105" s="46"/>
      <c r="L105" s="46"/>
      <c r="M105" s="46"/>
      <c r="N105" s="46"/>
      <c r="O105" s="46"/>
      <c r="P105" s="46"/>
      <c r="Q105" s="46"/>
      <c r="R105" s="46"/>
      <c r="S105" s="49"/>
      <c r="T105" s="49"/>
      <c r="U105" s="49"/>
      <c r="V105" s="51"/>
      <c r="W105" s="49"/>
      <c r="X105" s="51"/>
      <c r="Y105" s="52"/>
      <c r="Z105" s="52"/>
      <c r="AA105" s="49"/>
      <c r="AB105" s="50"/>
      <c r="AC105" s="50"/>
      <c r="AD105" s="49"/>
      <c r="AE105" s="49"/>
    </row>
    <row r="106" spans="1:31" s="43" customFormat="1" x14ac:dyDescent="0.3">
      <c r="A106" s="49"/>
      <c r="B106" s="46"/>
      <c r="C106" s="46"/>
      <c r="D106" s="78"/>
      <c r="E106" s="48"/>
      <c r="F106" s="78"/>
      <c r="G106" s="46"/>
      <c r="H106" s="46"/>
      <c r="I106" s="46"/>
      <c r="J106" s="46"/>
      <c r="K106" s="46"/>
      <c r="L106" s="46"/>
      <c r="M106" s="46"/>
      <c r="N106" s="46"/>
      <c r="O106" s="46"/>
      <c r="P106" s="46"/>
      <c r="Q106" s="46"/>
      <c r="R106" s="46"/>
      <c r="S106" s="49"/>
      <c r="T106" s="49"/>
      <c r="U106" s="49"/>
      <c r="V106" s="51"/>
      <c r="W106" s="49"/>
      <c r="X106" s="51"/>
      <c r="Y106" s="52"/>
      <c r="Z106" s="52"/>
      <c r="AA106" s="49"/>
      <c r="AB106" s="50"/>
      <c r="AC106" s="50"/>
      <c r="AD106" s="49"/>
      <c r="AE106" s="49"/>
    </row>
    <row r="107" spans="1:31" s="43" customFormat="1" x14ac:dyDescent="0.3">
      <c r="A107" s="49"/>
      <c r="B107" s="46"/>
      <c r="C107" s="46"/>
      <c r="D107" s="78"/>
      <c r="E107" s="48"/>
      <c r="F107" s="78"/>
      <c r="G107" s="46"/>
      <c r="H107" s="46"/>
      <c r="I107" s="46"/>
      <c r="J107" s="46"/>
      <c r="K107" s="46"/>
      <c r="L107" s="46"/>
      <c r="M107" s="46"/>
      <c r="N107" s="46"/>
      <c r="O107" s="46"/>
      <c r="P107" s="46"/>
      <c r="Q107" s="46"/>
      <c r="R107" s="46"/>
      <c r="S107" s="49"/>
      <c r="T107" s="49"/>
      <c r="U107" s="49"/>
      <c r="V107" s="51"/>
      <c r="W107" s="49"/>
      <c r="X107" s="51"/>
      <c r="Y107" s="52"/>
      <c r="Z107" s="52"/>
      <c r="AA107" s="49"/>
      <c r="AB107" s="50"/>
      <c r="AC107" s="50"/>
      <c r="AD107" s="49"/>
      <c r="AE107" s="49"/>
    </row>
    <row r="108" spans="1:31" s="43" customFormat="1" x14ac:dyDescent="0.3">
      <c r="A108" s="49"/>
      <c r="B108" s="46"/>
      <c r="C108" s="46"/>
      <c r="D108" s="78"/>
      <c r="E108" s="48"/>
      <c r="F108" s="78"/>
      <c r="G108" s="46"/>
      <c r="H108" s="46"/>
      <c r="I108" s="46"/>
      <c r="J108" s="46"/>
      <c r="K108" s="46"/>
      <c r="L108" s="46"/>
      <c r="M108" s="46"/>
      <c r="N108" s="46"/>
      <c r="O108" s="46"/>
      <c r="P108" s="46"/>
      <c r="Q108" s="46"/>
      <c r="R108" s="46"/>
      <c r="S108" s="49"/>
      <c r="T108" s="49"/>
      <c r="U108" s="49"/>
      <c r="V108" s="51"/>
      <c r="W108" s="49"/>
      <c r="X108" s="51"/>
      <c r="Y108" s="52"/>
      <c r="Z108" s="52"/>
      <c r="AA108" s="49"/>
      <c r="AB108" s="50"/>
      <c r="AC108" s="50"/>
      <c r="AD108" s="49"/>
      <c r="AE108" s="49"/>
    </row>
    <row r="109" spans="1:31" s="43" customFormat="1" x14ac:dyDescent="0.3">
      <c r="A109" s="49"/>
      <c r="B109" s="46"/>
      <c r="C109" s="46"/>
      <c r="D109" s="78"/>
      <c r="E109" s="48"/>
      <c r="F109" s="78"/>
      <c r="G109" s="46"/>
      <c r="H109" s="46"/>
      <c r="I109" s="46"/>
      <c r="J109" s="46"/>
      <c r="K109" s="46"/>
      <c r="L109" s="46"/>
      <c r="M109" s="46"/>
      <c r="N109" s="46"/>
      <c r="O109" s="46"/>
      <c r="P109" s="46"/>
      <c r="Q109" s="46"/>
      <c r="R109" s="46"/>
      <c r="S109" s="49"/>
      <c r="T109" s="49"/>
      <c r="U109" s="49"/>
      <c r="V109" s="51"/>
      <c r="W109" s="49"/>
      <c r="X109" s="51"/>
      <c r="Y109" s="52"/>
      <c r="Z109" s="52"/>
      <c r="AA109" s="49"/>
      <c r="AB109" s="50"/>
      <c r="AC109" s="50"/>
      <c r="AD109" s="49"/>
      <c r="AE109" s="49"/>
    </row>
    <row r="110" spans="1:31" s="43" customFormat="1" x14ac:dyDescent="0.3">
      <c r="A110" s="49"/>
      <c r="B110" s="46"/>
      <c r="C110" s="46"/>
      <c r="D110" s="78"/>
      <c r="E110" s="48"/>
      <c r="F110" s="78"/>
      <c r="G110" s="46"/>
      <c r="H110" s="46"/>
      <c r="I110" s="46"/>
      <c r="J110" s="46"/>
      <c r="K110" s="46"/>
      <c r="L110" s="46"/>
      <c r="M110" s="46"/>
      <c r="N110" s="46"/>
      <c r="O110" s="46"/>
      <c r="P110" s="46"/>
      <c r="Q110" s="46"/>
      <c r="R110" s="46"/>
      <c r="S110" s="49"/>
      <c r="T110" s="49"/>
      <c r="U110" s="49"/>
      <c r="V110" s="51"/>
      <c r="W110" s="49"/>
      <c r="X110" s="51"/>
      <c r="Y110" s="52"/>
      <c r="Z110" s="52"/>
      <c r="AA110" s="49"/>
      <c r="AB110" s="50"/>
      <c r="AC110" s="50"/>
      <c r="AD110" s="49"/>
      <c r="AE110" s="49"/>
    </row>
    <row r="111" spans="1:31" s="43" customFormat="1" x14ac:dyDescent="0.3">
      <c r="A111" s="49"/>
      <c r="B111" s="46"/>
      <c r="C111" s="46"/>
      <c r="D111" s="78"/>
      <c r="E111" s="48"/>
      <c r="F111" s="78"/>
      <c r="G111" s="46"/>
      <c r="H111" s="46"/>
      <c r="I111" s="46"/>
      <c r="J111" s="46"/>
      <c r="K111" s="46"/>
      <c r="L111" s="46"/>
      <c r="M111" s="46"/>
      <c r="N111" s="46"/>
      <c r="O111" s="46"/>
      <c r="P111" s="46"/>
      <c r="Q111" s="46"/>
      <c r="R111" s="46"/>
      <c r="S111" s="49"/>
      <c r="T111" s="49"/>
      <c r="U111" s="49"/>
      <c r="V111" s="51"/>
      <c r="W111" s="49"/>
      <c r="X111" s="51"/>
      <c r="Y111" s="52"/>
      <c r="Z111" s="52"/>
      <c r="AA111" s="49"/>
      <c r="AB111" s="50"/>
      <c r="AC111" s="50"/>
      <c r="AD111" s="49"/>
      <c r="AE111" s="49"/>
    </row>
    <row r="112" spans="1:31" s="43" customFormat="1" x14ac:dyDescent="0.3">
      <c r="A112" s="49"/>
      <c r="B112" s="46"/>
      <c r="C112" s="46"/>
      <c r="D112" s="78"/>
      <c r="E112" s="48"/>
      <c r="F112" s="78"/>
      <c r="G112" s="46"/>
      <c r="H112" s="46"/>
      <c r="I112" s="46"/>
      <c r="J112" s="46"/>
      <c r="K112" s="46"/>
      <c r="L112" s="46"/>
      <c r="M112" s="46"/>
      <c r="N112" s="46"/>
      <c r="O112" s="46"/>
      <c r="P112" s="46"/>
      <c r="Q112" s="46"/>
      <c r="R112" s="46"/>
      <c r="S112" s="49"/>
      <c r="T112" s="49"/>
      <c r="U112" s="49"/>
      <c r="V112" s="51"/>
      <c r="W112" s="49"/>
      <c r="X112" s="51"/>
      <c r="Y112" s="52"/>
      <c r="Z112" s="52"/>
      <c r="AA112" s="49"/>
      <c r="AB112" s="50"/>
      <c r="AC112" s="50"/>
      <c r="AD112" s="49"/>
      <c r="AE112" s="49"/>
    </row>
    <row r="113" spans="1:31" s="43" customFormat="1" x14ac:dyDescent="0.3">
      <c r="A113" s="49"/>
      <c r="B113" s="46"/>
      <c r="C113" s="46"/>
      <c r="D113" s="78"/>
      <c r="E113" s="48"/>
      <c r="F113" s="78"/>
      <c r="G113" s="46"/>
      <c r="H113" s="46"/>
      <c r="I113" s="46"/>
      <c r="J113" s="46"/>
      <c r="K113" s="46"/>
      <c r="L113" s="46"/>
      <c r="M113" s="46"/>
      <c r="N113" s="46"/>
      <c r="O113" s="46"/>
      <c r="P113" s="46"/>
      <c r="Q113" s="46"/>
      <c r="R113" s="46"/>
      <c r="S113" s="49"/>
      <c r="T113" s="49"/>
      <c r="U113" s="49"/>
      <c r="V113" s="51"/>
      <c r="W113" s="49"/>
      <c r="X113" s="51"/>
      <c r="Y113" s="52"/>
      <c r="Z113" s="52"/>
      <c r="AA113" s="49"/>
      <c r="AB113" s="50"/>
      <c r="AC113" s="50"/>
      <c r="AD113" s="49"/>
      <c r="AE113" s="49"/>
    </row>
    <row r="114" spans="1:31" s="43" customFormat="1" x14ac:dyDescent="0.3">
      <c r="A114" s="49"/>
      <c r="B114" s="46"/>
      <c r="C114" s="46"/>
      <c r="D114" s="78"/>
      <c r="E114" s="48"/>
      <c r="F114" s="78"/>
      <c r="G114" s="46"/>
      <c r="H114" s="46"/>
      <c r="I114" s="46"/>
      <c r="J114" s="46"/>
      <c r="K114" s="46"/>
      <c r="L114" s="46"/>
      <c r="M114" s="46"/>
      <c r="N114" s="46"/>
      <c r="O114" s="46"/>
      <c r="P114" s="46"/>
      <c r="Q114" s="46"/>
      <c r="R114" s="46"/>
      <c r="S114" s="49"/>
      <c r="T114" s="49"/>
      <c r="U114" s="49"/>
      <c r="V114" s="51"/>
      <c r="W114" s="49"/>
      <c r="X114" s="51"/>
      <c r="Y114" s="52"/>
      <c r="Z114" s="52"/>
      <c r="AA114" s="49"/>
      <c r="AB114" s="50"/>
      <c r="AC114" s="50"/>
      <c r="AD114" s="49"/>
      <c r="AE114" s="49"/>
    </row>
    <row r="115" spans="1:31" s="43" customFormat="1" x14ac:dyDescent="0.3">
      <c r="A115" s="49"/>
      <c r="B115" s="46"/>
      <c r="C115" s="46"/>
      <c r="D115" s="78"/>
      <c r="E115" s="48"/>
      <c r="F115" s="78"/>
      <c r="G115" s="46"/>
      <c r="H115" s="46"/>
      <c r="I115" s="46"/>
      <c r="J115" s="46"/>
      <c r="K115" s="46"/>
      <c r="L115" s="46"/>
      <c r="M115" s="46"/>
      <c r="N115" s="46"/>
      <c r="O115" s="46"/>
      <c r="P115" s="46"/>
      <c r="Q115" s="46"/>
      <c r="R115" s="46"/>
      <c r="S115" s="49"/>
      <c r="T115" s="49"/>
      <c r="U115" s="49"/>
      <c r="V115" s="51"/>
      <c r="W115" s="49"/>
      <c r="X115" s="51"/>
      <c r="Y115" s="52"/>
      <c r="Z115" s="52"/>
      <c r="AA115" s="49"/>
      <c r="AB115" s="50"/>
      <c r="AC115" s="50"/>
      <c r="AD115" s="49"/>
      <c r="AE115" s="49"/>
    </row>
    <row r="116" spans="1:31" s="43" customFormat="1" x14ac:dyDescent="0.3">
      <c r="A116" s="49"/>
      <c r="B116" s="46"/>
      <c r="C116" s="46"/>
      <c r="D116" s="78"/>
      <c r="E116" s="48"/>
      <c r="F116" s="78"/>
      <c r="G116" s="46"/>
      <c r="H116" s="46"/>
      <c r="I116" s="46"/>
      <c r="J116" s="46"/>
      <c r="K116" s="46"/>
      <c r="L116" s="46"/>
      <c r="M116" s="46"/>
      <c r="N116" s="46"/>
      <c r="O116" s="46"/>
      <c r="P116" s="46"/>
      <c r="Q116" s="46"/>
      <c r="R116" s="46"/>
      <c r="S116" s="49"/>
      <c r="T116" s="49"/>
      <c r="U116" s="49"/>
      <c r="V116" s="51"/>
      <c r="W116" s="49"/>
      <c r="X116" s="51"/>
      <c r="Y116" s="52"/>
      <c r="Z116" s="52"/>
      <c r="AA116" s="49"/>
      <c r="AB116" s="50"/>
      <c r="AC116" s="50"/>
      <c r="AD116" s="49"/>
      <c r="AE116" s="49"/>
    </row>
    <row r="117" spans="1:31" s="43" customFormat="1" x14ac:dyDescent="0.3">
      <c r="A117" s="49"/>
      <c r="B117" s="46"/>
      <c r="C117" s="46"/>
      <c r="D117" s="78"/>
      <c r="E117" s="48"/>
      <c r="F117" s="78"/>
      <c r="G117" s="46"/>
      <c r="H117" s="46"/>
      <c r="I117" s="46"/>
      <c r="J117" s="46"/>
      <c r="K117" s="46"/>
      <c r="L117" s="46"/>
      <c r="M117" s="46"/>
      <c r="N117" s="46"/>
      <c r="O117" s="46"/>
      <c r="P117" s="46"/>
      <c r="Q117" s="46"/>
      <c r="R117" s="46"/>
      <c r="S117" s="49"/>
      <c r="T117" s="49"/>
      <c r="U117" s="49"/>
      <c r="V117" s="51"/>
      <c r="W117" s="49"/>
      <c r="X117" s="51"/>
      <c r="Y117" s="52"/>
      <c r="Z117" s="52"/>
      <c r="AA117" s="49"/>
      <c r="AB117" s="50"/>
      <c r="AC117" s="50"/>
      <c r="AD117" s="49"/>
      <c r="AE117" s="49"/>
    </row>
    <row r="118" spans="1:31" s="43" customFormat="1" x14ac:dyDescent="0.3">
      <c r="A118" s="49"/>
      <c r="B118" s="46"/>
      <c r="C118" s="46"/>
      <c r="D118" s="78"/>
      <c r="E118" s="48"/>
      <c r="F118" s="78"/>
      <c r="G118" s="46"/>
      <c r="H118" s="46"/>
      <c r="I118" s="46"/>
      <c r="J118" s="46"/>
      <c r="K118" s="46"/>
      <c r="L118" s="46"/>
      <c r="M118" s="46"/>
      <c r="N118" s="46"/>
      <c r="O118" s="46"/>
      <c r="P118" s="46"/>
      <c r="Q118" s="46"/>
      <c r="R118" s="46"/>
      <c r="S118" s="49"/>
      <c r="T118" s="49"/>
      <c r="U118" s="49"/>
      <c r="V118" s="51"/>
      <c r="W118" s="49"/>
      <c r="X118" s="51"/>
      <c r="Y118" s="52"/>
      <c r="Z118" s="52"/>
      <c r="AA118" s="49"/>
      <c r="AB118" s="50"/>
      <c r="AC118" s="50"/>
      <c r="AD118" s="49"/>
      <c r="AE118" s="49"/>
    </row>
    <row r="119" spans="1:31" s="43" customFormat="1" x14ac:dyDescent="0.3">
      <c r="A119" s="49"/>
      <c r="B119" s="46"/>
      <c r="C119" s="46"/>
      <c r="D119" s="78"/>
      <c r="E119" s="48"/>
      <c r="F119" s="78"/>
      <c r="G119" s="46"/>
      <c r="H119" s="46"/>
      <c r="I119" s="46"/>
      <c r="J119" s="46"/>
      <c r="K119" s="46"/>
      <c r="L119" s="46"/>
      <c r="M119" s="46"/>
      <c r="N119" s="46"/>
      <c r="O119" s="46"/>
      <c r="P119" s="46"/>
      <c r="Q119" s="46"/>
      <c r="R119" s="46"/>
      <c r="S119" s="49"/>
      <c r="T119" s="49"/>
      <c r="U119" s="49"/>
      <c r="V119" s="51"/>
      <c r="W119" s="49"/>
      <c r="X119" s="51"/>
      <c r="Y119" s="52"/>
      <c r="Z119" s="52"/>
      <c r="AA119" s="49"/>
      <c r="AB119" s="50"/>
      <c r="AC119" s="50"/>
      <c r="AD119" s="49"/>
      <c r="AE119" s="49"/>
    </row>
    <row r="120" spans="1:31" s="43" customFormat="1" x14ac:dyDescent="0.3">
      <c r="A120" s="49"/>
      <c r="B120" s="46"/>
      <c r="C120" s="46"/>
      <c r="D120" s="78"/>
      <c r="E120" s="48"/>
      <c r="F120" s="78"/>
      <c r="G120" s="46"/>
      <c r="H120" s="46"/>
      <c r="I120" s="46"/>
      <c r="J120" s="46"/>
      <c r="K120" s="46"/>
      <c r="L120" s="46"/>
      <c r="M120" s="46"/>
      <c r="N120" s="46"/>
      <c r="O120" s="46"/>
      <c r="P120" s="46"/>
      <c r="Q120" s="46"/>
      <c r="R120" s="46"/>
      <c r="S120" s="49"/>
      <c r="T120" s="49"/>
      <c r="U120" s="49"/>
      <c r="V120" s="51"/>
      <c r="W120" s="49"/>
      <c r="X120" s="51"/>
      <c r="Y120" s="52"/>
      <c r="Z120" s="52"/>
      <c r="AA120" s="49"/>
      <c r="AB120" s="50"/>
      <c r="AC120" s="50"/>
      <c r="AD120" s="49"/>
      <c r="AE120" s="49"/>
    </row>
    <row r="121" spans="1:31" s="43" customFormat="1" x14ac:dyDescent="0.3">
      <c r="A121" s="49"/>
      <c r="B121" s="46"/>
      <c r="C121" s="46"/>
      <c r="D121" s="78"/>
      <c r="E121" s="48"/>
      <c r="F121" s="78"/>
      <c r="G121" s="46"/>
      <c r="H121" s="46"/>
      <c r="I121" s="46"/>
      <c r="J121" s="46"/>
      <c r="K121" s="46"/>
      <c r="L121" s="46"/>
      <c r="M121" s="46"/>
      <c r="N121" s="46"/>
      <c r="O121" s="46"/>
      <c r="P121" s="46"/>
      <c r="Q121" s="46"/>
      <c r="R121" s="46"/>
      <c r="S121" s="49"/>
      <c r="T121" s="49"/>
      <c r="U121" s="49"/>
      <c r="V121" s="51"/>
      <c r="W121" s="49"/>
      <c r="X121" s="51"/>
      <c r="Y121" s="52"/>
      <c r="Z121" s="52"/>
      <c r="AA121" s="49"/>
      <c r="AB121" s="50"/>
      <c r="AC121" s="50"/>
      <c r="AD121" s="49"/>
      <c r="AE121" s="49"/>
    </row>
    <row r="122" spans="1:31" s="43" customFormat="1" x14ac:dyDescent="0.3">
      <c r="A122" s="49"/>
      <c r="B122" s="46"/>
      <c r="C122" s="46"/>
      <c r="D122" s="78"/>
      <c r="E122" s="48"/>
      <c r="F122" s="78"/>
      <c r="G122" s="46"/>
      <c r="H122" s="46"/>
      <c r="I122" s="46"/>
      <c r="J122" s="46"/>
      <c r="K122" s="46"/>
      <c r="L122" s="46"/>
      <c r="M122" s="46"/>
      <c r="N122" s="46"/>
      <c r="O122" s="46"/>
      <c r="P122" s="46"/>
      <c r="Q122" s="46"/>
      <c r="R122" s="46"/>
      <c r="S122" s="49"/>
      <c r="T122" s="49"/>
      <c r="U122" s="49"/>
      <c r="V122" s="51"/>
      <c r="W122" s="49"/>
      <c r="X122" s="51"/>
      <c r="Y122" s="52"/>
      <c r="Z122" s="52"/>
      <c r="AA122" s="49"/>
      <c r="AB122" s="50"/>
      <c r="AC122" s="50"/>
      <c r="AD122" s="49"/>
      <c r="AE122" s="49"/>
    </row>
    <row r="123" spans="1:31" s="43" customFormat="1" x14ac:dyDescent="0.3">
      <c r="A123" s="49"/>
      <c r="B123" s="46"/>
      <c r="C123" s="46"/>
      <c r="D123" s="78"/>
      <c r="E123" s="48"/>
      <c r="F123" s="78"/>
      <c r="G123" s="46"/>
      <c r="H123" s="46"/>
      <c r="I123" s="46"/>
      <c r="J123" s="46"/>
      <c r="K123" s="46"/>
      <c r="L123" s="46"/>
      <c r="M123" s="46"/>
      <c r="N123" s="46"/>
      <c r="O123" s="46"/>
      <c r="P123" s="46"/>
      <c r="Q123" s="46"/>
      <c r="R123" s="46"/>
      <c r="S123" s="49"/>
      <c r="T123" s="49"/>
      <c r="U123" s="49"/>
      <c r="V123" s="51"/>
      <c r="W123" s="49"/>
      <c r="X123" s="51"/>
      <c r="Y123" s="52"/>
      <c r="Z123" s="52"/>
      <c r="AA123" s="49"/>
      <c r="AB123" s="50"/>
      <c r="AC123" s="50"/>
      <c r="AD123" s="49"/>
      <c r="AE123" s="49"/>
    </row>
    <row r="124" spans="1:31" s="43" customFormat="1" x14ac:dyDescent="0.3">
      <c r="A124" s="49"/>
      <c r="B124" s="46"/>
      <c r="C124" s="46"/>
      <c r="D124" s="78"/>
      <c r="E124" s="48"/>
      <c r="F124" s="78"/>
      <c r="G124" s="46"/>
      <c r="H124" s="46"/>
      <c r="I124" s="46"/>
      <c r="J124" s="46"/>
      <c r="K124" s="46"/>
      <c r="L124" s="46"/>
      <c r="M124" s="46"/>
      <c r="N124" s="46"/>
      <c r="O124" s="46"/>
      <c r="P124" s="46"/>
      <c r="Q124" s="46"/>
      <c r="R124" s="46"/>
      <c r="S124" s="49"/>
      <c r="T124" s="49"/>
      <c r="U124" s="49"/>
      <c r="V124" s="51"/>
      <c r="W124" s="49"/>
      <c r="X124" s="51"/>
      <c r="Y124" s="52"/>
      <c r="Z124" s="52"/>
      <c r="AA124" s="49"/>
      <c r="AB124" s="50"/>
      <c r="AC124" s="50"/>
      <c r="AD124" s="49"/>
      <c r="AE124" s="49"/>
    </row>
    <row r="125" spans="1:31" s="43" customFormat="1" x14ac:dyDescent="0.3">
      <c r="A125" s="49"/>
      <c r="B125" s="46"/>
      <c r="C125" s="46"/>
      <c r="D125" s="78"/>
      <c r="E125" s="48"/>
      <c r="F125" s="78"/>
      <c r="G125" s="46"/>
      <c r="H125" s="46"/>
      <c r="I125" s="46"/>
      <c r="J125" s="46"/>
      <c r="K125" s="46"/>
      <c r="L125" s="46"/>
      <c r="M125" s="46"/>
      <c r="N125" s="46"/>
      <c r="O125" s="46"/>
      <c r="P125" s="46"/>
      <c r="Q125" s="46"/>
      <c r="R125" s="46"/>
      <c r="S125" s="49"/>
      <c r="T125" s="49"/>
      <c r="U125" s="49"/>
      <c r="V125" s="51"/>
      <c r="W125" s="49"/>
      <c r="X125" s="51"/>
      <c r="Y125" s="52"/>
      <c r="Z125" s="52"/>
      <c r="AA125" s="49"/>
      <c r="AB125" s="50"/>
      <c r="AC125" s="50"/>
      <c r="AD125" s="49"/>
      <c r="AE125" s="49"/>
    </row>
    <row r="126" spans="1:31" s="43" customFormat="1" x14ac:dyDescent="0.3">
      <c r="A126" s="49"/>
      <c r="B126" s="46"/>
      <c r="C126" s="46"/>
      <c r="D126" s="78"/>
      <c r="E126" s="48"/>
      <c r="F126" s="78"/>
      <c r="G126" s="46"/>
      <c r="H126" s="46"/>
      <c r="I126" s="46"/>
      <c r="J126" s="46"/>
      <c r="K126" s="46"/>
      <c r="L126" s="46"/>
      <c r="M126" s="46"/>
      <c r="N126" s="46"/>
      <c r="O126" s="46"/>
      <c r="P126" s="46"/>
      <c r="Q126" s="46"/>
      <c r="R126" s="46"/>
      <c r="S126" s="49"/>
      <c r="T126" s="49"/>
      <c r="U126" s="49"/>
      <c r="V126" s="51"/>
      <c r="W126" s="49"/>
      <c r="X126" s="51"/>
      <c r="Y126" s="52"/>
      <c r="Z126" s="52"/>
      <c r="AA126" s="49"/>
      <c r="AB126" s="50"/>
      <c r="AC126" s="50"/>
      <c r="AD126" s="49"/>
      <c r="AE126" s="49"/>
    </row>
    <row r="127" spans="1:31" s="43" customFormat="1" x14ac:dyDescent="0.3">
      <c r="A127" s="49"/>
      <c r="B127" s="46"/>
      <c r="C127" s="46"/>
      <c r="D127" s="78"/>
      <c r="E127" s="48"/>
      <c r="F127" s="78"/>
      <c r="G127" s="46"/>
      <c r="H127" s="46"/>
      <c r="I127" s="46"/>
      <c r="J127" s="46"/>
      <c r="K127" s="46"/>
      <c r="L127" s="46"/>
      <c r="M127" s="46"/>
      <c r="N127" s="46"/>
      <c r="O127" s="46"/>
      <c r="P127" s="46"/>
      <c r="Q127" s="46"/>
      <c r="R127" s="46"/>
      <c r="S127" s="49"/>
      <c r="T127" s="49"/>
      <c r="U127" s="49"/>
      <c r="V127" s="51"/>
      <c r="W127" s="49"/>
      <c r="X127" s="51"/>
      <c r="Y127" s="52"/>
      <c r="Z127" s="52"/>
      <c r="AA127" s="49"/>
      <c r="AB127" s="50"/>
      <c r="AC127" s="50"/>
      <c r="AD127" s="49"/>
      <c r="AE127" s="49"/>
    </row>
    <row r="128" spans="1:31" s="43" customFormat="1" x14ac:dyDescent="0.3">
      <c r="A128" s="49"/>
      <c r="B128" s="46"/>
      <c r="C128" s="46"/>
      <c r="D128" s="78"/>
      <c r="E128" s="48"/>
      <c r="F128" s="78"/>
      <c r="G128" s="46"/>
      <c r="H128" s="46"/>
      <c r="I128" s="46"/>
      <c r="J128" s="46"/>
      <c r="K128" s="46"/>
      <c r="L128" s="46"/>
      <c r="M128" s="46"/>
      <c r="N128" s="46"/>
      <c r="O128" s="46"/>
      <c r="P128" s="46"/>
      <c r="Q128" s="46"/>
      <c r="R128" s="46"/>
      <c r="S128" s="49"/>
      <c r="T128" s="49"/>
      <c r="U128" s="49"/>
      <c r="V128" s="51"/>
      <c r="W128" s="49"/>
      <c r="X128" s="51"/>
      <c r="Y128" s="52"/>
      <c r="Z128" s="52"/>
      <c r="AA128" s="49"/>
      <c r="AB128" s="50"/>
      <c r="AC128" s="50"/>
      <c r="AD128" s="49"/>
      <c r="AE128" s="49"/>
    </row>
    <row r="129" spans="1:31" s="43" customFormat="1" x14ac:dyDescent="0.3">
      <c r="A129" s="49"/>
      <c r="B129" s="46"/>
      <c r="C129" s="46"/>
      <c r="D129" s="78"/>
      <c r="E129" s="48"/>
      <c r="F129" s="78"/>
      <c r="G129" s="46"/>
      <c r="H129" s="46"/>
      <c r="I129" s="46"/>
      <c r="J129" s="46"/>
      <c r="K129" s="46"/>
      <c r="L129" s="46"/>
      <c r="M129" s="46"/>
      <c r="N129" s="46"/>
      <c r="O129" s="46"/>
      <c r="P129" s="46"/>
      <c r="Q129" s="46"/>
      <c r="R129" s="46"/>
      <c r="S129" s="49"/>
      <c r="T129" s="49"/>
      <c r="U129" s="49"/>
      <c r="V129" s="51"/>
      <c r="W129" s="49"/>
      <c r="X129" s="51"/>
      <c r="Y129" s="52"/>
      <c r="Z129" s="52"/>
      <c r="AA129" s="49"/>
      <c r="AB129" s="50"/>
      <c r="AC129" s="50"/>
      <c r="AD129" s="49"/>
      <c r="AE129" s="49"/>
    </row>
    <row r="130" spans="1:31" s="43" customFormat="1" x14ac:dyDescent="0.3">
      <c r="A130" s="49"/>
      <c r="B130" s="46"/>
      <c r="C130" s="46"/>
      <c r="D130" s="78"/>
      <c r="E130" s="48"/>
      <c r="F130" s="78"/>
      <c r="G130" s="46"/>
      <c r="H130" s="46"/>
      <c r="I130" s="46"/>
      <c r="J130" s="46"/>
      <c r="K130" s="46"/>
      <c r="L130" s="46"/>
      <c r="M130" s="46"/>
      <c r="N130" s="46"/>
      <c r="O130" s="46"/>
      <c r="P130" s="46"/>
      <c r="Q130" s="46"/>
      <c r="R130" s="46"/>
      <c r="S130" s="49"/>
      <c r="T130" s="49"/>
      <c r="U130" s="49"/>
      <c r="V130" s="51"/>
      <c r="W130" s="49"/>
      <c r="X130" s="51"/>
      <c r="Y130" s="52"/>
      <c r="Z130" s="52"/>
      <c r="AA130" s="49"/>
      <c r="AB130" s="50"/>
      <c r="AC130" s="50"/>
      <c r="AD130" s="49"/>
      <c r="AE130" s="49"/>
    </row>
    <row r="131" spans="1:31" s="43" customFormat="1" x14ac:dyDescent="0.3">
      <c r="A131" s="49"/>
      <c r="B131" s="46"/>
      <c r="C131" s="46"/>
      <c r="D131" s="78"/>
      <c r="E131" s="48"/>
      <c r="F131" s="78"/>
      <c r="G131" s="46"/>
      <c r="H131" s="46"/>
      <c r="I131" s="46"/>
      <c r="J131" s="46"/>
      <c r="K131" s="46"/>
      <c r="L131" s="46"/>
      <c r="M131" s="46"/>
      <c r="N131" s="46"/>
      <c r="O131" s="46"/>
      <c r="P131" s="46"/>
      <c r="Q131" s="46"/>
      <c r="R131" s="46"/>
      <c r="S131" s="49"/>
      <c r="T131" s="49"/>
      <c r="U131" s="49"/>
      <c r="V131" s="51"/>
      <c r="W131" s="49"/>
      <c r="X131" s="51"/>
      <c r="Y131" s="52"/>
      <c r="Z131" s="52"/>
      <c r="AA131" s="49"/>
      <c r="AB131" s="50"/>
      <c r="AC131" s="50"/>
      <c r="AD131" s="49"/>
      <c r="AE131" s="49"/>
    </row>
    <row r="132" spans="1:31" s="43" customFormat="1" x14ac:dyDescent="0.3">
      <c r="A132" s="49"/>
      <c r="B132" s="46"/>
      <c r="C132" s="46"/>
      <c r="D132" s="78"/>
      <c r="E132" s="48"/>
      <c r="F132" s="78"/>
      <c r="G132" s="46"/>
      <c r="H132" s="46"/>
      <c r="I132" s="46"/>
      <c r="J132" s="46"/>
      <c r="K132" s="46"/>
      <c r="L132" s="46"/>
      <c r="M132" s="46"/>
      <c r="N132" s="46"/>
      <c r="O132" s="46"/>
      <c r="P132" s="46"/>
      <c r="Q132" s="46"/>
      <c r="R132" s="46"/>
      <c r="S132" s="49"/>
      <c r="T132" s="49"/>
      <c r="U132" s="49"/>
      <c r="V132" s="51"/>
      <c r="W132" s="49"/>
      <c r="X132" s="51"/>
      <c r="Y132" s="52"/>
      <c r="Z132" s="52"/>
      <c r="AA132" s="49"/>
      <c r="AB132" s="50"/>
      <c r="AC132" s="50"/>
      <c r="AD132" s="49"/>
      <c r="AE132" s="49"/>
    </row>
    <row r="133" spans="1:31" s="43" customFormat="1" x14ac:dyDescent="0.3">
      <c r="A133" s="49"/>
      <c r="B133" s="46"/>
      <c r="C133" s="46"/>
      <c r="D133" s="78"/>
      <c r="E133" s="48"/>
      <c r="F133" s="78"/>
      <c r="G133" s="46"/>
      <c r="H133" s="46"/>
      <c r="I133" s="46"/>
      <c r="J133" s="46"/>
      <c r="K133" s="46"/>
      <c r="L133" s="46"/>
      <c r="M133" s="46"/>
      <c r="N133" s="46"/>
      <c r="O133" s="46"/>
      <c r="P133" s="46"/>
      <c r="Q133" s="46"/>
      <c r="R133" s="46"/>
      <c r="S133" s="49"/>
      <c r="T133" s="49"/>
      <c r="U133" s="49"/>
      <c r="V133" s="51"/>
      <c r="W133" s="49"/>
      <c r="X133" s="51"/>
      <c r="Y133" s="52"/>
      <c r="Z133" s="52"/>
      <c r="AA133" s="49"/>
      <c r="AB133" s="50"/>
      <c r="AC133" s="50"/>
      <c r="AD133" s="49"/>
      <c r="AE133" s="49"/>
    </row>
    <row r="134" spans="1:31" s="43" customFormat="1" x14ac:dyDescent="0.3">
      <c r="A134" s="49"/>
      <c r="B134" s="46"/>
      <c r="C134" s="46"/>
      <c r="D134" s="78"/>
      <c r="E134" s="48"/>
      <c r="F134" s="78"/>
      <c r="G134" s="46"/>
      <c r="H134" s="46"/>
      <c r="I134" s="46"/>
      <c r="J134" s="46"/>
      <c r="K134" s="46"/>
      <c r="L134" s="46"/>
      <c r="M134" s="46"/>
      <c r="N134" s="46"/>
      <c r="O134" s="46"/>
      <c r="P134" s="46"/>
      <c r="Q134" s="46"/>
      <c r="R134" s="46"/>
      <c r="S134" s="49"/>
      <c r="T134" s="49"/>
      <c r="U134" s="49"/>
      <c r="V134" s="51"/>
      <c r="W134" s="49"/>
      <c r="X134" s="51"/>
      <c r="Y134" s="52"/>
      <c r="Z134" s="52"/>
      <c r="AA134" s="49"/>
      <c r="AB134" s="50"/>
      <c r="AC134" s="50"/>
      <c r="AD134" s="49"/>
      <c r="AE134" s="49"/>
    </row>
    <row r="135" spans="1:31" s="43" customFormat="1" x14ac:dyDescent="0.3">
      <c r="A135" s="49"/>
      <c r="B135" s="46"/>
      <c r="C135" s="46"/>
      <c r="D135" s="78"/>
      <c r="E135" s="48"/>
      <c r="F135" s="78"/>
      <c r="G135" s="46"/>
      <c r="H135" s="46"/>
      <c r="I135" s="46"/>
      <c r="J135" s="46"/>
      <c r="K135" s="46"/>
      <c r="L135" s="46"/>
      <c r="M135" s="46"/>
      <c r="N135" s="46"/>
      <c r="O135" s="46"/>
      <c r="P135" s="46"/>
      <c r="Q135" s="46"/>
      <c r="R135" s="46"/>
      <c r="S135" s="49"/>
      <c r="T135" s="49"/>
      <c r="U135" s="49"/>
      <c r="V135" s="51"/>
      <c r="W135" s="49"/>
      <c r="X135" s="51"/>
      <c r="Y135" s="52"/>
      <c r="Z135" s="52"/>
      <c r="AA135" s="49"/>
      <c r="AB135" s="50"/>
      <c r="AC135" s="50"/>
      <c r="AD135" s="49"/>
      <c r="AE135" s="49"/>
    </row>
    <row r="136" spans="1:31" s="43" customFormat="1" x14ac:dyDescent="0.3">
      <c r="A136" s="49"/>
      <c r="B136" s="46"/>
      <c r="C136" s="46"/>
      <c r="D136" s="78"/>
      <c r="E136" s="48"/>
      <c r="F136" s="78"/>
      <c r="G136" s="46"/>
      <c r="H136" s="46"/>
      <c r="I136" s="46"/>
      <c r="J136" s="46"/>
      <c r="K136" s="46"/>
      <c r="L136" s="46"/>
      <c r="M136" s="46"/>
      <c r="N136" s="46"/>
      <c r="O136" s="46"/>
      <c r="P136" s="46"/>
      <c r="Q136" s="46"/>
      <c r="R136" s="46"/>
      <c r="S136" s="49"/>
      <c r="T136" s="49"/>
      <c r="U136" s="49"/>
      <c r="V136" s="51"/>
      <c r="W136" s="49"/>
      <c r="X136" s="51"/>
      <c r="Y136" s="52"/>
      <c r="Z136" s="52"/>
      <c r="AA136" s="49"/>
      <c r="AB136" s="50"/>
      <c r="AC136" s="50"/>
      <c r="AD136" s="49"/>
      <c r="AE136" s="49"/>
    </row>
    <row r="137" spans="1:31" s="43" customFormat="1" x14ac:dyDescent="0.3">
      <c r="A137" s="49"/>
      <c r="B137" s="46"/>
      <c r="C137" s="46"/>
      <c r="D137" s="78"/>
      <c r="E137" s="48"/>
      <c r="F137" s="78"/>
      <c r="G137" s="46"/>
      <c r="H137" s="46"/>
      <c r="I137" s="46"/>
      <c r="J137" s="46"/>
      <c r="K137" s="46"/>
      <c r="L137" s="46"/>
      <c r="M137" s="46"/>
      <c r="N137" s="46"/>
      <c r="O137" s="46"/>
      <c r="P137" s="46"/>
      <c r="Q137" s="46"/>
      <c r="R137" s="46"/>
      <c r="S137" s="49"/>
      <c r="T137" s="49"/>
      <c r="U137" s="49"/>
      <c r="V137" s="51"/>
      <c r="W137" s="49"/>
      <c r="X137" s="51"/>
      <c r="Y137" s="52"/>
      <c r="Z137" s="52"/>
      <c r="AA137" s="49"/>
      <c r="AB137" s="50"/>
      <c r="AC137" s="50"/>
      <c r="AD137" s="49"/>
      <c r="AE137" s="49"/>
    </row>
    <row r="138" spans="1:31" s="43" customFormat="1" x14ac:dyDescent="0.3">
      <c r="A138" s="49"/>
      <c r="B138" s="46"/>
      <c r="C138" s="46"/>
      <c r="D138" s="78"/>
      <c r="E138" s="48"/>
      <c r="F138" s="78"/>
      <c r="G138" s="46"/>
      <c r="H138" s="46"/>
      <c r="I138" s="46"/>
      <c r="J138" s="46"/>
      <c r="K138" s="46"/>
      <c r="L138" s="46"/>
      <c r="M138" s="46"/>
      <c r="N138" s="46"/>
      <c r="O138" s="46"/>
      <c r="P138" s="46"/>
      <c r="Q138" s="46"/>
      <c r="R138" s="46"/>
      <c r="S138" s="49"/>
      <c r="T138" s="49"/>
      <c r="U138" s="49"/>
      <c r="V138" s="51"/>
      <c r="W138" s="49"/>
      <c r="X138" s="51"/>
      <c r="Y138" s="52"/>
      <c r="Z138" s="52"/>
      <c r="AA138" s="49"/>
      <c r="AB138" s="50"/>
      <c r="AC138" s="50"/>
      <c r="AD138" s="49"/>
      <c r="AE138" s="49"/>
    </row>
    <row r="139" spans="1:31" s="43" customFormat="1" x14ac:dyDescent="0.3">
      <c r="A139" s="49"/>
      <c r="B139" s="46"/>
      <c r="C139" s="46"/>
      <c r="D139" s="78"/>
      <c r="E139" s="48"/>
      <c r="F139" s="78"/>
      <c r="G139" s="46"/>
      <c r="H139" s="46"/>
      <c r="I139" s="46"/>
      <c r="J139" s="46"/>
      <c r="K139" s="46"/>
      <c r="L139" s="46"/>
      <c r="M139" s="46"/>
      <c r="N139" s="46"/>
      <c r="O139" s="46"/>
      <c r="P139" s="46"/>
      <c r="Q139" s="46"/>
      <c r="R139" s="46"/>
      <c r="S139" s="49"/>
      <c r="T139" s="49"/>
      <c r="U139" s="49"/>
      <c r="V139" s="51"/>
      <c r="W139" s="49"/>
      <c r="X139" s="51"/>
      <c r="Y139" s="52"/>
      <c r="Z139" s="52"/>
      <c r="AA139" s="49"/>
      <c r="AB139" s="50"/>
      <c r="AC139" s="50"/>
      <c r="AD139" s="49"/>
      <c r="AE139" s="49"/>
    </row>
    <row r="140" spans="1:31" s="43" customFormat="1" x14ac:dyDescent="0.3">
      <c r="A140" s="49"/>
      <c r="B140" s="46"/>
      <c r="C140" s="46"/>
      <c r="D140" s="78"/>
      <c r="E140" s="48"/>
      <c r="F140" s="78"/>
      <c r="G140" s="46"/>
      <c r="H140" s="46"/>
      <c r="I140" s="46"/>
      <c r="J140" s="46"/>
      <c r="K140" s="46"/>
      <c r="L140" s="46"/>
      <c r="M140" s="46"/>
      <c r="N140" s="46"/>
      <c r="O140" s="46"/>
      <c r="P140" s="46"/>
      <c r="Q140" s="46"/>
      <c r="R140" s="46"/>
      <c r="S140" s="49"/>
      <c r="T140" s="49"/>
      <c r="U140" s="49"/>
      <c r="V140" s="51"/>
      <c r="W140" s="49"/>
      <c r="X140" s="51"/>
      <c r="Y140" s="52"/>
      <c r="Z140" s="52"/>
      <c r="AA140" s="49"/>
      <c r="AB140" s="50"/>
      <c r="AC140" s="50"/>
      <c r="AD140" s="49"/>
      <c r="AE140" s="49"/>
    </row>
    <row r="141" spans="1:31" s="43" customFormat="1" x14ac:dyDescent="0.3">
      <c r="A141" s="49"/>
      <c r="B141" s="46"/>
      <c r="C141" s="46"/>
      <c r="D141" s="78"/>
      <c r="E141" s="48"/>
      <c r="F141" s="78"/>
      <c r="G141" s="46"/>
      <c r="H141" s="46"/>
      <c r="I141" s="46"/>
      <c r="J141" s="46"/>
      <c r="K141" s="46"/>
      <c r="L141" s="46"/>
      <c r="M141" s="46"/>
      <c r="N141" s="46"/>
      <c r="O141" s="46"/>
      <c r="P141" s="46"/>
      <c r="Q141" s="46"/>
      <c r="R141" s="46"/>
      <c r="S141" s="49"/>
      <c r="T141" s="49"/>
      <c r="U141" s="49"/>
      <c r="V141" s="51"/>
      <c r="W141" s="49"/>
      <c r="X141" s="51"/>
      <c r="Y141" s="52"/>
      <c r="Z141" s="52"/>
      <c r="AA141" s="49"/>
      <c r="AB141" s="50"/>
      <c r="AC141" s="50"/>
      <c r="AD141" s="49"/>
      <c r="AE141" s="49"/>
    </row>
    <row r="142" spans="1:31" s="43" customFormat="1" x14ac:dyDescent="0.3">
      <c r="A142" s="49"/>
      <c r="B142" s="46"/>
      <c r="C142" s="46"/>
      <c r="D142" s="78"/>
      <c r="E142" s="48"/>
      <c r="F142" s="78"/>
      <c r="G142" s="46"/>
      <c r="H142" s="46"/>
      <c r="I142" s="46"/>
      <c r="J142" s="46"/>
      <c r="K142" s="46"/>
      <c r="L142" s="46"/>
      <c r="M142" s="46"/>
      <c r="N142" s="46"/>
      <c r="O142" s="46"/>
      <c r="P142" s="46"/>
      <c r="Q142" s="46"/>
      <c r="R142" s="46"/>
      <c r="S142" s="49"/>
      <c r="T142" s="49"/>
      <c r="U142" s="49"/>
      <c r="V142" s="51"/>
      <c r="W142" s="49"/>
      <c r="X142" s="51"/>
      <c r="Y142" s="52"/>
      <c r="Z142" s="52"/>
      <c r="AA142" s="49"/>
      <c r="AB142" s="50"/>
      <c r="AC142" s="50"/>
      <c r="AD142" s="49"/>
      <c r="AE142" s="49"/>
    </row>
    <row r="143" spans="1:31" s="43" customFormat="1" x14ac:dyDescent="0.3">
      <c r="A143" s="49"/>
      <c r="B143" s="46"/>
      <c r="C143" s="46"/>
      <c r="D143" s="78"/>
      <c r="E143" s="48"/>
      <c r="F143" s="78"/>
      <c r="G143" s="46"/>
      <c r="H143" s="46"/>
      <c r="I143" s="46"/>
      <c r="J143" s="46"/>
      <c r="K143" s="46"/>
      <c r="L143" s="46"/>
      <c r="M143" s="46"/>
      <c r="N143" s="46"/>
      <c r="O143" s="46"/>
      <c r="P143" s="46"/>
      <c r="Q143" s="46"/>
      <c r="R143" s="46"/>
      <c r="S143" s="49"/>
      <c r="T143" s="49"/>
      <c r="U143" s="49"/>
      <c r="V143" s="51"/>
      <c r="W143" s="49"/>
      <c r="X143" s="51"/>
      <c r="Y143" s="52"/>
      <c r="Z143" s="52"/>
      <c r="AA143" s="49"/>
      <c r="AB143" s="50"/>
      <c r="AC143" s="50"/>
      <c r="AD143" s="49"/>
      <c r="AE143" s="49"/>
    </row>
    <row r="144" spans="1:31" s="43" customFormat="1" x14ac:dyDescent="0.3">
      <c r="A144" s="49"/>
      <c r="B144" s="46"/>
      <c r="C144" s="46"/>
      <c r="D144" s="78"/>
      <c r="E144" s="48"/>
      <c r="F144" s="78"/>
      <c r="G144" s="46"/>
      <c r="H144" s="46"/>
      <c r="I144" s="46"/>
      <c r="J144" s="46"/>
      <c r="K144" s="46"/>
      <c r="L144" s="46"/>
      <c r="M144" s="46"/>
      <c r="N144" s="46"/>
      <c r="O144" s="46"/>
      <c r="P144" s="46"/>
      <c r="Q144" s="46"/>
      <c r="R144" s="46"/>
      <c r="S144" s="49"/>
      <c r="T144" s="49"/>
      <c r="U144" s="49"/>
      <c r="V144" s="51"/>
      <c r="W144" s="49"/>
      <c r="X144" s="51"/>
      <c r="Y144" s="52"/>
      <c r="Z144" s="52"/>
      <c r="AA144" s="49"/>
      <c r="AB144" s="50"/>
      <c r="AC144" s="50"/>
      <c r="AD144" s="49"/>
      <c r="AE144" s="49"/>
    </row>
    <row r="145" spans="1:31" s="43" customFormat="1" x14ac:dyDescent="0.3">
      <c r="A145" s="49"/>
      <c r="B145" s="46"/>
      <c r="C145" s="46"/>
      <c r="D145" s="78"/>
      <c r="E145" s="48"/>
      <c r="F145" s="78"/>
      <c r="G145" s="46"/>
      <c r="H145" s="46"/>
      <c r="I145" s="46"/>
      <c r="J145" s="46"/>
      <c r="K145" s="46"/>
      <c r="L145" s="46"/>
      <c r="M145" s="46"/>
      <c r="N145" s="46"/>
      <c r="O145" s="46"/>
      <c r="P145" s="46"/>
      <c r="Q145" s="46"/>
      <c r="R145" s="46"/>
      <c r="S145" s="49"/>
      <c r="T145" s="49"/>
      <c r="U145" s="49"/>
      <c r="V145" s="51"/>
      <c r="W145" s="49"/>
      <c r="X145" s="51"/>
      <c r="Y145" s="52"/>
      <c r="Z145" s="52"/>
      <c r="AA145" s="49"/>
      <c r="AB145" s="50"/>
      <c r="AC145" s="50"/>
      <c r="AD145" s="49"/>
      <c r="AE145" s="49"/>
    </row>
    <row r="146" spans="1:31" s="43" customFormat="1" x14ac:dyDescent="0.3">
      <c r="A146" s="49"/>
      <c r="B146" s="46"/>
      <c r="C146" s="46"/>
      <c r="D146" s="78"/>
      <c r="E146" s="48"/>
      <c r="F146" s="78"/>
      <c r="G146" s="46"/>
      <c r="H146" s="46"/>
      <c r="I146" s="46"/>
      <c r="J146" s="46"/>
      <c r="K146" s="46"/>
      <c r="L146" s="46"/>
      <c r="M146" s="46"/>
      <c r="N146" s="46"/>
      <c r="O146" s="46"/>
      <c r="P146" s="46"/>
      <c r="Q146" s="46"/>
      <c r="R146" s="46"/>
      <c r="S146" s="49"/>
      <c r="T146" s="49"/>
      <c r="U146" s="49"/>
      <c r="V146" s="51"/>
      <c r="W146" s="49"/>
      <c r="X146" s="51"/>
      <c r="Y146" s="52"/>
      <c r="Z146" s="52"/>
      <c r="AA146" s="49"/>
      <c r="AB146" s="50"/>
      <c r="AC146" s="50"/>
      <c r="AD146" s="49"/>
      <c r="AE146" s="49"/>
    </row>
    <row r="147" spans="1:31" s="43" customFormat="1" x14ac:dyDescent="0.3">
      <c r="A147" s="49"/>
      <c r="B147" s="46"/>
      <c r="C147" s="46"/>
      <c r="D147" s="78"/>
      <c r="E147" s="48"/>
      <c r="F147" s="78"/>
      <c r="G147" s="46"/>
      <c r="H147" s="46"/>
      <c r="I147" s="46"/>
      <c r="J147" s="46"/>
      <c r="K147" s="46"/>
      <c r="L147" s="46"/>
      <c r="M147" s="46"/>
      <c r="N147" s="46"/>
      <c r="O147" s="46"/>
      <c r="P147" s="46"/>
      <c r="Q147" s="46"/>
      <c r="R147" s="46"/>
      <c r="S147" s="49"/>
      <c r="T147" s="49"/>
      <c r="U147" s="49"/>
      <c r="V147" s="51"/>
      <c r="W147" s="49"/>
      <c r="X147" s="51"/>
      <c r="Y147" s="52"/>
      <c r="Z147" s="52"/>
      <c r="AA147" s="49"/>
      <c r="AB147" s="50"/>
      <c r="AC147" s="50"/>
      <c r="AD147" s="49"/>
      <c r="AE147" s="49"/>
    </row>
    <row r="148" spans="1:31" s="43" customFormat="1" x14ac:dyDescent="0.3">
      <c r="A148" s="49"/>
      <c r="B148" s="46"/>
      <c r="C148" s="46"/>
      <c r="D148" s="78"/>
      <c r="E148" s="48"/>
      <c r="F148" s="78"/>
      <c r="G148" s="46"/>
      <c r="H148" s="46"/>
      <c r="I148" s="46"/>
      <c r="J148" s="46"/>
      <c r="K148" s="46"/>
      <c r="L148" s="46"/>
      <c r="M148" s="46"/>
      <c r="N148" s="46"/>
      <c r="O148" s="46"/>
      <c r="P148" s="46"/>
      <c r="Q148" s="46"/>
      <c r="R148" s="46"/>
      <c r="S148" s="49"/>
      <c r="T148" s="49"/>
      <c r="U148" s="49"/>
      <c r="V148" s="51"/>
      <c r="W148" s="49"/>
      <c r="X148" s="51"/>
      <c r="Y148" s="52"/>
      <c r="Z148" s="52"/>
      <c r="AA148" s="49"/>
      <c r="AB148" s="50"/>
      <c r="AC148" s="50"/>
      <c r="AD148" s="49"/>
      <c r="AE148" s="49"/>
    </row>
    <row r="149" spans="1:31" s="43" customFormat="1" x14ac:dyDescent="0.3">
      <c r="A149" s="49"/>
      <c r="B149" s="46"/>
      <c r="C149" s="46"/>
      <c r="D149" s="78"/>
      <c r="E149" s="48"/>
      <c r="F149" s="78"/>
      <c r="G149" s="46"/>
      <c r="H149" s="46"/>
      <c r="I149" s="46"/>
      <c r="J149" s="46"/>
      <c r="K149" s="46"/>
      <c r="L149" s="46"/>
      <c r="M149" s="46"/>
      <c r="N149" s="46"/>
      <c r="O149" s="46"/>
      <c r="P149" s="46"/>
      <c r="Q149" s="46"/>
      <c r="R149" s="46"/>
      <c r="S149" s="49"/>
      <c r="T149" s="49"/>
      <c r="U149" s="49"/>
      <c r="V149" s="51"/>
      <c r="W149" s="49"/>
      <c r="X149" s="51"/>
      <c r="Y149" s="52"/>
      <c r="Z149" s="52"/>
      <c r="AA149" s="49"/>
      <c r="AB149" s="50"/>
      <c r="AC149" s="50"/>
      <c r="AD149" s="49"/>
      <c r="AE149" s="49"/>
    </row>
    <row r="150" spans="1:31" s="43" customFormat="1" x14ac:dyDescent="0.3">
      <c r="A150" s="49"/>
      <c r="B150" s="46"/>
      <c r="C150" s="46"/>
      <c r="D150" s="78"/>
      <c r="E150" s="48"/>
      <c r="F150" s="78"/>
      <c r="G150" s="46"/>
      <c r="H150" s="46"/>
      <c r="I150" s="46"/>
      <c r="J150" s="46"/>
      <c r="K150" s="46"/>
      <c r="L150" s="46"/>
      <c r="M150" s="46"/>
      <c r="N150" s="46"/>
      <c r="O150" s="46"/>
      <c r="P150" s="46"/>
      <c r="Q150" s="46"/>
      <c r="R150" s="46"/>
      <c r="S150" s="49"/>
      <c r="T150" s="49"/>
      <c r="U150" s="49"/>
      <c r="V150" s="51"/>
      <c r="W150" s="49"/>
      <c r="X150" s="51"/>
      <c r="Y150" s="52"/>
      <c r="Z150" s="52"/>
      <c r="AA150" s="49"/>
      <c r="AB150" s="50"/>
      <c r="AC150" s="50"/>
      <c r="AD150" s="49"/>
      <c r="AE150" s="49"/>
    </row>
    <row r="151" spans="1:31" s="43" customFormat="1" x14ac:dyDescent="0.3">
      <c r="A151" s="49"/>
      <c r="B151" s="46"/>
      <c r="C151" s="46"/>
      <c r="D151" s="78"/>
      <c r="E151" s="48"/>
      <c r="F151" s="78"/>
      <c r="G151" s="46"/>
      <c r="H151" s="46"/>
      <c r="I151" s="46"/>
      <c r="J151" s="46"/>
      <c r="K151" s="46"/>
      <c r="L151" s="46"/>
      <c r="M151" s="46"/>
      <c r="N151" s="46"/>
      <c r="O151" s="46"/>
      <c r="P151" s="46"/>
      <c r="Q151" s="46"/>
      <c r="R151" s="46"/>
      <c r="S151" s="49"/>
      <c r="T151" s="49"/>
      <c r="U151" s="49"/>
      <c r="V151" s="51"/>
      <c r="W151" s="49"/>
      <c r="X151" s="51"/>
      <c r="Y151" s="52"/>
      <c r="Z151" s="52"/>
      <c r="AA151" s="49"/>
      <c r="AB151" s="50"/>
      <c r="AC151" s="50"/>
      <c r="AD151" s="49"/>
      <c r="AE151" s="49"/>
    </row>
    <row r="152" spans="1:31" s="43" customFormat="1" x14ac:dyDescent="0.3">
      <c r="A152" s="49"/>
      <c r="B152" s="46"/>
      <c r="C152" s="46"/>
      <c r="D152" s="78"/>
      <c r="E152" s="48"/>
      <c r="F152" s="78"/>
      <c r="G152" s="46"/>
      <c r="H152" s="46"/>
      <c r="I152" s="46"/>
      <c r="J152" s="46"/>
      <c r="K152" s="46"/>
      <c r="L152" s="46"/>
      <c r="M152" s="46"/>
      <c r="N152" s="46"/>
      <c r="O152" s="46"/>
      <c r="P152" s="46"/>
      <c r="Q152" s="46"/>
      <c r="R152" s="46"/>
      <c r="S152" s="49"/>
      <c r="T152" s="49"/>
      <c r="U152" s="49"/>
      <c r="V152" s="51"/>
      <c r="W152" s="49"/>
      <c r="X152" s="51"/>
      <c r="Y152" s="52"/>
      <c r="Z152" s="52"/>
      <c r="AA152" s="49"/>
      <c r="AB152" s="50"/>
      <c r="AC152" s="50"/>
      <c r="AD152" s="49"/>
      <c r="AE152" s="49"/>
    </row>
    <row r="153" spans="1:31" s="43" customFormat="1" x14ac:dyDescent="0.3">
      <c r="A153" s="49"/>
      <c r="B153" s="46"/>
      <c r="C153" s="46"/>
      <c r="D153" s="78"/>
      <c r="E153" s="48"/>
      <c r="F153" s="78"/>
      <c r="G153" s="46"/>
      <c r="H153" s="46"/>
      <c r="I153" s="46"/>
      <c r="J153" s="46"/>
      <c r="K153" s="46"/>
      <c r="L153" s="46"/>
      <c r="M153" s="46"/>
      <c r="N153" s="46"/>
      <c r="O153" s="46"/>
      <c r="P153" s="46"/>
      <c r="Q153" s="46"/>
      <c r="R153" s="46"/>
      <c r="S153" s="49"/>
      <c r="T153" s="49"/>
      <c r="U153" s="49"/>
      <c r="V153" s="51"/>
      <c r="W153" s="49"/>
      <c r="X153" s="51"/>
      <c r="Y153" s="52"/>
      <c r="Z153" s="52"/>
      <c r="AA153" s="49"/>
      <c r="AB153" s="50"/>
      <c r="AC153" s="50"/>
      <c r="AD153" s="49"/>
      <c r="AE153" s="49"/>
    </row>
    <row r="154" spans="1:31" s="43" customFormat="1" x14ac:dyDescent="0.3">
      <c r="A154" s="49"/>
      <c r="B154" s="46"/>
      <c r="C154" s="46"/>
      <c r="D154" s="78"/>
      <c r="E154" s="48"/>
      <c r="F154" s="78"/>
      <c r="G154" s="46"/>
      <c r="H154" s="46"/>
      <c r="I154" s="46"/>
      <c r="J154" s="46"/>
      <c r="K154" s="46"/>
      <c r="L154" s="46"/>
      <c r="M154" s="46"/>
      <c r="N154" s="46"/>
      <c r="O154" s="46"/>
      <c r="P154" s="46"/>
      <c r="Q154" s="46"/>
      <c r="R154" s="46"/>
      <c r="S154" s="49"/>
      <c r="T154" s="49"/>
      <c r="U154" s="49"/>
      <c r="V154" s="51"/>
      <c r="W154" s="49"/>
      <c r="X154" s="51"/>
      <c r="Y154" s="52"/>
      <c r="Z154" s="52"/>
      <c r="AA154" s="49"/>
      <c r="AB154" s="50"/>
      <c r="AC154" s="50"/>
      <c r="AD154" s="49"/>
      <c r="AE154" s="49"/>
    </row>
    <row r="155" spans="1:31" s="43" customFormat="1" x14ac:dyDescent="0.3">
      <c r="A155" s="49"/>
      <c r="B155" s="46"/>
      <c r="C155" s="46"/>
      <c r="D155" s="78"/>
      <c r="E155" s="48"/>
      <c r="F155" s="78"/>
      <c r="G155" s="46"/>
      <c r="H155" s="46"/>
      <c r="I155" s="46"/>
      <c r="J155" s="46"/>
      <c r="K155" s="46"/>
      <c r="L155" s="46"/>
      <c r="M155" s="46"/>
      <c r="N155" s="46"/>
      <c r="O155" s="46"/>
      <c r="P155" s="46"/>
      <c r="Q155" s="46"/>
      <c r="R155" s="46"/>
      <c r="S155" s="49"/>
      <c r="T155" s="49"/>
      <c r="U155" s="49"/>
      <c r="V155" s="51"/>
      <c r="W155" s="49"/>
      <c r="X155" s="51"/>
      <c r="Y155" s="52"/>
      <c r="Z155" s="52"/>
      <c r="AA155" s="49"/>
      <c r="AB155" s="50"/>
      <c r="AC155" s="50"/>
      <c r="AD155" s="49"/>
      <c r="AE155" s="49"/>
    </row>
    <row r="156" spans="1:31" s="43" customFormat="1" x14ac:dyDescent="0.3">
      <c r="A156" s="49"/>
      <c r="B156" s="46"/>
      <c r="C156" s="46"/>
      <c r="D156" s="78"/>
      <c r="E156" s="48"/>
      <c r="F156" s="78"/>
      <c r="G156" s="46"/>
      <c r="H156" s="46"/>
      <c r="I156" s="46"/>
      <c r="J156" s="46"/>
      <c r="K156" s="46"/>
      <c r="L156" s="46"/>
      <c r="M156" s="46"/>
      <c r="N156" s="46"/>
      <c r="O156" s="46"/>
      <c r="P156" s="46"/>
      <c r="Q156" s="46"/>
      <c r="R156" s="46"/>
      <c r="S156" s="49"/>
      <c r="T156" s="49"/>
      <c r="U156" s="49"/>
      <c r="V156" s="51"/>
      <c r="W156" s="49"/>
      <c r="X156" s="51"/>
      <c r="Y156" s="52"/>
      <c r="Z156" s="52"/>
      <c r="AA156" s="49"/>
      <c r="AB156" s="50"/>
      <c r="AC156" s="50"/>
      <c r="AD156" s="49"/>
      <c r="AE156" s="49"/>
    </row>
    <row r="157" spans="1:31" s="43" customFormat="1" x14ac:dyDescent="0.3">
      <c r="A157" s="49"/>
      <c r="B157" s="46"/>
      <c r="C157" s="46"/>
      <c r="D157" s="78"/>
      <c r="E157" s="48"/>
      <c r="F157" s="78"/>
      <c r="G157" s="46"/>
      <c r="H157" s="46"/>
      <c r="I157" s="46"/>
      <c r="J157" s="46"/>
      <c r="K157" s="46"/>
      <c r="L157" s="46"/>
      <c r="M157" s="46"/>
      <c r="N157" s="46"/>
      <c r="O157" s="46"/>
      <c r="P157" s="46"/>
      <c r="Q157" s="46"/>
      <c r="R157" s="46"/>
      <c r="S157" s="49"/>
      <c r="T157" s="49"/>
      <c r="U157" s="49"/>
      <c r="V157" s="51"/>
      <c r="W157" s="49"/>
      <c r="X157" s="51"/>
      <c r="Y157" s="52"/>
      <c r="Z157" s="52"/>
      <c r="AA157" s="49"/>
      <c r="AB157" s="50"/>
      <c r="AC157" s="50"/>
      <c r="AD157" s="49"/>
      <c r="AE157" s="49"/>
    </row>
    <row r="158" spans="1:31" s="43" customFormat="1" x14ac:dyDescent="0.3">
      <c r="A158" s="49"/>
      <c r="B158" s="46"/>
      <c r="C158" s="46"/>
      <c r="D158" s="78"/>
      <c r="E158" s="48"/>
      <c r="F158" s="78"/>
      <c r="G158" s="46"/>
      <c r="H158" s="46"/>
      <c r="I158" s="46"/>
      <c r="J158" s="46"/>
      <c r="K158" s="46"/>
      <c r="L158" s="46"/>
      <c r="M158" s="46"/>
      <c r="N158" s="46"/>
      <c r="O158" s="46"/>
      <c r="P158" s="46"/>
      <c r="Q158" s="46"/>
      <c r="R158" s="46"/>
      <c r="S158" s="49"/>
      <c r="T158" s="49"/>
      <c r="U158" s="49"/>
      <c r="V158" s="51"/>
      <c r="W158" s="49"/>
      <c r="X158" s="51"/>
      <c r="Y158" s="52"/>
      <c r="Z158" s="52"/>
      <c r="AA158" s="49"/>
      <c r="AB158" s="50"/>
      <c r="AC158" s="50"/>
      <c r="AD158" s="49"/>
      <c r="AE158" s="49"/>
    </row>
    <row r="159" spans="1:31" s="43" customFormat="1" x14ac:dyDescent="0.3">
      <c r="A159" s="49"/>
      <c r="B159" s="46"/>
      <c r="C159" s="46"/>
      <c r="D159" s="78"/>
      <c r="E159" s="48"/>
      <c r="F159" s="78"/>
      <c r="G159" s="46"/>
      <c r="H159" s="46"/>
      <c r="I159" s="46"/>
      <c r="J159" s="46"/>
      <c r="K159" s="46"/>
      <c r="L159" s="46"/>
      <c r="M159" s="46"/>
      <c r="N159" s="46"/>
      <c r="O159" s="46"/>
      <c r="P159" s="46"/>
      <c r="Q159" s="46"/>
      <c r="R159" s="46"/>
      <c r="S159" s="49"/>
      <c r="T159" s="49"/>
      <c r="U159" s="49"/>
      <c r="V159" s="51"/>
      <c r="W159" s="49"/>
      <c r="X159" s="51"/>
      <c r="Y159" s="52"/>
      <c r="Z159" s="52"/>
      <c r="AA159" s="49"/>
      <c r="AB159" s="50"/>
      <c r="AC159" s="50"/>
      <c r="AD159" s="49"/>
      <c r="AE159" s="49"/>
    </row>
    <row r="160" spans="1:31" s="43" customFormat="1" x14ac:dyDescent="0.3">
      <c r="A160" s="49"/>
      <c r="B160" s="46"/>
      <c r="C160" s="46"/>
      <c r="D160" s="78"/>
      <c r="E160" s="48"/>
      <c r="F160" s="78"/>
      <c r="G160" s="46"/>
      <c r="H160" s="46"/>
      <c r="I160" s="46"/>
      <c r="J160" s="46"/>
      <c r="K160" s="46"/>
      <c r="L160" s="46"/>
      <c r="M160" s="46"/>
      <c r="N160" s="46"/>
      <c r="O160" s="46"/>
      <c r="P160" s="46"/>
      <c r="Q160" s="46"/>
      <c r="R160" s="46"/>
      <c r="S160" s="49"/>
      <c r="T160" s="49"/>
      <c r="U160" s="49"/>
      <c r="V160" s="51"/>
      <c r="W160" s="49"/>
      <c r="X160" s="51"/>
      <c r="Y160" s="52"/>
      <c r="Z160" s="52"/>
      <c r="AA160" s="49"/>
      <c r="AB160" s="50"/>
      <c r="AC160" s="50"/>
      <c r="AD160" s="49"/>
      <c r="AE160" s="49"/>
    </row>
    <row r="161" spans="1:31" s="43" customFormat="1" x14ac:dyDescent="0.3">
      <c r="A161" s="49"/>
      <c r="B161" s="46"/>
      <c r="C161" s="46"/>
      <c r="D161" s="78"/>
      <c r="E161" s="48"/>
      <c r="F161" s="78"/>
      <c r="G161" s="46"/>
      <c r="H161" s="46"/>
      <c r="I161" s="46"/>
      <c r="J161" s="46"/>
      <c r="K161" s="46"/>
      <c r="L161" s="46"/>
      <c r="M161" s="46"/>
      <c r="N161" s="46"/>
      <c r="O161" s="46"/>
      <c r="P161" s="46"/>
      <c r="Q161" s="46"/>
      <c r="R161" s="46"/>
      <c r="S161" s="49"/>
      <c r="T161" s="49"/>
      <c r="U161" s="49"/>
      <c r="V161" s="51"/>
      <c r="W161" s="49"/>
      <c r="X161" s="51"/>
      <c r="Y161" s="52"/>
      <c r="Z161" s="52"/>
      <c r="AA161" s="49"/>
      <c r="AB161" s="50"/>
      <c r="AC161" s="50"/>
      <c r="AD161" s="49"/>
      <c r="AE161" s="49"/>
    </row>
    <row r="162" spans="1:31" s="43" customFormat="1" x14ac:dyDescent="0.3">
      <c r="A162" s="49"/>
      <c r="B162" s="46"/>
      <c r="C162" s="46"/>
      <c r="D162" s="78"/>
      <c r="E162" s="48"/>
      <c r="F162" s="78"/>
      <c r="G162" s="46"/>
      <c r="H162" s="46"/>
      <c r="I162" s="46"/>
      <c r="J162" s="46"/>
      <c r="K162" s="46"/>
      <c r="L162" s="46"/>
      <c r="M162" s="46"/>
      <c r="N162" s="46"/>
      <c r="O162" s="46"/>
      <c r="P162" s="46"/>
      <c r="Q162" s="46"/>
      <c r="R162" s="46"/>
      <c r="S162" s="49"/>
      <c r="T162" s="49"/>
      <c r="U162" s="49"/>
      <c r="V162" s="51"/>
      <c r="W162" s="49"/>
      <c r="X162" s="51"/>
      <c r="Y162" s="52"/>
      <c r="Z162" s="52"/>
      <c r="AA162" s="49"/>
      <c r="AB162" s="50"/>
      <c r="AC162" s="50"/>
      <c r="AD162" s="49"/>
      <c r="AE162" s="49"/>
    </row>
    <row r="163" spans="1:31" s="43" customFormat="1" x14ac:dyDescent="0.3">
      <c r="A163" s="49"/>
      <c r="B163" s="46"/>
      <c r="C163" s="46"/>
      <c r="D163" s="78"/>
      <c r="E163" s="48"/>
      <c r="F163" s="78"/>
      <c r="G163" s="46"/>
      <c r="H163" s="46"/>
      <c r="I163" s="46"/>
      <c r="J163" s="46"/>
      <c r="K163" s="46"/>
      <c r="L163" s="46"/>
      <c r="M163" s="46"/>
      <c r="N163" s="46"/>
      <c r="O163" s="46"/>
      <c r="P163" s="46"/>
      <c r="Q163" s="46"/>
      <c r="R163" s="46"/>
      <c r="S163" s="49"/>
      <c r="T163" s="49"/>
      <c r="U163" s="49"/>
      <c r="V163" s="51"/>
      <c r="W163" s="49"/>
      <c r="X163" s="51"/>
      <c r="Y163" s="52"/>
      <c r="Z163" s="52"/>
      <c r="AA163" s="49"/>
      <c r="AB163" s="50"/>
      <c r="AC163" s="50"/>
      <c r="AD163" s="49"/>
      <c r="AE163" s="49"/>
    </row>
    <row r="164" spans="1:31" s="43" customFormat="1" x14ac:dyDescent="0.3">
      <c r="A164" s="49"/>
      <c r="B164" s="46"/>
      <c r="C164" s="46"/>
      <c r="D164" s="78"/>
      <c r="E164" s="48"/>
      <c r="F164" s="78"/>
      <c r="G164" s="46"/>
      <c r="H164" s="46"/>
      <c r="I164" s="46"/>
      <c r="J164" s="46"/>
      <c r="K164" s="46"/>
      <c r="L164" s="46"/>
      <c r="M164" s="46"/>
      <c r="N164" s="46"/>
      <c r="O164" s="46"/>
      <c r="P164" s="46"/>
      <c r="Q164" s="46"/>
      <c r="R164" s="46"/>
      <c r="S164" s="49"/>
      <c r="T164" s="49"/>
      <c r="U164" s="49"/>
      <c r="V164" s="51"/>
      <c r="W164" s="49"/>
      <c r="X164" s="51"/>
      <c r="Y164" s="52"/>
      <c r="Z164" s="52"/>
      <c r="AA164" s="49"/>
      <c r="AB164" s="50"/>
      <c r="AC164" s="50"/>
      <c r="AD164" s="49"/>
      <c r="AE164" s="49"/>
    </row>
    <row r="165" spans="1:31" s="43" customFormat="1" x14ac:dyDescent="0.3">
      <c r="A165" s="49"/>
      <c r="B165" s="46"/>
      <c r="C165" s="46"/>
      <c r="D165" s="78"/>
      <c r="E165" s="48"/>
      <c r="F165" s="78"/>
      <c r="G165" s="46"/>
      <c r="H165" s="46"/>
      <c r="I165" s="46"/>
      <c r="J165" s="46"/>
      <c r="K165" s="46"/>
      <c r="L165" s="46"/>
      <c r="M165" s="46"/>
      <c r="N165" s="46"/>
      <c r="O165" s="46"/>
      <c r="P165" s="46"/>
      <c r="Q165" s="46"/>
      <c r="R165" s="46"/>
      <c r="S165" s="49"/>
      <c r="T165" s="49"/>
      <c r="U165" s="49"/>
      <c r="V165" s="51"/>
      <c r="W165" s="49"/>
      <c r="X165" s="51"/>
      <c r="Y165" s="52"/>
      <c r="Z165" s="52"/>
      <c r="AA165" s="49"/>
      <c r="AB165" s="50"/>
      <c r="AC165" s="50"/>
      <c r="AD165" s="49"/>
      <c r="AE165" s="49"/>
    </row>
    <row r="166" spans="1:31" s="43" customFormat="1" x14ac:dyDescent="0.3">
      <c r="A166" s="49"/>
      <c r="B166" s="46"/>
      <c r="C166" s="46"/>
      <c r="D166" s="78"/>
      <c r="E166" s="48"/>
      <c r="F166" s="78"/>
      <c r="G166" s="46"/>
      <c r="H166" s="46"/>
      <c r="I166" s="46"/>
      <c r="J166" s="46"/>
      <c r="K166" s="46"/>
      <c r="L166" s="46"/>
      <c r="M166" s="46"/>
      <c r="N166" s="46"/>
      <c r="O166" s="46"/>
      <c r="P166" s="46"/>
      <c r="Q166" s="46"/>
      <c r="R166" s="46"/>
      <c r="S166" s="49"/>
      <c r="T166" s="49"/>
      <c r="U166" s="49"/>
      <c r="V166" s="51"/>
      <c r="W166" s="49"/>
      <c r="X166" s="51"/>
      <c r="Y166" s="52"/>
      <c r="Z166" s="52"/>
      <c r="AA166" s="49"/>
      <c r="AB166" s="50"/>
      <c r="AC166" s="50"/>
      <c r="AD166" s="49"/>
      <c r="AE166" s="49"/>
    </row>
    <row r="167" spans="1:31" s="43" customFormat="1" x14ac:dyDescent="0.3">
      <c r="A167" s="49"/>
      <c r="B167" s="46"/>
      <c r="C167" s="46"/>
      <c r="D167" s="78"/>
      <c r="E167" s="48"/>
      <c r="F167" s="78"/>
      <c r="G167" s="46"/>
      <c r="H167" s="46"/>
      <c r="I167" s="46"/>
      <c r="J167" s="46"/>
      <c r="K167" s="46"/>
      <c r="L167" s="46"/>
      <c r="M167" s="46"/>
      <c r="N167" s="46"/>
      <c r="O167" s="46"/>
      <c r="P167" s="46"/>
      <c r="Q167" s="46"/>
      <c r="R167" s="46"/>
      <c r="S167" s="49"/>
      <c r="T167" s="49"/>
      <c r="U167" s="49"/>
      <c r="V167" s="51"/>
      <c r="W167" s="49"/>
      <c r="X167" s="51"/>
      <c r="Y167" s="52"/>
      <c r="Z167" s="52"/>
      <c r="AA167" s="49"/>
      <c r="AB167" s="50"/>
      <c r="AC167" s="50"/>
      <c r="AD167" s="49"/>
      <c r="AE167" s="49"/>
    </row>
    <row r="168" spans="1:31" s="43" customFormat="1" x14ac:dyDescent="0.3">
      <c r="A168" s="49"/>
      <c r="B168" s="46"/>
      <c r="C168" s="46"/>
      <c r="D168" s="78"/>
      <c r="E168" s="48"/>
      <c r="F168" s="78"/>
      <c r="G168" s="46"/>
      <c r="H168" s="46"/>
      <c r="I168" s="46"/>
      <c r="J168" s="46"/>
      <c r="K168" s="46"/>
      <c r="L168" s="46"/>
      <c r="M168" s="46"/>
      <c r="N168" s="46"/>
      <c r="O168" s="46"/>
      <c r="P168" s="46"/>
      <c r="Q168" s="46"/>
      <c r="R168" s="46"/>
      <c r="S168" s="49"/>
      <c r="T168" s="49"/>
      <c r="U168" s="49"/>
      <c r="V168" s="51"/>
      <c r="W168" s="49"/>
      <c r="X168" s="51"/>
      <c r="Y168" s="52"/>
      <c r="Z168" s="52"/>
      <c r="AA168" s="49"/>
      <c r="AB168" s="50"/>
      <c r="AC168" s="50"/>
      <c r="AD168" s="49"/>
      <c r="AE168" s="49"/>
    </row>
    <row r="169" spans="1:31" s="43" customFormat="1" x14ac:dyDescent="0.3">
      <c r="A169" s="49"/>
      <c r="B169" s="46"/>
      <c r="C169" s="46"/>
      <c r="D169" s="78"/>
      <c r="E169" s="48"/>
      <c r="F169" s="78"/>
      <c r="G169" s="46"/>
      <c r="H169" s="46"/>
      <c r="I169" s="46"/>
      <c r="J169" s="46"/>
      <c r="K169" s="46"/>
      <c r="L169" s="46"/>
      <c r="M169" s="46"/>
      <c r="N169" s="46"/>
      <c r="O169" s="46"/>
      <c r="P169" s="46"/>
      <c r="Q169" s="46"/>
      <c r="R169" s="46"/>
      <c r="S169" s="49"/>
      <c r="T169" s="49"/>
      <c r="U169" s="49"/>
      <c r="V169" s="51"/>
      <c r="W169" s="49"/>
      <c r="X169" s="51"/>
      <c r="Y169" s="52"/>
      <c r="Z169" s="52"/>
      <c r="AA169" s="49"/>
      <c r="AB169" s="50"/>
      <c r="AC169" s="50"/>
      <c r="AD169" s="49"/>
      <c r="AE169" s="49"/>
    </row>
    <row r="170" spans="1:31" s="43" customFormat="1" x14ac:dyDescent="0.3">
      <c r="A170" s="49"/>
      <c r="B170" s="46"/>
      <c r="C170" s="46"/>
      <c r="D170" s="78"/>
      <c r="E170" s="48"/>
      <c r="F170" s="78"/>
      <c r="G170" s="46"/>
      <c r="H170" s="46"/>
      <c r="I170" s="46"/>
      <c r="J170" s="46"/>
      <c r="K170" s="46"/>
      <c r="L170" s="46"/>
      <c r="M170" s="46"/>
      <c r="N170" s="46"/>
      <c r="O170" s="46"/>
      <c r="P170" s="46"/>
      <c r="Q170" s="46"/>
      <c r="R170" s="46"/>
      <c r="S170" s="49"/>
      <c r="T170" s="49"/>
      <c r="U170" s="49"/>
      <c r="V170" s="51"/>
      <c r="W170" s="49"/>
      <c r="X170" s="51"/>
      <c r="Y170" s="52"/>
      <c r="Z170" s="52"/>
      <c r="AA170" s="49"/>
      <c r="AB170" s="50"/>
      <c r="AC170" s="50"/>
      <c r="AD170" s="49"/>
      <c r="AE170" s="49"/>
    </row>
    <row r="171" spans="1:31" s="43" customFormat="1" x14ac:dyDescent="0.3">
      <c r="A171" s="49"/>
      <c r="B171" s="46"/>
      <c r="C171" s="46"/>
      <c r="D171" s="78"/>
      <c r="E171" s="48"/>
      <c r="F171" s="78"/>
      <c r="G171" s="46"/>
      <c r="H171" s="46"/>
      <c r="I171" s="46"/>
      <c r="J171" s="46"/>
      <c r="K171" s="46"/>
      <c r="L171" s="46"/>
      <c r="M171" s="46"/>
      <c r="N171" s="46"/>
      <c r="O171" s="46"/>
      <c r="P171" s="46"/>
      <c r="Q171" s="46"/>
      <c r="R171" s="46"/>
      <c r="S171" s="49"/>
      <c r="T171" s="49"/>
      <c r="U171" s="49"/>
      <c r="V171" s="51"/>
      <c r="W171" s="49"/>
      <c r="X171" s="51"/>
      <c r="Y171" s="52"/>
      <c r="Z171" s="52"/>
      <c r="AA171" s="49"/>
      <c r="AB171" s="50"/>
      <c r="AC171" s="50"/>
      <c r="AD171" s="49"/>
      <c r="AE171" s="49"/>
    </row>
    <row r="172" spans="1:31" s="43" customFormat="1" x14ac:dyDescent="0.3">
      <c r="A172" s="49"/>
      <c r="B172" s="46"/>
      <c r="C172" s="46"/>
      <c r="D172" s="78"/>
      <c r="E172" s="48"/>
      <c r="F172" s="78"/>
      <c r="G172" s="46"/>
      <c r="H172" s="46"/>
      <c r="I172" s="46"/>
      <c r="J172" s="46"/>
      <c r="K172" s="46"/>
      <c r="L172" s="46"/>
      <c r="M172" s="46"/>
      <c r="N172" s="46"/>
      <c r="O172" s="46"/>
      <c r="P172" s="46"/>
      <c r="Q172" s="46"/>
      <c r="R172" s="46"/>
      <c r="S172" s="49"/>
      <c r="T172" s="49"/>
      <c r="U172" s="49"/>
      <c r="V172" s="51"/>
      <c r="W172" s="49"/>
      <c r="X172" s="51"/>
      <c r="Y172" s="52"/>
      <c r="Z172" s="52"/>
      <c r="AA172" s="49"/>
      <c r="AB172" s="50"/>
      <c r="AC172" s="50"/>
      <c r="AD172" s="49"/>
      <c r="AE172" s="49"/>
    </row>
    <row r="173" spans="1:31" s="43" customFormat="1" x14ac:dyDescent="0.3">
      <c r="A173" s="49"/>
      <c r="B173" s="46"/>
      <c r="C173" s="46"/>
      <c r="D173" s="78"/>
      <c r="E173" s="48"/>
      <c r="F173" s="78"/>
      <c r="G173" s="46"/>
      <c r="H173" s="46"/>
      <c r="I173" s="46"/>
      <c r="J173" s="46"/>
      <c r="K173" s="46"/>
      <c r="L173" s="46"/>
      <c r="M173" s="46"/>
      <c r="N173" s="46"/>
      <c r="O173" s="46"/>
      <c r="P173" s="46"/>
      <c r="Q173" s="46"/>
      <c r="R173" s="46"/>
      <c r="S173" s="49"/>
      <c r="T173" s="49"/>
      <c r="U173" s="49"/>
      <c r="V173" s="51"/>
      <c r="W173" s="49"/>
      <c r="X173" s="51"/>
      <c r="Y173" s="52"/>
      <c r="Z173" s="52"/>
      <c r="AA173" s="49"/>
      <c r="AB173" s="50"/>
      <c r="AC173" s="50"/>
      <c r="AD173" s="49"/>
      <c r="AE173" s="49"/>
    </row>
    <row r="174" spans="1:31" s="43" customFormat="1" x14ac:dyDescent="0.3">
      <c r="A174" s="49"/>
      <c r="B174" s="46"/>
      <c r="C174" s="46"/>
      <c r="D174" s="78"/>
      <c r="E174" s="48"/>
      <c r="F174" s="78"/>
      <c r="G174" s="46"/>
      <c r="H174" s="46"/>
      <c r="I174" s="46"/>
      <c r="J174" s="46"/>
      <c r="K174" s="46"/>
      <c r="L174" s="46"/>
      <c r="M174" s="46"/>
      <c r="N174" s="46"/>
      <c r="O174" s="46"/>
      <c r="P174" s="46"/>
      <c r="Q174" s="46"/>
      <c r="R174" s="46"/>
      <c r="S174" s="49"/>
      <c r="T174" s="49"/>
      <c r="U174" s="49"/>
      <c r="V174" s="51"/>
      <c r="W174" s="49"/>
      <c r="X174" s="51"/>
      <c r="Y174" s="52"/>
      <c r="Z174" s="52"/>
      <c r="AA174" s="49"/>
      <c r="AB174" s="50"/>
      <c r="AC174" s="50"/>
      <c r="AD174" s="49"/>
      <c r="AE174" s="49"/>
    </row>
    <row r="175" spans="1:31" s="43" customFormat="1" x14ac:dyDescent="0.3">
      <c r="A175" s="49"/>
      <c r="B175" s="46"/>
      <c r="C175" s="46"/>
      <c r="D175" s="78"/>
      <c r="E175" s="48"/>
      <c r="F175" s="78"/>
      <c r="G175" s="46"/>
      <c r="H175" s="46"/>
      <c r="I175" s="46"/>
      <c r="J175" s="46"/>
      <c r="K175" s="46"/>
      <c r="L175" s="46"/>
      <c r="M175" s="46"/>
      <c r="N175" s="46"/>
      <c r="O175" s="46"/>
      <c r="P175" s="46"/>
      <c r="Q175" s="46"/>
      <c r="R175" s="46"/>
      <c r="S175" s="49"/>
      <c r="T175" s="49"/>
      <c r="U175" s="49"/>
      <c r="V175" s="51"/>
      <c r="W175" s="49"/>
      <c r="X175" s="51"/>
      <c r="Y175" s="52"/>
      <c r="Z175" s="52"/>
      <c r="AA175" s="49"/>
      <c r="AB175" s="50"/>
      <c r="AC175" s="50"/>
      <c r="AD175" s="49"/>
      <c r="AE175" s="49"/>
    </row>
    <row r="176" spans="1:31" s="43" customFormat="1" x14ac:dyDescent="0.3">
      <c r="A176" s="49"/>
      <c r="B176" s="46"/>
      <c r="C176" s="46"/>
      <c r="D176" s="78"/>
      <c r="E176" s="48"/>
      <c r="F176" s="78"/>
      <c r="G176" s="46"/>
      <c r="H176" s="46"/>
      <c r="I176" s="46"/>
      <c r="J176" s="46"/>
      <c r="K176" s="46"/>
      <c r="L176" s="46"/>
      <c r="M176" s="46"/>
      <c r="N176" s="46"/>
      <c r="O176" s="46"/>
      <c r="P176" s="46"/>
      <c r="Q176" s="46"/>
      <c r="R176" s="46"/>
      <c r="S176" s="49"/>
      <c r="T176" s="49"/>
      <c r="U176" s="49"/>
      <c r="V176" s="51"/>
      <c r="W176" s="49"/>
      <c r="X176" s="51"/>
      <c r="Y176" s="52"/>
      <c r="Z176" s="52"/>
      <c r="AA176" s="49"/>
      <c r="AB176" s="50"/>
      <c r="AC176" s="50"/>
      <c r="AD176" s="49"/>
      <c r="AE176" s="49"/>
    </row>
    <row r="177" spans="1:31" s="43" customFormat="1" x14ac:dyDescent="0.3">
      <c r="A177" s="49"/>
      <c r="B177" s="46"/>
      <c r="C177" s="46"/>
      <c r="D177" s="78"/>
      <c r="E177" s="48"/>
      <c r="F177" s="78"/>
      <c r="G177" s="46"/>
      <c r="H177" s="46"/>
      <c r="I177" s="46"/>
      <c r="J177" s="46"/>
      <c r="K177" s="46"/>
      <c r="L177" s="46"/>
      <c r="M177" s="46"/>
      <c r="N177" s="46"/>
      <c r="O177" s="46"/>
      <c r="P177" s="46"/>
      <c r="Q177" s="46"/>
      <c r="R177" s="46"/>
      <c r="S177" s="49"/>
      <c r="T177" s="49"/>
      <c r="U177" s="49"/>
      <c r="V177" s="51"/>
      <c r="W177" s="49"/>
      <c r="X177" s="51"/>
      <c r="Y177" s="52"/>
      <c r="Z177" s="52"/>
      <c r="AA177" s="49"/>
      <c r="AB177" s="50"/>
      <c r="AC177" s="50"/>
      <c r="AD177" s="49"/>
      <c r="AE177" s="49"/>
    </row>
    <row r="178" spans="1:31" s="43" customFormat="1" x14ac:dyDescent="0.3">
      <c r="A178" s="49"/>
      <c r="B178" s="46"/>
      <c r="C178" s="46"/>
      <c r="D178" s="78"/>
      <c r="E178" s="48"/>
      <c r="F178" s="78"/>
      <c r="G178" s="46"/>
      <c r="H178" s="46"/>
      <c r="I178" s="46"/>
      <c r="J178" s="46"/>
      <c r="K178" s="46"/>
      <c r="L178" s="46"/>
      <c r="M178" s="46"/>
      <c r="N178" s="46"/>
      <c r="O178" s="46"/>
      <c r="P178" s="46"/>
      <c r="Q178" s="46"/>
      <c r="R178" s="46"/>
      <c r="S178" s="49"/>
      <c r="T178" s="49"/>
      <c r="U178" s="49"/>
      <c r="V178" s="51"/>
      <c r="W178" s="49"/>
      <c r="X178" s="51"/>
      <c r="Y178" s="52"/>
      <c r="Z178" s="52"/>
      <c r="AA178" s="49"/>
      <c r="AB178" s="50"/>
      <c r="AC178" s="50"/>
      <c r="AD178" s="49"/>
      <c r="AE178" s="49"/>
    </row>
    <row r="179" spans="1:31" s="43" customFormat="1" x14ac:dyDescent="0.3">
      <c r="A179" s="49"/>
      <c r="B179" s="46"/>
      <c r="C179" s="46"/>
      <c r="D179" s="78"/>
      <c r="E179" s="48"/>
      <c r="F179" s="78"/>
      <c r="G179" s="46"/>
      <c r="H179" s="46"/>
      <c r="I179" s="46"/>
      <c r="J179" s="46"/>
      <c r="K179" s="46"/>
      <c r="L179" s="46"/>
      <c r="M179" s="46"/>
      <c r="N179" s="46"/>
      <c r="O179" s="46"/>
      <c r="P179" s="46"/>
      <c r="Q179" s="46"/>
      <c r="R179" s="46"/>
      <c r="S179" s="49"/>
      <c r="T179" s="49"/>
      <c r="U179" s="49"/>
      <c r="V179" s="51"/>
      <c r="W179" s="49"/>
      <c r="X179" s="51"/>
      <c r="Y179" s="52"/>
      <c r="Z179" s="52"/>
      <c r="AA179" s="49"/>
      <c r="AB179" s="50"/>
      <c r="AC179" s="50"/>
      <c r="AD179" s="49"/>
      <c r="AE179" s="49"/>
    </row>
    <row r="180" spans="1:31" s="43" customFormat="1" x14ac:dyDescent="0.3">
      <c r="A180" s="49"/>
      <c r="B180" s="46"/>
      <c r="C180" s="46"/>
      <c r="D180" s="78"/>
      <c r="E180" s="48"/>
      <c r="F180" s="78"/>
      <c r="G180" s="46"/>
      <c r="H180" s="46"/>
      <c r="I180" s="46"/>
      <c r="J180" s="46"/>
      <c r="K180" s="46"/>
      <c r="L180" s="46"/>
      <c r="M180" s="46"/>
      <c r="N180" s="46"/>
      <c r="O180" s="46"/>
      <c r="P180" s="46"/>
      <c r="Q180" s="46"/>
      <c r="R180" s="46"/>
      <c r="S180" s="49"/>
      <c r="T180" s="49"/>
      <c r="U180" s="49"/>
      <c r="V180" s="51"/>
      <c r="W180" s="49"/>
      <c r="X180" s="51"/>
      <c r="Y180" s="52"/>
      <c r="Z180" s="52"/>
      <c r="AA180" s="49"/>
      <c r="AB180" s="50"/>
      <c r="AC180" s="50"/>
      <c r="AD180" s="49"/>
      <c r="AE180" s="49"/>
    </row>
    <row r="181" spans="1:31" s="43" customFormat="1" x14ac:dyDescent="0.3">
      <c r="A181" s="49"/>
      <c r="B181" s="46"/>
      <c r="C181" s="46"/>
      <c r="D181" s="78"/>
      <c r="E181" s="48"/>
      <c r="F181" s="78"/>
      <c r="G181" s="46"/>
      <c r="H181" s="46"/>
      <c r="I181" s="46"/>
      <c r="J181" s="46"/>
      <c r="K181" s="46"/>
      <c r="L181" s="46"/>
      <c r="M181" s="46"/>
      <c r="N181" s="46"/>
      <c r="O181" s="46"/>
      <c r="P181" s="46"/>
      <c r="Q181" s="46"/>
      <c r="R181" s="46"/>
      <c r="S181" s="49"/>
      <c r="T181" s="49"/>
      <c r="U181" s="49"/>
      <c r="V181" s="51"/>
      <c r="W181" s="49"/>
      <c r="X181" s="51"/>
      <c r="Y181" s="52"/>
      <c r="Z181" s="52"/>
      <c r="AA181" s="49"/>
      <c r="AB181" s="50"/>
      <c r="AC181" s="50"/>
      <c r="AD181" s="49"/>
      <c r="AE181" s="49"/>
    </row>
    <row r="182" spans="1:31" s="43" customFormat="1" x14ac:dyDescent="0.3">
      <c r="A182" s="49"/>
      <c r="B182" s="46"/>
      <c r="C182" s="46"/>
      <c r="D182" s="78"/>
      <c r="E182" s="48"/>
      <c r="F182" s="78"/>
      <c r="G182" s="46"/>
      <c r="H182" s="46"/>
      <c r="I182" s="46"/>
      <c r="J182" s="46"/>
      <c r="K182" s="46"/>
      <c r="L182" s="46"/>
      <c r="M182" s="46"/>
      <c r="N182" s="46"/>
      <c r="O182" s="46"/>
      <c r="P182" s="46"/>
      <c r="Q182" s="46"/>
      <c r="R182" s="46"/>
      <c r="S182" s="49"/>
      <c r="T182" s="49"/>
      <c r="U182" s="49"/>
      <c r="V182" s="51"/>
      <c r="W182" s="49"/>
      <c r="X182" s="51"/>
      <c r="Y182" s="52"/>
      <c r="Z182" s="52"/>
      <c r="AA182" s="49"/>
      <c r="AB182" s="50"/>
      <c r="AC182" s="50"/>
      <c r="AD182" s="49"/>
      <c r="AE182" s="49"/>
    </row>
    <row r="183" spans="1:31" s="43" customFormat="1" x14ac:dyDescent="0.3">
      <c r="A183" s="49"/>
      <c r="B183" s="46"/>
      <c r="C183" s="46"/>
      <c r="D183" s="78"/>
      <c r="E183" s="48"/>
      <c r="F183" s="78"/>
      <c r="G183" s="46"/>
      <c r="H183" s="46"/>
      <c r="I183" s="46"/>
      <c r="J183" s="46"/>
      <c r="K183" s="46"/>
      <c r="L183" s="46"/>
      <c r="M183" s="46"/>
      <c r="N183" s="46"/>
      <c r="O183" s="46"/>
      <c r="P183" s="46"/>
      <c r="Q183" s="46"/>
      <c r="R183" s="46"/>
      <c r="S183" s="49"/>
      <c r="T183" s="49"/>
      <c r="U183" s="49"/>
      <c r="V183" s="51"/>
      <c r="W183" s="49"/>
      <c r="X183" s="51"/>
      <c r="Y183" s="52"/>
      <c r="Z183" s="52"/>
      <c r="AA183" s="49"/>
      <c r="AB183" s="50"/>
      <c r="AC183" s="50"/>
      <c r="AD183" s="49"/>
      <c r="AE183" s="49"/>
    </row>
    <row r="184" spans="1:31" s="43" customFormat="1" x14ac:dyDescent="0.3">
      <c r="A184" s="49"/>
      <c r="B184" s="46"/>
      <c r="C184" s="46"/>
      <c r="D184" s="78"/>
      <c r="E184" s="48"/>
      <c r="F184" s="78"/>
      <c r="G184" s="46"/>
      <c r="H184" s="46"/>
      <c r="I184" s="46"/>
      <c r="J184" s="46"/>
      <c r="K184" s="46"/>
      <c r="L184" s="46"/>
      <c r="M184" s="46"/>
      <c r="N184" s="46"/>
      <c r="O184" s="46"/>
      <c r="P184" s="46"/>
      <c r="Q184" s="46"/>
      <c r="R184" s="46"/>
      <c r="S184" s="49"/>
      <c r="T184" s="49"/>
      <c r="U184" s="49"/>
      <c r="V184" s="51"/>
      <c r="W184" s="49"/>
      <c r="X184" s="51"/>
      <c r="Y184" s="52"/>
      <c r="Z184" s="52"/>
      <c r="AA184" s="49"/>
      <c r="AB184" s="50"/>
      <c r="AC184" s="50"/>
      <c r="AD184" s="49"/>
      <c r="AE184" s="49"/>
    </row>
    <row r="185" spans="1:31" s="43" customFormat="1" x14ac:dyDescent="0.3">
      <c r="A185" s="49"/>
      <c r="B185" s="46"/>
      <c r="C185" s="46"/>
      <c r="D185" s="78"/>
      <c r="E185" s="48"/>
      <c r="F185" s="78"/>
      <c r="G185" s="46"/>
      <c r="H185" s="46"/>
      <c r="I185" s="46"/>
      <c r="J185" s="46"/>
      <c r="K185" s="46"/>
      <c r="L185" s="46"/>
      <c r="M185" s="46"/>
      <c r="N185" s="46"/>
      <c r="O185" s="46"/>
      <c r="P185" s="46"/>
      <c r="Q185" s="46"/>
      <c r="R185" s="46"/>
      <c r="S185" s="49"/>
      <c r="T185" s="49"/>
      <c r="U185" s="49"/>
      <c r="V185" s="51"/>
      <c r="W185" s="49"/>
      <c r="X185" s="51"/>
      <c r="Y185" s="52"/>
      <c r="Z185" s="52"/>
      <c r="AA185" s="49"/>
      <c r="AB185" s="50"/>
      <c r="AC185" s="50"/>
      <c r="AD185" s="49"/>
      <c r="AE185" s="49"/>
    </row>
    <row r="186" spans="1:31" s="43" customFormat="1" x14ac:dyDescent="0.3">
      <c r="A186" s="49"/>
      <c r="B186" s="46"/>
      <c r="C186" s="46"/>
      <c r="D186" s="78"/>
      <c r="E186" s="48"/>
      <c r="F186" s="78"/>
      <c r="G186" s="46"/>
      <c r="H186" s="46"/>
      <c r="I186" s="46"/>
      <c r="J186" s="46"/>
      <c r="K186" s="46"/>
      <c r="L186" s="46"/>
      <c r="M186" s="46"/>
      <c r="N186" s="46"/>
      <c r="O186" s="46"/>
      <c r="P186" s="46"/>
      <c r="Q186" s="46"/>
      <c r="R186" s="46"/>
      <c r="S186" s="49"/>
      <c r="T186" s="49"/>
      <c r="U186" s="49"/>
      <c r="V186" s="51"/>
      <c r="W186" s="49"/>
      <c r="X186" s="51"/>
      <c r="Y186" s="52"/>
      <c r="Z186" s="52"/>
      <c r="AA186" s="49"/>
      <c r="AB186" s="50"/>
      <c r="AC186" s="50"/>
      <c r="AD186" s="49"/>
      <c r="AE186" s="49"/>
    </row>
    <row r="187" spans="1:31" s="43" customFormat="1" x14ac:dyDescent="0.3">
      <c r="A187" s="49"/>
      <c r="B187" s="46"/>
      <c r="C187" s="46"/>
      <c r="D187" s="78"/>
      <c r="E187" s="48"/>
      <c r="F187" s="78"/>
      <c r="G187" s="46"/>
      <c r="H187" s="46"/>
      <c r="I187" s="46"/>
      <c r="J187" s="46"/>
      <c r="K187" s="46"/>
      <c r="L187" s="46"/>
      <c r="M187" s="46"/>
      <c r="N187" s="46"/>
      <c r="O187" s="46"/>
      <c r="P187" s="46"/>
      <c r="Q187" s="46"/>
      <c r="R187" s="46"/>
      <c r="S187" s="49"/>
      <c r="T187" s="49"/>
      <c r="U187" s="49"/>
      <c r="V187" s="51"/>
      <c r="W187" s="49"/>
      <c r="X187" s="51"/>
      <c r="Y187" s="52"/>
      <c r="Z187" s="52"/>
      <c r="AA187" s="49"/>
      <c r="AB187" s="50"/>
      <c r="AC187" s="50"/>
      <c r="AD187" s="49"/>
      <c r="AE187" s="49"/>
    </row>
    <row r="188" spans="1:31" s="43" customFormat="1" x14ac:dyDescent="0.3">
      <c r="A188" s="49"/>
      <c r="B188" s="46"/>
      <c r="C188" s="46"/>
      <c r="D188" s="78"/>
      <c r="E188" s="48"/>
      <c r="F188" s="78"/>
      <c r="G188" s="46"/>
      <c r="H188" s="46"/>
      <c r="I188" s="46"/>
      <c r="J188" s="46"/>
      <c r="K188" s="46"/>
      <c r="L188" s="46"/>
      <c r="M188" s="46"/>
      <c r="N188" s="46"/>
      <c r="O188" s="46"/>
      <c r="P188" s="46"/>
      <c r="Q188" s="46"/>
      <c r="R188" s="46"/>
      <c r="S188" s="49"/>
      <c r="T188" s="49"/>
      <c r="U188" s="49"/>
      <c r="V188" s="51"/>
      <c r="W188" s="49"/>
      <c r="X188" s="51"/>
      <c r="Y188" s="52"/>
      <c r="Z188" s="52"/>
      <c r="AA188" s="49"/>
      <c r="AB188" s="50"/>
      <c r="AC188" s="50"/>
      <c r="AD188" s="49"/>
      <c r="AE188" s="49"/>
    </row>
    <row r="189" spans="1:31" s="43" customFormat="1" x14ac:dyDescent="0.3">
      <c r="A189" s="49"/>
      <c r="B189" s="46"/>
      <c r="C189" s="46"/>
      <c r="D189" s="78"/>
      <c r="E189" s="48"/>
      <c r="F189" s="78"/>
      <c r="G189" s="46"/>
      <c r="H189" s="46"/>
      <c r="I189" s="46"/>
      <c r="J189" s="46"/>
      <c r="K189" s="46"/>
      <c r="L189" s="46"/>
      <c r="M189" s="46"/>
      <c r="N189" s="46"/>
      <c r="O189" s="46"/>
      <c r="P189" s="46"/>
      <c r="Q189" s="46"/>
      <c r="R189" s="46"/>
      <c r="S189" s="49"/>
      <c r="T189" s="49"/>
      <c r="U189" s="49"/>
      <c r="V189" s="51"/>
      <c r="W189" s="49"/>
      <c r="X189" s="51"/>
      <c r="Y189" s="52"/>
      <c r="Z189" s="52"/>
      <c r="AA189" s="49"/>
      <c r="AB189" s="50"/>
      <c r="AC189" s="50"/>
      <c r="AD189" s="49"/>
      <c r="AE189" s="49"/>
    </row>
    <row r="190" spans="1:31" s="43" customFormat="1" x14ac:dyDescent="0.3">
      <c r="A190" s="49"/>
      <c r="B190" s="46"/>
      <c r="C190" s="46"/>
      <c r="D190" s="78"/>
      <c r="E190" s="48"/>
      <c r="F190" s="78"/>
      <c r="G190" s="46"/>
      <c r="H190" s="46"/>
      <c r="I190" s="46"/>
      <c r="J190" s="46"/>
      <c r="K190" s="46"/>
      <c r="L190" s="46"/>
      <c r="M190" s="46"/>
      <c r="N190" s="46"/>
      <c r="O190" s="46"/>
      <c r="P190" s="46"/>
      <c r="Q190" s="46"/>
      <c r="R190" s="46"/>
      <c r="S190" s="49"/>
      <c r="T190" s="49"/>
      <c r="U190" s="49"/>
      <c r="V190" s="51"/>
      <c r="W190" s="49"/>
      <c r="X190" s="51"/>
      <c r="Y190" s="52"/>
      <c r="Z190" s="52"/>
      <c r="AA190" s="49"/>
      <c r="AB190" s="50"/>
      <c r="AC190" s="50"/>
      <c r="AD190" s="49"/>
      <c r="AE190" s="49"/>
    </row>
    <row r="191" spans="1:31" s="43" customFormat="1" x14ac:dyDescent="0.3">
      <c r="A191" s="49"/>
      <c r="B191" s="46"/>
      <c r="C191" s="46"/>
      <c r="D191" s="78"/>
      <c r="E191" s="48"/>
      <c r="F191" s="78"/>
      <c r="G191" s="46"/>
      <c r="H191" s="46"/>
      <c r="I191" s="46"/>
      <c r="J191" s="46"/>
      <c r="K191" s="46"/>
      <c r="L191" s="46"/>
      <c r="M191" s="46"/>
      <c r="N191" s="46"/>
      <c r="O191" s="46"/>
      <c r="P191" s="46"/>
      <c r="Q191" s="46"/>
      <c r="R191" s="46"/>
      <c r="S191" s="49"/>
      <c r="T191" s="49"/>
      <c r="U191" s="49"/>
      <c r="V191" s="51"/>
      <c r="W191" s="49"/>
      <c r="X191" s="51"/>
      <c r="Y191" s="52"/>
      <c r="Z191" s="52"/>
      <c r="AA191" s="49"/>
      <c r="AB191" s="50"/>
      <c r="AC191" s="50"/>
      <c r="AD191" s="49"/>
      <c r="AE191" s="49"/>
    </row>
    <row r="192" spans="1:31" s="43" customFormat="1" x14ac:dyDescent="0.3">
      <c r="A192" s="49"/>
      <c r="B192" s="46"/>
      <c r="C192" s="46"/>
      <c r="D192" s="78"/>
      <c r="E192" s="48"/>
      <c r="F192" s="78"/>
      <c r="G192" s="46"/>
      <c r="H192" s="46"/>
      <c r="I192" s="46"/>
      <c r="J192" s="46"/>
      <c r="K192" s="46"/>
      <c r="L192" s="46"/>
      <c r="M192" s="46"/>
      <c r="N192" s="46"/>
      <c r="O192" s="46"/>
      <c r="P192" s="46"/>
      <c r="Q192" s="46"/>
      <c r="R192" s="46"/>
      <c r="S192" s="49"/>
      <c r="T192" s="49"/>
      <c r="U192" s="49"/>
      <c r="V192" s="51"/>
      <c r="W192" s="49"/>
      <c r="X192" s="51"/>
      <c r="Y192" s="52"/>
      <c r="Z192" s="52"/>
      <c r="AA192" s="49"/>
      <c r="AB192" s="50"/>
      <c r="AC192" s="50"/>
      <c r="AD192" s="49"/>
      <c r="AE192" s="49"/>
    </row>
    <row r="193" spans="1:31" s="43" customFormat="1" x14ac:dyDescent="0.3">
      <c r="A193" s="49"/>
      <c r="B193" s="46"/>
      <c r="C193" s="46"/>
      <c r="D193" s="78"/>
      <c r="E193" s="48"/>
      <c r="F193" s="78"/>
      <c r="G193" s="46"/>
      <c r="H193" s="46"/>
      <c r="I193" s="46"/>
      <c r="J193" s="46"/>
      <c r="K193" s="46"/>
      <c r="L193" s="46"/>
      <c r="M193" s="46"/>
      <c r="N193" s="46"/>
      <c r="O193" s="46"/>
      <c r="P193" s="46"/>
      <c r="Q193" s="46"/>
      <c r="R193" s="46"/>
      <c r="S193" s="49"/>
      <c r="T193" s="49"/>
      <c r="U193" s="49"/>
      <c r="V193" s="51"/>
      <c r="W193" s="49"/>
      <c r="X193" s="51"/>
      <c r="Y193" s="52"/>
      <c r="Z193" s="52"/>
      <c r="AA193" s="49"/>
      <c r="AB193" s="50"/>
      <c r="AC193" s="50"/>
      <c r="AD193" s="49"/>
      <c r="AE193" s="49"/>
    </row>
    <row r="194" spans="1:31" s="43" customFormat="1" x14ac:dyDescent="0.3">
      <c r="A194" s="49"/>
      <c r="B194" s="46"/>
      <c r="C194" s="46"/>
      <c r="D194" s="78"/>
      <c r="E194" s="48"/>
      <c r="F194" s="78"/>
      <c r="G194" s="46"/>
      <c r="H194" s="46"/>
      <c r="I194" s="46"/>
      <c r="J194" s="46"/>
      <c r="K194" s="46"/>
      <c r="L194" s="46"/>
      <c r="M194" s="46"/>
      <c r="N194" s="46"/>
      <c r="O194" s="46"/>
      <c r="P194" s="46"/>
      <c r="Q194" s="46"/>
      <c r="R194" s="46"/>
      <c r="S194" s="49"/>
      <c r="T194" s="49"/>
      <c r="U194" s="49"/>
      <c r="V194" s="51"/>
      <c r="W194" s="49"/>
      <c r="X194" s="51"/>
      <c r="Y194" s="52"/>
      <c r="Z194" s="52"/>
      <c r="AA194" s="49"/>
      <c r="AB194" s="50"/>
      <c r="AC194" s="50"/>
      <c r="AD194" s="49"/>
      <c r="AE194" s="49"/>
    </row>
    <row r="195" spans="1:31" s="43" customFormat="1" x14ac:dyDescent="0.3">
      <c r="A195" s="49"/>
      <c r="B195" s="46"/>
      <c r="C195" s="46"/>
      <c r="D195" s="78"/>
      <c r="E195" s="48"/>
      <c r="F195" s="78"/>
      <c r="G195" s="46"/>
      <c r="H195" s="46"/>
      <c r="I195" s="46"/>
      <c r="J195" s="46"/>
      <c r="K195" s="46"/>
      <c r="L195" s="46"/>
      <c r="M195" s="46"/>
      <c r="N195" s="46"/>
      <c r="O195" s="46"/>
      <c r="P195" s="46"/>
      <c r="Q195" s="46"/>
      <c r="R195" s="46"/>
      <c r="S195" s="49"/>
      <c r="T195" s="49"/>
      <c r="U195" s="49"/>
      <c r="V195" s="51"/>
      <c r="W195" s="49"/>
      <c r="X195" s="51"/>
      <c r="Y195" s="52"/>
      <c r="Z195" s="52"/>
      <c r="AA195" s="49"/>
      <c r="AB195" s="50"/>
      <c r="AC195" s="50"/>
      <c r="AD195" s="49"/>
      <c r="AE195" s="49"/>
    </row>
    <row r="196" spans="1:31" s="43" customFormat="1" x14ac:dyDescent="0.3">
      <c r="A196" s="49"/>
      <c r="B196" s="46"/>
      <c r="C196" s="46"/>
      <c r="D196" s="78"/>
      <c r="E196" s="48"/>
      <c r="F196" s="78"/>
      <c r="G196" s="46"/>
      <c r="H196" s="46"/>
      <c r="I196" s="46"/>
      <c r="J196" s="46"/>
      <c r="K196" s="46"/>
      <c r="L196" s="46"/>
      <c r="M196" s="46"/>
      <c r="N196" s="46"/>
      <c r="O196" s="46"/>
      <c r="P196" s="46"/>
      <c r="Q196" s="46"/>
      <c r="R196" s="46"/>
      <c r="S196" s="49"/>
      <c r="T196" s="49"/>
      <c r="U196" s="49"/>
      <c r="V196" s="51"/>
      <c r="W196" s="49"/>
      <c r="X196" s="51"/>
      <c r="Y196" s="52"/>
      <c r="Z196" s="52"/>
      <c r="AA196" s="49"/>
      <c r="AB196" s="50"/>
      <c r="AC196" s="50"/>
      <c r="AD196" s="49"/>
      <c r="AE196" s="49"/>
    </row>
    <row r="197" spans="1:31" s="43" customFormat="1" x14ac:dyDescent="0.3">
      <c r="A197" s="49"/>
      <c r="B197" s="46"/>
      <c r="C197" s="46"/>
      <c r="D197" s="78"/>
      <c r="E197" s="48"/>
      <c r="F197" s="78"/>
      <c r="G197" s="46"/>
      <c r="H197" s="46"/>
      <c r="I197" s="46"/>
      <c r="J197" s="46"/>
      <c r="K197" s="46"/>
      <c r="L197" s="46"/>
      <c r="M197" s="46"/>
      <c r="N197" s="46"/>
      <c r="O197" s="46"/>
      <c r="P197" s="46"/>
      <c r="Q197" s="46"/>
      <c r="R197" s="46"/>
      <c r="S197" s="49"/>
      <c r="T197" s="49"/>
      <c r="U197" s="49"/>
      <c r="V197" s="51"/>
      <c r="W197" s="49"/>
      <c r="X197" s="51"/>
      <c r="Y197" s="52"/>
      <c r="Z197" s="52"/>
      <c r="AA197" s="49"/>
      <c r="AB197" s="50"/>
      <c r="AC197" s="50"/>
      <c r="AD197" s="49"/>
      <c r="AE197" s="49"/>
    </row>
    <row r="198" spans="1:31" s="43" customFormat="1" x14ac:dyDescent="0.3">
      <c r="A198" s="49"/>
      <c r="B198" s="46"/>
      <c r="C198" s="46"/>
      <c r="D198" s="78"/>
      <c r="E198" s="48"/>
      <c r="F198" s="78"/>
      <c r="G198" s="46"/>
      <c r="H198" s="46"/>
      <c r="I198" s="46"/>
      <c r="J198" s="46"/>
      <c r="K198" s="46"/>
      <c r="L198" s="46"/>
      <c r="M198" s="46"/>
      <c r="N198" s="46"/>
      <c r="O198" s="46"/>
      <c r="P198" s="46"/>
      <c r="Q198" s="46"/>
      <c r="R198" s="46"/>
      <c r="S198" s="49"/>
      <c r="T198" s="49"/>
      <c r="U198" s="49"/>
      <c r="V198" s="51"/>
      <c r="W198" s="49"/>
      <c r="X198" s="51"/>
      <c r="Y198" s="52"/>
      <c r="Z198" s="52"/>
      <c r="AA198" s="49"/>
      <c r="AB198" s="50"/>
      <c r="AC198" s="50"/>
      <c r="AD198" s="49"/>
      <c r="AE198" s="49"/>
    </row>
    <row r="199" spans="1:31" s="43" customFormat="1" x14ac:dyDescent="0.3">
      <c r="A199" s="49"/>
      <c r="B199" s="46"/>
      <c r="C199" s="46"/>
      <c r="D199" s="78"/>
      <c r="E199" s="48"/>
      <c r="F199" s="78"/>
      <c r="G199" s="46"/>
      <c r="H199" s="46"/>
      <c r="I199" s="46"/>
      <c r="J199" s="46"/>
      <c r="K199" s="46"/>
      <c r="L199" s="46"/>
      <c r="M199" s="46"/>
      <c r="N199" s="46"/>
      <c r="O199" s="46"/>
      <c r="P199" s="46"/>
      <c r="Q199" s="46"/>
      <c r="R199" s="46"/>
      <c r="S199" s="49"/>
      <c r="T199" s="49"/>
      <c r="U199" s="49"/>
      <c r="V199" s="51"/>
      <c r="W199" s="49"/>
      <c r="X199" s="51"/>
      <c r="Y199" s="52"/>
      <c r="Z199" s="52"/>
      <c r="AA199" s="49"/>
      <c r="AB199" s="50"/>
      <c r="AC199" s="50"/>
      <c r="AD199" s="49"/>
      <c r="AE199" s="49"/>
    </row>
    <row r="200" spans="1:31" s="43" customFormat="1" x14ac:dyDescent="0.3">
      <c r="A200" s="49"/>
      <c r="B200" s="46"/>
      <c r="C200" s="46"/>
      <c r="D200" s="78"/>
      <c r="E200" s="48"/>
      <c r="F200" s="78"/>
      <c r="G200" s="46"/>
      <c r="H200" s="46"/>
      <c r="I200" s="46"/>
      <c r="J200" s="46"/>
      <c r="K200" s="46"/>
      <c r="L200" s="46"/>
      <c r="M200" s="46"/>
      <c r="N200" s="46"/>
      <c r="O200" s="46"/>
      <c r="P200" s="46"/>
      <c r="Q200" s="46"/>
      <c r="R200" s="46"/>
      <c r="S200" s="49"/>
      <c r="T200" s="49"/>
      <c r="U200" s="49"/>
      <c r="V200" s="51"/>
      <c r="W200" s="49"/>
      <c r="X200" s="51"/>
      <c r="Y200" s="52"/>
      <c r="Z200" s="52"/>
      <c r="AA200" s="49"/>
      <c r="AB200" s="50"/>
      <c r="AC200" s="50"/>
      <c r="AD200" s="49"/>
      <c r="AE200" s="49"/>
    </row>
    <row r="201" spans="1:31" s="43" customFormat="1" x14ac:dyDescent="0.3">
      <c r="A201" s="49"/>
      <c r="B201" s="46"/>
      <c r="C201" s="46"/>
      <c r="D201" s="78"/>
      <c r="E201" s="48"/>
      <c r="F201" s="78"/>
      <c r="G201" s="46"/>
      <c r="H201" s="46"/>
      <c r="I201" s="46"/>
      <c r="J201" s="46"/>
      <c r="K201" s="46"/>
      <c r="L201" s="46"/>
      <c r="M201" s="46"/>
      <c r="N201" s="46"/>
      <c r="O201" s="46"/>
      <c r="P201" s="46"/>
      <c r="Q201" s="46"/>
      <c r="R201" s="46"/>
      <c r="S201" s="49"/>
      <c r="T201" s="49"/>
      <c r="U201" s="49"/>
      <c r="V201" s="51"/>
      <c r="W201" s="49"/>
      <c r="X201" s="51"/>
      <c r="Y201" s="52"/>
      <c r="Z201" s="52"/>
      <c r="AA201" s="49"/>
      <c r="AB201" s="50"/>
      <c r="AC201" s="50"/>
      <c r="AD201" s="49"/>
      <c r="AE201" s="49"/>
    </row>
    <row r="202" spans="1:31" s="43" customFormat="1" x14ac:dyDescent="0.3">
      <c r="A202" s="49"/>
      <c r="B202" s="46"/>
      <c r="C202" s="46"/>
      <c r="D202" s="78"/>
      <c r="E202" s="48"/>
      <c r="F202" s="78"/>
      <c r="G202" s="46"/>
      <c r="H202" s="46"/>
      <c r="I202" s="46"/>
      <c r="J202" s="46"/>
      <c r="K202" s="46"/>
      <c r="L202" s="46"/>
      <c r="M202" s="46"/>
      <c r="N202" s="46"/>
      <c r="O202" s="46"/>
      <c r="P202" s="46"/>
      <c r="Q202" s="46"/>
      <c r="R202" s="46"/>
      <c r="S202" s="49"/>
      <c r="T202" s="49"/>
      <c r="U202" s="49"/>
      <c r="V202" s="51"/>
      <c r="W202" s="49"/>
      <c r="X202" s="51"/>
      <c r="Y202" s="52"/>
      <c r="Z202" s="52"/>
      <c r="AA202" s="49"/>
      <c r="AB202" s="50"/>
      <c r="AC202" s="50"/>
      <c r="AD202" s="49"/>
      <c r="AE202" s="49"/>
    </row>
    <row r="203" spans="1:31" s="43" customFormat="1" x14ac:dyDescent="0.3">
      <c r="A203" s="49"/>
      <c r="B203" s="46"/>
      <c r="C203" s="46"/>
      <c r="D203" s="78"/>
      <c r="E203" s="48"/>
      <c r="F203" s="78"/>
      <c r="G203" s="46"/>
      <c r="H203" s="46"/>
      <c r="I203" s="46"/>
      <c r="J203" s="46"/>
      <c r="K203" s="46"/>
      <c r="L203" s="46"/>
      <c r="M203" s="46"/>
      <c r="N203" s="46"/>
      <c r="O203" s="46"/>
      <c r="P203" s="46"/>
      <c r="Q203" s="46"/>
      <c r="R203" s="46"/>
      <c r="S203" s="49"/>
      <c r="T203" s="49"/>
      <c r="U203" s="49"/>
      <c r="V203" s="51"/>
      <c r="W203" s="49"/>
      <c r="X203" s="51"/>
      <c r="Y203" s="52"/>
      <c r="Z203" s="52"/>
      <c r="AA203" s="49"/>
      <c r="AB203" s="50"/>
      <c r="AC203" s="50"/>
      <c r="AD203" s="49"/>
      <c r="AE203" s="49"/>
    </row>
    <row r="204" spans="1:31" s="43" customFormat="1" x14ac:dyDescent="0.3">
      <c r="A204" s="49"/>
      <c r="B204" s="46"/>
      <c r="C204" s="46"/>
      <c r="D204" s="78"/>
      <c r="E204" s="48"/>
      <c r="F204" s="78"/>
      <c r="G204" s="46"/>
      <c r="H204" s="46"/>
      <c r="I204" s="46"/>
      <c r="J204" s="46"/>
      <c r="K204" s="46"/>
      <c r="L204" s="46"/>
      <c r="M204" s="46"/>
      <c r="N204" s="46"/>
      <c r="O204" s="46"/>
      <c r="P204" s="46"/>
      <c r="Q204" s="46"/>
      <c r="R204" s="46"/>
      <c r="S204" s="49"/>
      <c r="T204" s="49"/>
      <c r="U204" s="49"/>
      <c r="V204" s="51"/>
      <c r="W204" s="49"/>
      <c r="X204" s="51"/>
      <c r="Y204" s="52"/>
      <c r="Z204" s="52"/>
      <c r="AA204" s="49"/>
      <c r="AB204" s="50"/>
      <c r="AC204" s="50"/>
      <c r="AD204" s="49"/>
      <c r="AE204" s="49"/>
    </row>
    <row r="205" spans="1:31" s="43" customFormat="1" x14ac:dyDescent="0.3">
      <c r="A205" s="49"/>
      <c r="B205" s="46"/>
      <c r="C205" s="46"/>
      <c r="D205" s="78"/>
      <c r="E205" s="48"/>
      <c r="F205" s="78"/>
      <c r="G205" s="46"/>
      <c r="H205" s="46"/>
      <c r="I205" s="46"/>
      <c r="J205" s="46"/>
      <c r="K205" s="46"/>
      <c r="L205" s="46"/>
      <c r="M205" s="46"/>
      <c r="N205" s="46"/>
      <c r="O205" s="46"/>
      <c r="P205" s="46"/>
      <c r="Q205" s="46"/>
      <c r="R205" s="46"/>
      <c r="S205" s="49"/>
      <c r="T205" s="49"/>
      <c r="U205" s="49"/>
      <c r="V205" s="51"/>
      <c r="W205" s="49"/>
      <c r="X205" s="51"/>
      <c r="Y205" s="52"/>
      <c r="Z205" s="52"/>
      <c r="AA205" s="49"/>
      <c r="AB205" s="50"/>
      <c r="AC205" s="50"/>
      <c r="AD205" s="49"/>
      <c r="AE205" s="49"/>
    </row>
    <row r="206" spans="1:31" s="43" customFormat="1" x14ac:dyDescent="0.3">
      <c r="A206" s="49"/>
      <c r="B206" s="46"/>
      <c r="C206" s="46"/>
      <c r="D206" s="78"/>
      <c r="E206" s="48"/>
      <c r="F206" s="78"/>
      <c r="G206" s="46"/>
      <c r="H206" s="46"/>
      <c r="I206" s="46"/>
      <c r="J206" s="46"/>
      <c r="K206" s="46"/>
      <c r="L206" s="46"/>
      <c r="M206" s="46"/>
      <c r="N206" s="46"/>
      <c r="O206" s="46"/>
      <c r="P206" s="46"/>
      <c r="Q206" s="46"/>
      <c r="R206" s="46"/>
      <c r="S206" s="49"/>
      <c r="T206" s="49"/>
      <c r="U206" s="49"/>
      <c r="V206" s="51"/>
      <c r="W206" s="49"/>
      <c r="X206" s="51"/>
      <c r="Y206" s="52"/>
      <c r="Z206" s="52"/>
      <c r="AA206" s="49"/>
      <c r="AB206" s="50"/>
      <c r="AC206" s="50"/>
      <c r="AD206" s="49"/>
      <c r="AE206" s="49"/>
    </row>
    <row r="207" spans="1:31" s="43" customFormat="1" x14ac:dyDescent="0.3">
      <c r="A207" s="49"/>
      <c r="B207" s="46"/>
      <c r="C207" s="46"/>
      <c r="D207" s="78"/>
      <c r="E207" s="48"/>
      <c r="F207" s="78"/>
      <c r="G207" s="46"/>
      <c r="H207" s="46"/>
      <c r="I207" s="46"/>
      <c r="J207" s="46"/>
      <c r="K207" s="46"/>
      <c r="L207" s="46"/>
      <c r="M207" s="46"/>
      <c r="N207" s="46"/>
      <c r="O207" s="46"/>
      <c r="P207" s="46"/>
      <c r="Q207" s="46"/>
      <c r="R207" s="46"/>
      <c r="S207" s="49"/>
      <c r="T207" s="49"/>
      <c r="U207" s="49"/>
      <c r="V207" s="51"/>
      <c r="W207" s="49"/>
      <c r="X207" s="51"/>
      <c r="Y207" s="52"/>
      <c r="Z207" s="52"/>
      <c r="AA207" s="49"/>
      <c r="AB207" s="50"/>
      <c r="AC207" s="50"/>
      <c r="AD207" s="49"/>
      <c r="AE207" s="49"/>
    </row>
    <row r="208" spans="1:31" s="43" customFormat="1" x14ac:dyDescent="0.3">
      <c r="A208" s="49"/>
      <c r="B208" s="46"/>
      <c r="C208" s="46"/>
      <c r="D208" s="78"/>
      <c r="E208" s="48"/>
      <c r="F208" s="78"/>
      <c r="G208" s="46"/>
      <c r="H208" s="46"/>
      <c r="I208" s="46"/>
      <c r="J208" s="46"/>
      <c r="K208" s="46"/>
      <c r="L208" s="46"/>
      <c r="M208" s="46"/>
      <c r="N208" s="46"/>
      <c r="O208" s="46"/>
      <c r="P208" s="46"/>
      <c r="Q208" s="46"/>
      <c r="R208" s="46"/>
      <c r="S208" s="49"/>
      <c r="T208" s="49"/>
      <c r="U208" s="49"/>
      <c r="V208" s="51"/>
      <c r="W208" s="49"/>
      <c r="X208" s="51"/>
      <c r="Y208" s="52"/>
      <c r="Z208" s="52"/>
      <c r="AA208" s="49"/>
      <c r="AB208" s="50"/>
      <c r="AC208" s="50"/>
      <c r="AD208" s="49"/>
      <c r="AE208" s="49"/>
    </row>
    <row r="209" spans="1:31" s="43" customFormat="1" x14ac:dyDescent="0.3">
      <c r="A209" s="49"/>
      <c r="B209" s="46"/>
      <c r="C209" s="46"/>
      <c r="D209" s="78"/>
      <c r="E209" s="48"/>
      <c r="F209" s="78"/>
      <c r="G209" s="46"/>
      <c r="H209" s="46"/>
      <c r="I209" s="46"/>
      <c r="J209" s="46"/>
      <c r="K209" s="46"/>
      <c r="L209" s="46"/>
      <c r="M209" s="46"/>
      <c r="N209" s="46"/>
      <c r="O209" s="46"/>
      <c r="P209" s="46"/>
      <c r="Q209" s="46"/>
      <c r="R209" s="46"/>
      <c r="S209" s="49"/>
      <c r="T209" s="49"/>
      <c r="U209" s="49"/>
      <c r="V209" s="51"/>
      <c r="W209" s="49"/>
      <c r="X209" s="51"/>
      <c r="Y209" s="52"/>
      <c r="Z209" s="52"/>
      <c r="AA209" s="49"/>
      <c r="AB209" s="50"/>
      <c r="AC209" s="50"/>
      <c r="AD209" s="49"/>
      <c r="AE209" s="49"/>
    </row>
    <row r="210" spans="1:31" s="43" customFormat="1" x14ac:dyDescent="0.3">
      <c r="A210" s="49"/>
      <c r="B210" s="46"/>
      <c r="C210" s="46"/>
      <c r="D210" s="78"/>
      <c r="E210" s="48"/>
      <c r="F210" s="78"/>
      <c r="G210" s="46"/>
      <c r="H210" s="46"/>
      <c r="I210" s="46"/>
      <c r="J210" s="46"/>
      <c r="K210" s="46"/>
      <c r="L210" s="46"/>
      <c r="M210" s="46"/>
      <c r="N210" s="46"/>
      <c r="O210" s="46"/>
      <c r="P210" s="46"/>
      <c r="Q210" s="46"/>
      <c r="R210" s="46"/>
      <c r="S210" s="49"/>
      <c r="T210" s="49"/>
      <c r="U210" s="49"/>
      <c r="V210" s="51"/>
      <c r="W210" s="49"/>
      <c r="X210" s="51"/>
      <c r="Y210" s="52"/>
      <c r="Z210" s="52"/>
      <c r="AA210" s="49"/>
      <c r="AB210" s="50"/>
      <c r="AC210" s="50"/>
      <c r="AD210" s="49"/>
      <c r="AE210" s="49"/>
    </row>
    <row r="211" spans="1:31" s="43" customFormat="1" x14ac:dyDescent="0.3">
      <c r="A211" s="49"/>
      <c r="B211" s="46"/>
      <c r="C211" s="46"/>
      <c r="D211" s="78"/>
      <c r="E211" s="48"/>
      <c r="F211" s="78"/>
      <c r="G211" s="46"/>
      <c r="H211" s="46"/>
      <c r="I211" s="46"/>
      <c r="J211" s="46"/>
      <c r="K211" s="46"/>
      <c r="L211" s="46"/>
      <c r="M211" s="46"/>
      <c r="N211" s="46"/>
      <c r="O211" s="46"/>
      <c r="P211" s="46"/>
      <c r="Q211" s="46"/>
      <c r="R211" s="46"/>
      <c r="S211" s="49"/>
      <c r="T211" s="49"/>
      <c r="U211" s="49"/>
      <c r="V211" s="51"/>
      <c r="W211" s="49"/>
      <c r="X211" s="51"/>
      <c r="Y211" s="52"/>
      <c r="Z211" s="52"/>
      <c r="AA211" s="49"/>
      <c r="AB211" s="50"/>
      <c r="AC211" s="50"/>
      <c r="AD211" s="49"/>
      <c r="AE211" s="49"/>
    </row>
    <row r="212" spans="1:31" s="43" customFormat="1" x14ac:dyDescent="0.3">
      <c r="A212" s="49"/>
      <c r="B212" s="46"/>
      <c r="C212" s="46"/>
      <c r="D212" s="78"/>
      <c r="E212" s="48"/>
      <c r="F212" s="78"/>
      <c r="G212" s="46"/>
      <c r="H212" s="46"/>
      <c r="I212" s="46"/>
      <c r="J212" s="46"/>
      <c r="K212" s="46"/>
      <c r="L212" s="46"/>
      <c r="M212" s="46"/>
      <c r="N212" s="46"/>
      <c r="O212" s="46"/>
      <c r="P212" s="46"/>
      <c r="Q212" s="46"/>
      <c r="R212" s="46"/>
      <c r="S212" s="49"/>
      <c r="T212" s="49"/>
      <c r="U212" s="49"/>
      <c r="V212" s="51"/>
      <c r="W212" s="49"/>
      <c r="X212" s="51"/>
      <c r="Y212" s="52"/>
      <c r="Z212" s="52"/>
      <c r="AA212" s="49"/>
      <c r="AB212" s="50"/>
      <c r="AC212" s="50"/>
      <c r="AD212" s="49"/>
      <c r="AE212" s="49"/>
    </row>
    <row r="213" spans="1:31" s="43" customFormat="1" x14ac:dyDescent="0.3">
      <c r="A213" s="49"/>
      <c r="B213" s="46"/>
      <c r="C213" s="46"/>
      <c r="D213" s="78"/>
      <c r="E213" s="48"/>
      <c r="F213" s="78"/>
      <c r="G213" s="46"/>
      <c r="H213" s="46"/>
      <c r="I213" s="46"/>
      <c r="J213" s="46"/>
      <c r="K213" s="46"/>
      <c r="L213" s="46"/>
      <c r="M213" s="46"/>
      <c r="N213" s="46"/>
      <c r="O213" s="46"/>
      <c r="P213" s="46"/>
      <c r="Q213" s="46"/>
      <c r="R213" s="46"/>
      <c r="S213" s="49"/>
      <c r="T213" s="49"/>
      <c r="U213" s="49"/>
      <c r="V213" s="51"/>
      <c r="W213" s="49"/>
      <c r="X213" s="51"/>
      <c r="Y213" s="52"/>
      <c r="Z213" s="52"/>
      <c r="AA213" s="49"/>
      <c r="AB213" s="50"/>
      <c r="AC213" s="50"/>
      <c r="AD213" s="49"/>
      <c r="AE213" s="49"/>
    </row>
    <row r="214" spans="1:31" s="43" customFormat="1" x14ac:dyDescent="0.3">
      <c r="A214" s="49"/>
      <c r="B214" s="46"/>
      <c r="C214" s="46"/>
      <c r="D214" s="78"/>
      <c r="E214" s="48"/>
      <c r="F214" s="78"/>
      <c r="G214" s="46"/>
      <c r="H214" s="46"/>
      <c r="I214" s="46"/>
      <c r="J214" s="46"/>
      <c r="K214" s="46"/>
      <c r="L214" s="46"/>
      <c r="M214" s="46"/>
      <c r="N214" s="46"/>
      <c r="O214" s="46"/>
      <c r="P214" s="46"/>
      <c r="Q214" s="46"/>
      <c r="R214" s="46"/>
      <c r="S214" s="49"/>
      <c r="T214" s="49"/>
      <c r="U214" s="49"/>
      <c r="V214" s="51"/>
      <c r="W214" s="49"/>
      <c r="X214" s="51"/>
      <c r="Y214" s="52"/>
      <c r="Z214" s="52"/>
      <c r="AA214" s="49"/>
      <c r="AB214" s="50"/>
      <c r="AC214" s="50"/>
      <c r="AD214" s="49"/>
      <c r="AE214" s="49"/>
    </row>
    <row r="215" spans="1:31" s="43" customFormat="1" x14ac:dyDescent="0.3">
      <c r="A215" s="49"/>
      <c r="B215" s="46"/>
      <c r="C215" s="46"/>
      <c r="D215" s="78"/>
      <c r="E215" s="48"/>
      <c r="F215" s="78"/>
      <c r="G215" s="46"/>
      <c r="H215" s="46"/>
      <c r="I215" s="46"/>
      <c r="J215" s="46"/>
      <c r="K215" s="46"/>
      <c r="L215" s="46"/>
      <c r="M215" s="46"/>
      <c r="N215" s="46"/>
      <c r="O215" s="46"/>
      <c r="P215" s="46"/>
      <c r="Q215" s="46"/>
      <c r="R215" s="46"/>
      <c r="S215" s="49"/>
      <c r="T215" s="49"/>
      <c r="U215" s="49"/>
      <c r="V215" s="51"/>
      <c r="W215" s="49"/>
      <c r="X215" s="51"/>
      <c r="Y215" s="52"/>
      <c r="Z215" s="52"/>
      <c r="AA215" s="49"/>
      <c r="AB215" s="50"/>
      <c r="AC215" s="50"/>
      <c r="AD215" s="49"/>
      <c r="AE215" s="49"/>
    </row>
    <row r="216" spans="1:31" s="43" customFormat="1" x14ac:dyDescent="0.3">
      <c r="A216" s="49"/>
      <c r="B216" s="46"/>
      <c r="C216" s="46"/>
      <c r="D216" s="78"/>
      <c r="E216" s="48"/>
      <c r="F216" s="78"/>
      <c r="G216" s="46"/>
      <c r="H216" s="46"/>
      <c r="I216" s="46"/>
      <c r="J216" s="46"/>
      <c r="K216" s="46"/>
      <c r="L216" s="46"/>
      <c r="M216" s="46"/>
      <c r="N216" s="46"/>
      <c r="O216" s="46"/>
      <c r="P216" s="46"/>
      <c r="Q216" s="46"/>
      <c r="R216" s="46"/>
      <c r="S216" s="49"/>
      <c r="T216" s="49"/>
      <c r="U216" s="49"/>
      <c r="V216" s="51"/>
      <c r="W216" s="49"/>
      <c r="X216" s="51"/>
      <c r="Y216" s="52"/>
      <c r="Z216" s="52"/>
      <c r="AA216" s="49"/>
      <c r="AB216" s="50"/>
      <c r="AC216" s="50"/>
      <c r="AD216" s="49"/>
      <c r="AE216" s="49"/>
    </row>
    <row r="217" spans="1:31" s="43" customFormat="1" x14ac:dyDescent="0.3">
      <c r="A217" s="49"/>
      <c r="B217" s="46"/>
      <c r="C217" s="46"/>
      <c r="D217" s="78"/>
      <c r="E217" s="48"/>
      <c r="F217" s="78"/>
      <c r="G217" s="46"/>
      <c r="H217" s="46"/>
      <c r="I217" s="46"/>
      <c r="J217" s="46"/>
      <c r="K217" s="46"/>
      <c r="L217" s="46"/>
      <c r="M217" s="46"/>
      <c r="N217" s="46"/>
      <c r="O217" s="46"/>
      <c r="P217" s="46"/>
      <c r="Q217" s="46"/>
      <c r="R217" s="46"/>
      <c r="S217" s="49"/>
      <c r="T217" s="49"/>
      <c r="U217" s="49"/>
      <c r="V217" s="51"/>
      <c r="W217" s="49"/>
      <c r="X217" s="51"/>
      <c r="Y217" s="52"/>
      <c r="Z217" s="52"/>
      <c r="AA217" s="49"/>
      <c r="AB217" s="50"/>
      <c r="AC217" s="50"/>
      <c r="AD217" s="49"/>
      <c r="AE217" s="49"/>
    </row>
    <row r="218" spans="1:31" s="43" customFormat="1" x14ac:dyDescent="0.3">
      <c r="A218" s="49"/>
      <c r="B218" s="46"/>
      <c r="C218" s="46"/>
      <c r="D218" s="78"/>
      <c r="E218" s="48"/>
      <c r="F218" s="78"/>
      <c r="G218" s="46"/>
      <c r="H218" s="46"/>
      <c r="I218" s="46"/>
      <c r="J218" s="46"/>
      <c r="K218" s="46"/>
      <c r="L218" s="46"/>
      <c r="M218" s="46"/>
      <c r="N218" s="46"/>
      <c r="O218" s="46"/>
      <c r="P218" s="46"/>
      <c r="Q218" s="46"/>
      <c r="R218" s="46"/>
      <c r="S218" s="49"/>
      <c r="T218" s="49"/>
      <c r="U218" s="49"/>
      <c r="V218" s="51"/>
      <c r="W218" s="49"/>
      <c r="X218" s="51"/>
      <c r="Y218" s="52"/>
      <c r="Z218" s="52"/>
      <c r="AA218" s="49"/>
      <c r="AB218" s="50"/>
      <c r="AC218" s="50"/>
      <c r="AD218" s="49"/>
      <c r="AE218" s="49"/>
    </row>
    <row r="219" spans="1:31" s="43" customFormat="1" x14ac:dyDescent="0.3">
      <c r="A219" s="49"/>
      <c r="B219" s="46"/>
      <c r="C219" s="46"/>
      <c r="D219" s="78"/>
      <c r="E219" s="48"/>
      <c r="F219" s="78"/>
      <c r="G219" s="46"/>
      <c r="H219" s="46"/>
      <c r="I219" s="46"/>
      <c r="J219" s="46"/>
      <c r="K219" s="46"/>
      <c r="L219" s="46"/>
      <c r="M219" s="46"/>
      <c r="N219" s="46"/>
      <c r="O219" s="46"/>
      <c r="P219" s="46"/>
      <c r="Q219" s="46"/>
      <c r="R219" s="46"/>
      <c r="S219" s="49"/>
      <c r="T219" s="49"/>
      <c r="U219" s="49"/>
      <c r="V219" s="51"/>
      <c r="W219" s="49"/>
      <c r="X219" s="51"/>
      <c r="Y219" s="52"/>
      <c r="Z219" s="52"/>
      <c r="AA219" s="49"/>
      <c r="AB219" s="50"/>
      <c r="AC219" s="50"/>
      <c r="AD219" s="49"/>
      <c r="AE219" s="49"/>
    </row>
    <row r="220" spans="1:31" s="43" customFormat="1" x14ac:dyDescent="0.3">
      <c r="A220" s="49"/>
      <c r="B220" s="46"/>
      <c r="C220" s="46"/>
      <c r="D220" s="78"/>
      <c r="E220" s="48"/>
      <c r="F220" s="78"/>
      <c r="G220" s="46"/>
      <c r="H220" s="46"/>
      <c r="I220" s="46"/>
      <c r="J220" s="46"/>
      <c r="K220" s="46"/>
      <c r="L220" s="46"/>
      <c r="M220" s="46"/>
      <c r="N220" s="46"/>
      <c r="O220" s="46"/>
      <c r="P220" s="46"/>
      <c r="Q220" s="46"/>
      <c r="R220" s="46"/>
      <c r="S220" s="49"/>
      <c r="T220" s="49"/>
      <c r="U220" s="49"/>
      <c r="V220" s="51"/>
      <c r="W220" s="49"/>
      <c r="X220" s="51"/>
      <c r="Y220" s="52"/>
      <c r="Z220" s="52"/>
      <c r="AA220" s="49"/>
      <c r="AB220" s="50"/>
      <c r="AC220" s="50"/>
      <c r="AD220" s="49"/>
      <c r="AE220" s="49"/>
    </row>
    <row r="221" spans="1:31" s="43" customFormat="1" x14ac:dyDescent="0.3">
      <c r="A221" s="49"/>
      <c r="B221" s="46"/>
      <c r="C221" s="46"/>
      <c r="D221" s="78"/>
      <c r="E221" s="48"/>
      <c r="F221" s="78"/>
      <c r="G221" s="46"/>
      <c r="H221" s="46"/>
      <c r="I221" s="46"/>
      <c r="J221" s="46"/>
      <c r="K221" s="46"/>
      <c r="L221" s="46"/>
      <c r="M221" s="46"/>
      <c r="N221" s="46"/>
      <c r="O221" s="46"/>
      <c r="P221" s="46"/>
      <c r="Q221" s="46"/>
      <c r="R221" s="46"/>
      <c r="S221" s="49"/>
      <c r="T221" s="49"/>
      <c r="U221" s="49"/>
      <c r="V221" s="51"/>
      <c r="W221" s="49"/>
      <c r="X221" s="51"/>
      <c r="Y221" s="52"/>
      <c r="Z221" s="52"/>
      <c r="AA221" s="49"/>
      <c r="AB221" s="50"/>
      <c r="AC221" s="50"/>
      <c r="AD221" s="49"/>
      <c r="AE221" s="49"/>
    </row>
    <row r="222" spans="1:31" s="43" customFormat="1" x14ac:dyDescent="0.3">
      <c r="A222" s="49"/>
      <c r="B222" s="46"/>
      <c r="C222" s="46"/>
      <c r="D222" s="78"/>
      <c r="E222" s="48"/>
      <c r="F222" s="78"/>
      <c r="G222" s="46"/>
      <c r="H222" s="46"/>
      <c r="I222" s="46"/>
      <c r="J222" s="46"/>
      <c r="K222" s="46"/>
      <c r="L222" s="46"/>
      <c r="M222" s="46"/>
      <c r="N222" s="46"/>
      <c r="O222" s="46"/>
      <c r="P222" s="46"/>
      <c r="Q222" s="46"/>
      <c r="R222" s="46"/>
      <c r="S222" s="49"/>
      <c r="T222" s="49"/>
      <c r="U222" s="49"/>
      <c r="V222" s="51"/>
      <c r="W222" s="49"/>
      <c r="X222" s="51"/>
      <c r="Y222" s="52"/>
      <c r="Z222" s="52"/>
      <c r="AA222" s="49"/>
      <c r="AB222" s="50"/>
      <c r="AC222" s="50"/>
      <c r="AD222" s="49"/>
      <c r="AE222" s="49"/>
    </row>
    <row r="223" spans="1:31" s="43" customFormat="1" x14ac:dyDescent="0.3">
      <c r="A223" s="49"/>
      <c r="B223" s="46"/>
      <c r="C223" s="46"/>
      <c r="D223" s="78"/>
      <c r="E223" s="48"/>
      <c r="F223" s="78"/>
      <c r="G223" s="46"/>
      <c r="H223" s="46"/>
      <c r="I223" s="46"/>
      <c r="J223" s="46"/>
      <c r="K223" s="46"/>
      <c r="L223" s="46"/>
      <c r="M223" s="46"/>
      <c r="N223" s="46"/>
      <c r="O223" s="46"/>
      <c r="P223" s="46"/>
      <c r="Q223" s="46"/>
      <c r="R223" s="46"/>
      <c r="S223" s="49"/>
      <c r="T223" s="49"/>
      <c r="U223" s="49"/>
      <c r="V223" s="51"/>
      <c r="W223" s="49"/>
      <c r="X223" s="51"/>
      <c r="Y223" s="52"/>
      <c r="Z223" s="52"/>
      <c r="AA223" s="49"/>
      <c r="AB223" s="50"/>
      <c r="AC223" s="50"/>
      <c r="AD223" s="49"/>
      <c r="AE223" s="49"/>
    </row>
    <row r="224" spans="1:31" s="43" customFormat="1" x14ac:dyDescent="0.3">
      <c r="A224" s="49"/>
      <c r="B224" s="46"/>
      <c r="C224" s="46"/>
      <c r="D224" s="78"/>
      <c r="E224" s="48"/>
      <c r="F224" s="78"/>
      <c r="G224" s="46"/>
      <c r="H224" s="46"/>
      <c r="I224" s="46"/>
      <c r="J224" s="46"/>
      <c r="K224" s="46"/>
      <c r="L224" s="46"/>
      <c r="M224" s="46"/>
      <c r="N224" s="46"/>
      <c r="O224" s="46"/>
      <c r="P224" s="46"/>
      <c r="Q224" s="46"/>
      <c r="R224" s="46"/>
      <c r="S224" s="49"/>
      <c r="T224" s="49"/>
      <c r="U224" s="49"/>
      <c r="V224" s="51"/>
      <c r="W224" s="49"/>
      <c r="X224" s="51"/>
      <c r="Y224" s="52"/>
      <c r="Z224" s="52"/>
      <c r="AA224" s="49"/>
      <c r="AB224" s="50"/>
      <c r="AC224" s="50"/>
      <c r="AD224" s="49"/>
      <c r="AE224" s="49"/>
    </row>
    <row r="225" spans="1:31" s="43" customFormat="1" x14ac:dyDescent="0.3">
      <c r="A225" s="49"/>
      <c r="B225" s="46"/>
      <c r="C225" s="46"/>
      <c r="D225" s="78"/>
      <c r="E225" s="48"/>
      <c r="F225" s="78"/>
      <c r="G225" s="46"/>
      <c r="H225" s="46"/>
      <c r="I225" s="46"/>
      <c r="J225" s="46"/>
      <c r="K225" s="46"/>
      <c r="L225" s="46"/>
      <c r="M225" s="46"/>
      <c r="N225" s="46"/>
      <c r="O225" s="46"/>
      <c r="P225" s="46"/>
      <c r="Q225" s="46"/>
      <c r="R225" s="46"/>
      <c r="S225" s="49"/>
      <c r="T225" s="49"/>
      <c r="U225" s="49"/>
      <c r="V225" s="51"/>
      <c r="W225" s="49"/>
      <c r="X225" s="51"/>
      <c r="Y225" s="52"/>
      <c r="Z225" s="52"/>
      <c r="AA225" s="49"/>
      <c r="AB225" s="50"/>
      <c r="AC225" s="50"/>
      <c r="AD225" s="49"/>
      <c r="AE225" s="49"/>
    </row>
    <row r="226" spans="1:31" s="43" customFormat="1" x14ac:dyDescent="0.3">
      <c r="A226" s="49"/>
      <c r="B226" s="46"/>
      <c r="C226" s="46"/>
      <c r="D226" s="78"/>
      <c r="E226" s="48"/>
      <c r="F226" s="78"/>
      <c r="G226" s="46"/>
      <c r="H226" s="46"/>
      <c r="I226" s="46"/>
      <c r="J226" s="46"/>
      <c r="K226" s="46"/>
      <c r="L226" s="46"/>
      <c r="M226" s="46"/>
      <c r="N226" s="46"/>
      <c r="O226" s="46"/>
      <c r="P226" s="46"/>
      <c r="Q226" s="46"/>
      <c r="R226" s="46"/>
      <c r="S226" s="49"/>
      <c r="T226" s="49"/>
      <c r="U226" s="49"/>
      <c r="V226" s="51"/>
      <c r="W226" s="49"/>
      <c r="X226" s="51"/>
      <c r="Y226" s="52"/>
      <c r="Z226" s="52"/>
      <c r="AA226" s="49"/>
      <c r="AB226" s="50"/>
      <c r="AC226" s="50"/>
      <c r="AD226" s="49"/>
      <c r="AE226" s="49"/>
    </row>
    <row r="227" spans="1:31" s="43" customFormat="1" x14ac:dyDescent="0.3">
      <c r="A227" s="49"/>
      <c r="B227" s="46"/>
      <c r="C227" s="46"/>
      <c r="D227" s="78"/>
      <c r="E227" s="48"/>
      <c r="F227" s="78"/>
      <c r="G227" s="46"/>
      <c r="H227" s="46"/>
      <c r="I227" s="46"/>
      <c r="J227" s="46"/>
      <c r="K227" s="46"/>
      <c r="L227" s="46"/>
      <c r="M227" s="46"/>
      <c r="N227" s="46"/>
      <c r="O227" s="46"/>
      <c r="P227" s="46"/>
      <c r="Q227" s="46"/>
      <c r="R227" s="46"/>
      <c r="S227" s="49"/>
      <c r="T227" s="49"/>
      <c r="U227" s="49"/>
      <c r="V227" s="51"/>
      <c r="W227" s="49"/>
      <c r="X227" s="51"/>
      <c r="Y227" s="52"/>
      <c r="Z227" s="52"/>
      <c r="AA227" s="49"/>
      <c r="AB227" s="50"/>
      <c r="AC227" s="50"/>
      <c r="AD227" s="49"/>
      <c r="AE227" s="49"/>
    </row>
    <row r="228" spans="1:31" s="43" customFormat="1" x14ac:dyDescent="0.3">
      <c r="A228" s="49"/>
      <c r="B228" s="46"/>
      <c r="C228" s="46"/>
      <c r="D228" s="78"/>
      <c r="E228" s="48"/>
      <c r="F228" s="78"/>
      <c r="G228" s="46"/>
      <c r="H228" s="46"/>
      <c r="I228" s="46"/>
      <c r="J228" s="46"/>
      <c r="K228" s="46"/>
      <c r="L228" s="46"/>
      <c r="M228" s="46"/>
      <c r="N228" s="46"/>
      <c r="O228" s="46"/>
      <c r="P228" s="46"/>
      <c r="Q228" s="46"/>
      <c r="R228" s="46"/>
      <c r="S228" s="49"/>
      <c r="T228" s="49"/>
      <c r="U228" s="49"/>
      <c r="V228" s="51"/>
      <c r="W228" s="49"/>
      <c r="X228" s="51"/>
      <c r="Y228" s="52"/>
      <c r="Z228" s="52"/>
      <c r="AA228" s="49"/>
      <c r="AB228" s="50"/>
      <c r="AC228" s="50"/>
      <c r="AD228" s="49"/>
      <c r="AE228" s="49"/>
    </row>
    <row r="229" spans="1:31" s="43" customFormat="1" x14ac:dyDescent="0.3">
      <c r="A229" s="49"/>
      <c r="B229" s="46"/>
      <c r="C229" s="46"/>
      <c r="D229" s="78"/>
      <c r="E229" s="48"/>
      <c r="F229" s="78"/>
      <c r="G229" s="46"/>
      <c r="H229" s="46"/>
      <c r="I229" s="46"/>
      <c r="J229" s="46"/>
      <c r="K229" s="46"/>
      <c r="L229" s="46"/>
      <c r="M229" s="46"/>
      <c r="N229" s="46"/>
      <c r="O229" s="46"/>
      <c r="P229" s="46"/>
      <c r="Q229" s="46"/>
      <c r="R229" s="46"/>
      <c r="S229" s="49"/>
      <c r="T229" s="49"/>
      <c r="U229" s="49"/>
      <c r="V229" s="51"/>
      <c r="W229" s="49"/>
      <c r="X229" s="51"/>
      <c r="Y229" s="52"/>
      <c r="Z229" s="52"/>
      <c r="AA229" s="49"/>
      <c r="AB229" s="50"/>
      <c r="AC229" s="50"/>
      <c r="AD229" s="49"/>
      <c r="AE229" s="49"/>
    </row>
  </sheetData>
  <autoFilter ref="A2:AE67" xr:uid="{00000000-0009-0000-0000-000006000000}"/>
  <mergeCells count="1">
    <mergeCell ref="AF1:AH1"/>
  </mergeCells>
  <conditionalFormatting sqref="I61:I67 I51:I59 I3:I49">
    <cfRule type="cellIs" dxfId="5" priority="5" operator="equal">
      <formula>"OK"</formula>
    </cfRule>
    <cfRule type="cellIs" dxfId="4" priority="6" operator="equal">
      <formula>"DIFIERE"</formula>
    </cfRule>
  </conditionalFormatting>
  <conditionalFormatting sqref="C61:C67 C51:C59 C3:C49">
    <cfRule type="cellIs" dxfId="3" priority="4" operator="equal">
      <formula>"COD. REPETIDO"</formula>
    </cfRule>
  </conditionalFormatting>
  <conditionalFormatting sqref="I60">
    <cfRule type="cellIs" dxfId="2" priority="2" operator="equal">
      <formula>"OK"</formula>
    </cfRule>
    <cfRule type="cellIs" dxfId="1" priority="3" operator="equal">
      <formula>"DIFIERE"</formula>
    </cfRule>
  </conditionalFormatting>
  <conditionalFormatting sqref="C60">
    <cfRule type="cellIs" dxfId="0" priority="1" operator="equal">
      <formula>"COD. REPETIDO"</formula>
    </cfRule>
  </conditionalFormatting>
  <pageMargins left="0.7" right="0.7" top="0.75" bottom="0.75" header="0.3" footer="0.3"/>
  <pageSetup paperSize="142"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50"/>
  </sheetPr>
  <dimension ref="A1:Q114"/>
  <sheetViews>
    <sheetView zoomScaleNormal="100" workbookViewId="0">
      <selection activeCell="Q3" sqref="Q3"/>
    </sheetView>
  </sheetViews>
  <sheetFormatPr baseColWidth="10" defaultRowHeight="16.5" x14ac:dyDescent="0.3"/>
  <cols>
    <col min="1" max="1" width="6" style="159" customWidth="1"/>
    <col min="2" max="2" width="12.7109375" style="169" customWidth="1"/>
    <col min="3" max="3" width="31.140625" style="159" customWidth="1"/>
    <col min="4" max="4" width="10" style="159" hidden="1" customWidth="1"/>
    <col min="5" max="5" width="9" style="159" hidden="1" customWidth="1"/>
    <col min="6" max="6" width="11.7109375" style="159" hidden="1" customWidth="1"/>
    <col min="7" max="7" width="16.42578125" style="159" hidden="1" customWidth="1"/>
    <col min="8" max="8" width="10.5703125" style="159" hidden="1" customWidth="1"/>
    <col min="9" max="9" width="8.28515625" style="159" hidden="1" customWidth="1"/>
    <col min="10" max="10" width="10.5703125" style="159" hidden="1" customWidth="1"/>
    <col min="11" max="11" width="9.85546875" style="159" hidden="1" customWidth="1"/>
    <col min="12" max="13" width="8.42578125" style="159" hidden="1" customWidth="1"/>
    <col min="14" max="14" width="9.85546875" style="159" bestFit="1" customWidth="1"/>
    <col min="15" max="15" width="8.42578125" style="159" bestFit="1" customWidth="1"/>
    <col min="16" max="16" width="11" style="159" bestFit="1" customWidth="1"/>
    <col min="17" max="17" width="11.42578125" style="161"/>
    <col min="18" max="16384" width="11.42578125" style="170"/>
  </cols>
  <sheetData>
    <row r="1" spans="1:16" ht="30.75" customHeight="1" x14ac:dyDescent="0.3">
      <c r="B1" s="183"/>
      <c r="C1" s="184"/>
      <c r="D1" s="177" t="s">
        <v>688</v>
      </c>
      <c r="E1" s="178"/>
      <c r="F1" s="179"/>
      <c r="G1" s="160" t="s">
        <v>689</v>
      </c>
      <c r="H1" s="177" t="s">
        <v>689</v>
      </c>
      <c r="I1" s="178"/>
      <c r="J1" s="179"/>
      <c r="K1" s="177" t="s">
        <v>690</v>
      </c>
      <c r="L1" s="178"/>
      <c r="M1" s="179"/>
      <c r="N1" s="177" t="s">
        <v>691</v>
      </c>
      <c r="O1" s="178"/>
      <c r="P1" s="179"/>
    </row>
    <row r="2" spans="1:16" ht="25.5" customHeight="1" x14ac:dyDescent="0.25">
      <c r="A2" s="64" t="s">
        <v>692</v>
      </c>
      <c r="B2" s="177" t="s">
        <v>693</v>
      </c>
      <c r="C2" s="179"/>
      <c r="D2" s="64" t="s">
        <v>694</v>
      </c>
      <c r="E2" s="64" t="s">
        <v>695</v>
      </c>
      <c r="F2" s="64" t="s">
        <v>696</v>
      </c>
      <c r="G2" s="26" t="s">
        <v>697</v>
      </c>
      <c r="H2" s="64" t="s">
        <v>698</v>
      </c>
      <c r="I2" s="64" t="s">
        <v>699</v>
      </c>
      <c r="J2" s="64" t="s">
        <v>696</v>
      </c>
      <c r="K2" s="64" t="s">
        <v>698</v>
      </c>
      <c r="L2" s="64" t="s">
        <v>699</v>
      </c>
      <c r="M2" s="64" t="s">
        <v>696</v>
      </c>
      <c r="N2" s="7" t="s">
        <v>16</v>
      </c>
      <c r="O2" s="7" t="s">
        <v>173</v>
      </c>
      <c r="P2" s="7" t="s">
        <v>19</v>
      </c>
    </row>
    <row r="3" spans="1:16" ht="99" x14ac:dyDescent="0.25">
      <c r="A3" s="64">
        <v>1</v>
      </c>
      <c r="B3" s="162" t="s">
        <v>700</v>
      </c>
      <c r="C3" s="163" t="s">
        <v>701</v>
      </c>
      <c r="D3" s="164">
        <v>76852</v>
      </c>
      <c r="E3" s="164">
        <f t="shared" ref="E3:E9" si="0">+ROUND(D3*0.19,0)</f>
        <v>14602</v>
      </c>
      <c r="F3" s="164">
        <f>+D3+E3</f>
        <v>91454</v>
      </c>
      <c r="G3" s="26"/>
      <c r="H3" s="165" t="s">
        <v>176</v>
      </c>
      <c r="I3" s="165" t="s">
        <v>176</v>
      </c>
      <c r="J3" s="165" t="s">
        <v>176</v>
      </c>
      <c r="K3" s="165">
        <f>32900*0.840336134453782</f>
        <v>27647.058823529427</v>
      </c>
      <c r="L3" s="165">
        <f>+K3*0.19</f>
        <v>5252.941176470591</v>
      </c>
      <c r="M3" s="165">
        <f>+K3+L3</f>
        <v>32900.000000000015</v>
      </c>
      <c r="N3" s="165">
        <v>27647</v>
      </c>
      <c r="O3" s="165">
        <f>+N3*0.19</f>
        <v>5252.93</v>
      </c>
      <c r="P3" s="165">
        <f>+N3+O3</f>
        <v>32899.93</v>
      </c>
    </row>
    <row r="4" spans="1:16" ht="99" x14ac:dyDescent="0.25">
      <c r="A4" s="64">
        <v>2</v>
      </c>
      <c r="B4" s="162" t="s">
        <v>700</v>
      </c>
      <c r="C4" s="163" t="s">
        <v>702</v>
      </c>
      <c r="D4" s="164">
        <v>36014</v>
      </c>
      <c r="E4" s="164">
        <f t="shared" si="0"/>
        <v>6843</v>
      </c>
      <c r="F4" s="164">
        <f t="shared" ref="F4:F10" si="1">+D4+E4</f>
        <v>42857</v>
      </c>
      <c r="G4" s="164"/>
      <c r="H4" s="165" t="s">
        <v>176</v>
      </c>
      <c r="I4" s="165" t="s">
        <v>176</v>
      </c>
      <c r="J4" s="165" t="s">
        <v>176</v>
      </c>
      <c r="K4" s="164">
        <f>44500*0.840336134453782</f>
        <v>37394.957983193301</v>
      </c>
      <c r="L4" s="164">
        <f>+K4*0.19</f>
        <v>7105.0420168067276</v>
      </c>
      <c r="M4" s="164">
        <f>+K4+L4</f>
        <v>44500.000000000029</v>
      </c>
      <c r="N4" s="164">
        <v>36014</v>
      </c>
      <c r="O4" s="165">
        <f t="shared" ref="O4:O10" si="2">+N4*0.19</f>
        <v>6842.66</v>
      </c>
      <c r="P4" s="165">
        <f t="shared" ref="P4:P10" si="3">+N4+O4</f>
        <v>42856.66</v>
      </c>
    </row>
    <row r="5" spans="1:16" ht="148.5" x14ac:dyDescent="0.25">
      <c r="A5" s="26">
        <v>3</v>
      </c>
      <c r="B5" s="162" t="s">
        <v>700</v>
      </c>
      <c r="C5" s="163" t="s">
        <v>703</v>
      </c>
      <c r="D5" s="164">
        <v>9200</v>
      </c>
      <c r="E5" s="164">
        <f t="shared" si="0"/>
        <v>1748</v>
      </c>
      <c r="F5" s="164">
        <f t="shared" si="1"/>
        <v>10948</v>
      </c>
      <c r="G5" s="164"/>
      <c r="H5" s="165" t="s">
        <v>176</v>
      </c>
      <c r="I5" s="165" t="s">
        <v>176</v>
      </c>
      <c r="J5" s="165" t="s">
        <v>176</v>
      </c>
      <c r="K5" s="164">
        <f>45990*0.840336134453782</f>
        <v>38647.058823529434</v>
      </c>
      <c r="L5" s="164">
        <f>+K5*0.19</f>
        <v>7342.9411764705928</v>
      </c>
      <c r="M5" s="164">
        <f>+K5+L5</f>
        <v>45990.000000000029</v>
      </c>
      <c r="N5" s="164">
        <v>38647</v>
      </c>
      <c r="O5" s="165">
        <f t="shared" si="2"/>
        <v>7342.93</v>
      </c>
      <c r="P5" s="165">
        <f t="shared" si="3"/>
        <v>45989.93</v>
      </c>
    </row>
    <row r="6" spans="1:16" ht="198" x14ac:dyDescent="0.25">
      <c r="A6" s="64">
        <v>4</v>
      </c>
      <c r="B6" s="162" t="s">
        <v>700</v>
      </c>
      <c r="C6" s="163" t="s">
        <v>704</v>
      </c>
      <c r="D6" s="164">
        <v>9200</v>
      </c>
      <c r="E6" s="164">
        <f t="shared" si="0"/>
        <v>1748</v>
      </c>
      <c r="F6" s="164">
        <f t="shared" si="1"/>
        <v>10948</v>
      </c>
      <c r="G6" s="164"/>
      <c r="H6" s="165" t="s">
        <v>176</v>
      </c>
      <c r="I6" s="165" t="s">
        <v>176</v>
      </c>
      <c r="J6" s="165" t="s">
        <v>176</v>
      </c>
      <c r="K6" s="164">
        <f>20280*0.840336134453782</f>
        <v>17042.016806722699</v>
      </c>
      <c r="L6" s="164">
        <f>+K6*0.19</f>
        <v>3237.9831932773127</v>
      </c>
      <c r="M6" s="164">
        <f>+K6+L6</f>
        <v>20280.000000000011</v>
      </c>
      <c r="N6" s="164">
        <v>13121</v>
      </c>
      <c r="O6" s="165">
        <f t="shared" si="2"/>
        <v>2492.9900000000002</v>
      </c>
      <c r="P6" s="165">
        <f t="shared" si="3"/>
        <v>15613.99</v>
      </c>
    </row>
    <row r="7" spans="1:16" ht="132" x14ac:dyDescent="0.25">
      <c r="A7" s="64">
        <v>5</v>
      </c>
      <c r="B7" s="162" t="s">
        <v>700</v>
      </c>
      <c r="C7" s="163" t="s">
        <v>705</v>
      </c>
      <c r="D7" s="164">
        <v>11986</v>
      </c>
      <c r="E7" s="164">
        <f t="shared" si="0"/>
        <v>2277</v>
      </c>
      <c r="F7" s="164">
        <f t="shared" si="1"/>
        <v>14263</v>
      </c>
      <c r="G7" s="164"/>
      <c r="H7" s="165" t="s">
        <v>176</v>
      </c>
      <c r="I7" s="165" t="s">
        <v>176</v>
      </c>
      <c r="J7" s="165" t="s">
        <v>176</v>
      </c>
      <c r="K7" s="164">
        <f>11990*0.840336134453782</f>
        <v>10075.630252100846</v>
      </c>
      <c r="L7" s="164">
        <f>+K7*0.19</f>
        <v>1914.3697478991608</v>
      </c>
      <c r="M7" s="164">
        <f>+K7+L7</f>
        <v>11990.000000000007</v>
      </c>
      <c r="N7" s="164">
        <v>11031</v>
      </c>
      <c r="O7" s="165">
        <f t="shared" si="2"/>
        <v>2095.89</v>
      </c>
      <c r="P7" s="165">
        <f t="shared" si="3"/>
        <v>13126.89</v>
      </c>
    </row>
    <row r="8" spans="1:16" ht="165" x14ac:dyDescent="0.25">
      <c r="A8" s="64">
        <v>6</v>
      </c>
      <c r="B8" s="162" t="s">
        <v>700</v>
      </c>
      <c r="C8" s="163" t="s">
        <v>706</v>
      </c>
      <c r="D8" s="164">
        <v>11986</v>
      </c>
      <c r="E8" s="164">
        <f t="shared" si="0"/>
        <v>2277</v>
      </c>
      <c r="F8" s="164">
        <f t="shared" si="1"/>
        <v>14263</v>
      </c>
      <c r="G8" s="164"/>
      <c r="H8" s="165" t="s">
        <v>176</v>
      </c>
      <c r="I8" s="165" t="s">
        <v>176</v>
      </c>
      <c r="J8" s="165" t="s">
        <v>176</v>
      </c>
      <c r="K8" s="164"/>
      <c r="L8" s="164"/>
      <c r="M8" s="164"/>
      <c r="N8" s="164">
        <v>11986</v>
      </c>
      <c r="O8" s="165">
        <f t="shared" si="2"/>
        <v>2277.34</v>
      </c>
      <c r="P8" s="165">
        <f t="shared" si="3"/>
        <v>14263.34</v>
      </c>
    </row>
    <row r="9" spans="1:16" ht="115.5" x14ac:dyDescent="0.25">
      <c r="A9" s="64">
        <v>7</v>
      </c>
      <c r="B9" s="162" t="s">
        <v>700</v>
      </c>
      <c r="C9" s="163" t="s">
        <v>707</v>
      </c>
      <c r="D9" s="164">
        <v>26786</v>
      </c>
      <c r="E9" s="164">
        <f t="shared" si="0"/>
        <v>5089</v>
      </c>
      <c r="F9" s="164">
        <f t="shared" si="1"/>
        <v>31875</v>
      </c>
      <c r="G9" s="164"/>
      <c r="H9" s="164">
        <f>37600*0.840336134453782</f>
        <v>31596.6386554622</v>
      </c>
      <c r="I9" s="164">
        <f>+H9*0.19</f>
        <v>6003.3613445378178</v>
      </c>
      <c r="J9" s="164">
        <f>+H9+I9</f>
        <v>37600.000000000015</v>
      </c>
      <c r="K9" s="164">
        <v>31597</v>
      </c>
      <c r="L9" s="164">
        <f>+K9*0.19</f>
        <v>6003.43</v>
      </c>
      <c r="M9" s="164">
        <f>+K9+L9</f>
        <v>37600.43</v>
      </c>
      <c r="N9" s="164">
        <v>29993</v>
      </c>
      <c r="O9" s="165">
        <f t="shared" si="2"/>
        <v>5698.67</v>
      </c>
      <c r="P9" s="165">
        <f t="shared" si="3"/>
        <v>35691.67</v>
      </c>
    </row>
    <row r="10" spans="1:16" ht="99" x14ac:dyDescent="0.25">
      <c r="A10" s="64">
        <v>8</v>
      </c>
      <c r="B10" s="162" t="s">
        <v>700</v>
      </c>
      <c r="C10" s="163" t="s">
        <v>708</v>
      </c>
      <c r="D10" s="164">
        <v>182145</v>
      </c>
      <c r="E10" s="164">
        <f>+D10*0.19</f>
        <v>34607.550000000003</v>
      </c>
      <c r="F10" s="164">
        <f t="shared" si="1"/>
        <v>216752.55</v>
      </c>
      <c r="G10" s="164"/>
      <c r="H10" s="165" t="s">
        <v>176</v>
      </c>
      <c r="I10" s="165" t="s">
        <v>176</v>
      </c>
      <c r="J10" s="165" t="s">
        <v>176</v>
      </c>
      <c r="K10" s="164">
        <f>79900*0.840336134453782</f>
        <v>67142.857142857174</v>
      </c>
      <c r="L10" s="164">
        <f>+K10*0.19</f>
        <v>12757.142857142862</v>
      </c>
      <c r="M10" s="164">
        <f>+K10+L10</f>
        <v>79900.000000000029</v>
      </c>
      <c r="N10" s="164">
        <v>67143</v>
      </c>
      <c r="O10" s="165">
        <f t="shared" si="2"/>
        <v>12757.17</v>
      </c>
      <c r="P10" s="165">
        <f t="shared" si="3"/>
        <v>79900.17</v>
      </c>
    </row>
    <row r="11" spans="1:16" ht="49.5" x14ac:dyDescent="0.25">
      <c r="A11" s="185">
        <v>9</v>
      </c>
      <c r="B11" s="188" t="s">
        <v>709</v>
      </c>
      <c r="C11" s="163" t="s">
        <v>710</v>
      </c>
      <c r="D11" s="180">
        <v>680310</v>
      </c>
      <c r="E11" s="180">
        <f>+ROUND(D11*19/100,0)</f>
        <v>129259</v>
      </c>
      <c r="F11" s="180">
        <f>+D11+E11</f>
        <v>809569</v>
      </c>
      <c r="G11" s="180"/>
      <c r="H11" s="191" t="s">
        <v>176</v>
      </c>
      <c r="I11" s="191" t="s">
        <v>176</v>
      </c>
      <c r="J11" s="191" t="s">
        <v>176</v>
      </c>
      <c r="K11" s="180">
        <f>429900*0.840336134453782</f>
        <v>361260.50420168089</v>
      </c>
      <c r="L11" s="180">
        <f>+K11*0.19</f>
        <v>68639.495798319374</v>
      </c>
      <c r="M11" s="180">
        <f>+K11+L11</f>
        <v>429900.00000000023</v>
      </c>
      <c r="N11" s="180">
        <v>361261</v>
      </c>
      <c r="O11" s="180">
        <f>+N11*0.19</f>
        <v>68639.59</v>
      </c>
      <c r="P11" s="180">
        <f>+N11+O11</f>
        <v>429900.58999999997</v>
      </c>
    </row>
    <row r="12" spans="1:16" x14ac:dyDescent="0.25">
      <c r="A12" s="186"/>
      <c r="B12" s="189"/>
      <c r="C12" s="69" t="s">
        <v>711</v>
      </c>
      <c r="D12" s="181"/>
      <c r="E12" s="181"/>
      <c r="F12" s="181"/>
      <c r="G12" s="181"/>
      <c r="H12" s="192"/>
      <c r="I12" s="192"/>
      <c r="J12" s="192"/>
      <c r="K12" s="181"/>
      <c r="L12" s="181"/>
      <c r="M12" s="181"/>
      <c r="N12" s="181"/>
      <c r="O12" s="181"/>
      <c r="P12" s="181"/>
    </row>
    <row r="13" spans="1:16" x14ac:dyDescent="0.25">
      <c r="A13" s="186"/>
      <c r="B13" s="189"/>
      <c r="C13" s="69" t="s">
        <v>712</v>
      </c>
      <c r="D13" s="181"/>
      <c r="E13" s="181"/>
      <c r="F13" s="181"/>
      <c r="G13" s="181"/>
      <c r="H13" s="192"/>
      <c r="I13" s="192"/>
      <c r="J13" s="192"/>
      <c r="K13" s="181"/>
      <c r="L13" s="181"/>
      <c r="M13" s="181"/>
      <c r="N13" s="181"/>
      <c r="O13" s="181"/>
      <c r="P13" s="181"/>
    </row>
    <row r="14" spans="1:16" x14ac:dyDescent="0.25">
      <c r="A14" s="186"/>
      <c r="B14" s="189"/>
      <c r="C14" s="166" t="s">
        <v>713</v>
      </c>
      <c r="D14" s="181"/>
      <c r="E14" s="181"/>
      <c r="F14" s="181"/>
      <c r="G14" s="181"/>
      <c r="H14" s="192"/>
      <c r="I14" s="192"/>
      <c r="J14" s="192"/>
      <c r="K14" s="181"/>
      <c r="L14" s="181"/>
      <c r="M14" s="181"/>
      <c r="N14" s="181"/>
      <c r="O14" s="181"/>
      <c r="P14" s="181"/>
    </row>
    <row r="15" spans="1:16" x14ac:dyDescent="0.25">
      <c r="A15" s="186"/>
      <c r="B15" s="189"/>
      <c r="C15" s="166" t="s">
        <v>714</v>
      </c>
      <c r="D15" s="181"/>
      <c r="E15" s="181"/>
      <c r="F15" s="181"/>
      <c r="G15" s="181"/>
      <c r="H15" s="192"/>
      <c r="I15" s="192"/>
      <c r="J15" s="192"/>
      <c r="K15" s="181"/>
      <c r="L15" s="181"/>
      <c r="M15" s="181"/>
      <c r="N15" s="181"/>
      <c r="O15" s="181"/>
      <c r="P15" s="181"/>
    </row>
    <row r="16" spans="1:16" ht="33" x14ac:dyDescent="0.25">
      <c r="A16" s="186"/>
      <c r="B16" s="189"/>
      <c r="C16" s="166" t="s">
        <v>715</v>
      </c>
      <c r="D16" s="181"/>
      <c r="E16" s="181"/>
      <c r="F16" s="181"/>
      <c r="G16" s="181"/>
      <c r="H16" s="192"/>
      <c r="I16" s="192"/>
      <c r="J16" s="192"/>
      <c r="K16" s="181"/>
      <c r="L16" s="181"/>
      <c r="M16" s="181"/>
      <c r="N16" s="181"/>
      <c r="O16" s="181"/>
      <c r="P16" s="181"/>
    </row>
    <row r="17" spans="1:16" x14ac:dyDescent="0.25">
      <c r="A17" s="186"/>
      <c r="B17" s="189"/>
      <c r="C17" s="166" t="s">
        <v>716</v>
      </c>
      <c r="D17" s="181"/>
      <c r="E17" s="181"/>
      <c r="F17" s="181"/>
      <c r="G17" s="181"/>
      <c r="H17" s="192"/>
      <c r="I17" s="192"/>
      <c r="J17" s="192"/>
      <c r="K17" s="181"/>
      <c r="L17" s="181"/>
      <c r="M17" s="181"/>
      <c r="N17" s="181"/>
      <c r="O17" s="181"/>
      <c r="P17" s="181"/>
    </row>
    <row r="18" spans="1:16" ht="33" x14ac:dyDescent="0.25">
      <c r="A18" s="186"/>
      <c r="B18" s="189"/>
      <c r="C18" s="69" t="s">
        <v>717</v>
      </c>
      <c r="D18" s="181"/>
      <c r="E18" s="181"/>
      <c r="F18" s="181"/>
      <c r="G18" s="181"/>
      <c r="H18" s="192"/>
      <c r="I18" s="192"/>
      <c r="J18" s="192"/>
      <c r="K18" s="181"/>
      <c r="L18" s="181"/>
      <c r="M18" s="181"/>
      <c r="N18" s="181"/>
      <c r="O18" s="181"/>
      <c r="P18" s="181"/>
    </row>
    <row r="19" spans="1:16" x14ac:dyDescent="0.25">
      <c r="A19" s="186"/>
      <c r="B19" s="189"/>
      <c r="C19" s="69" t="s">
        <v>718</v>
      </c>
      <c r="D19" s="181"/>
      <c r="E19" s="181"/>
      <c r="F19" s="181"/>
      <c r="G19" s="181"/>
      <c r="H19" s="192"/>
      <c r="I19" s="192"/>
      <c r="J19" s="192"/>
      <c r="K19" s="181"/>
      <c r="L19" s="181"/>
      <c r="M19" s="181"/>
      <c r="N19" s="181"/>
      <c r="O19" s="181"/>
      <c r="P19" s="181"/>
    </row>
    <row r="20" spans="1:16" ht="33" x14ac:dyDescent="0.25">
      <c r="A20" s="186"/>
      <c r="B20" s="189"/>
      <c r="C20" s="166" t="s">
        <v>719</v>
      </c>
      <c r="D20" s="181"/>
      <c r="E20" s="181"/>
      <c r="F20" s="181"/>
      <c r="G20" s="181"/>
      <c r="H20" s="192"/>
      <c r="I20" s="192"/>
      <c r="J20" s="192"/>
      <c r="K20" s="181"/>
      <c r="L20" s="181"/>
      <c r="M20" s="181"/>
      <c r="N20" s="181"/>
      <c r="O20" s="181"/>
      <c r="P20" s="181"/>
    </row>
    <row r="21" spans="1:16" ht="33" x14ac:dyDescent="0.25">
      <c r="A21" s="186"/>
      <c r="B21" s="189"/>
      <c r="C21" s="166" t="s">
        <v>720</v>
      </c>
      <c r="D21" s="181"/>
      <c r="E21" s="181"/>
      <c r="F21" s="181"/>
      <c r="G21" s="181"/>
      <c r="H21" s="192"/>
      <c r="I21" s="192"/>
      <c r="J21" s="192"/>
      <c r="K21" s="181"/>
      <c r="L21" s="181"/>
      <c r="M21" s="181"/>
      <c r="N21" s="181"/>
      <c r="O21" s="181"/>
      <c r="P21" s="181"/>
    </row>
    <row r="22" spans="1:16" ht="33" x14ac:dyDescent="0.25">
      <c r="A22" s="186"/>
      <c r="B22" s="189"/>
      <c r="C22" s="69" t="s">
        <v>721</v>
      </c>
      <c r="D22" s="181"/>
      <c r="E22" s="181"/>
      <c r="F22" s="181"/>
      <c r="G22" s="181"/>
      <c r="H22" s="192"/>
      <c r="I22" s="192"/>
      <c r="J22" s="192"/>
      <c r="K22" s="181"/>
      <c r="L22" s="181"/>
      <c r="M22" s="181"/>
      <c r="N22" s="181"/>
      <c r="O22" s="181"/>
      <c r="P22" s="181"/>
    </row>
    <row r="23" spans="1:16" ht="33" x14ac:dyDescent="0.25">
      <c r="A23" s="186"/>
      <c r="B23" s="189"/>
      <c r="C23" s="166" t="s">
        <v>722</v>
      </c>
      <c r="D23" s="181"/>
      <c r="E23" s="181"/>
      <c r="F23" s="181"/>
      <c r="G23" s="181"/>
      <c r="H23" s="192"/>
      <c r="I23" s="192"/>
      <c r="J23" s="192"/>
      <c r="K23" s="181"/>
      <c r="L23" s="181"/>
      <c r="M23" s="181"/>
      <c r="N23" s="181"/>
      <c r="O23" s="181"/>
      <c r="P23" s="181"/>
    </row>
    <row r="24" spans="1:16" ht="33" x14ac:dyDescent="0.25">
      <c r="A24" s="186"/>
      <c r="B24" s="189"/>
      <c r="C24" s="166" t="s">
        <v>723</v>
      </c>
      <c r="D24" s="181"/>
      <c r="E24" s="181"/>
      <c r="F24" s="181"/>
      <c r="G24" s="181"/>
      <c r="H24" s="192"/>
      <c r="I24" s="192"/>
      <c r="J24" s="192"/>
      <c r="K24" s="181"/>
      <c r="L24" s="181"/>
      <c r="M24" s="181"/>
      <c r="N24" s="181"/>
      <c r="O24" s="181"/>
      <c r="P24" s="181"/>
    </row>
    <row r="25" spans="1:16" ht="33" x14ac:dyDescent="0.25">
      <c r="A25" s="186"/>
      <c r="B25" s="189"/>
      <c r="C25" s="166" t="s">
        <v>724</v>
      </c>
      <c r="D25" s="181"/>
      <c r="E25" s="181"/>
      <c r="F25" s="181"/>
      <c r="G25" s="181"/>
      <c r="H25" s="192"/>
      <c r="I25" s="192"/>
      <c r="J25" s="192"/>
      <c r="K25" s="181"/>
      <c r="L25" s="181"/>
      <c r="M25" s="181"/>
      <c r="N25" s="181"/>
      <c r="O25" s="181"/>
      <c r="P25" s="181"/>
    </row>
    <row r="26" spans="1:16" ht="33" x14ac:dyDescent="0.25">
      <c r="A26" s="186"/>
      <c r="B26" s="189"/>
      <c r="C26" s="166" t="s">
        <v>725</v>
      </c>
      <c r="D26" s="181"/>
      <c r="E26" s="181"/>
      <c r="F26" s="181"/>
      <c r="G26" s="181"/>
      <c r="H26" s="192"/>
      <c r="I26" s="192"/>
      <c r="J26" s="192"/>
      <c r="K26" s="181"/>
      <c r="L26" s="181"/>
      <c r="M26" s="181"/>
      <c r="N26" s="181"/>
      <c r="O26" s="181"/>
      <c r="P26" s="181"/>
    </row>
    <row r="27" spans="1:16" ht="33" x14ac:dyDescent="0.25">
      <c r="A27" s="187"/>
      <c r="B27" s="190"/>
      <c r="C27" s="69" t="s">
        <v>726</v>
      </c>
      <c r="D27" s="182"/>
      <c r="E27" s="182"/>
      <c r="F27" s="182"/>
      <c r="G27" s="182"/>
      <c r="H27" s="193"/>
      <c r="I27" s="193"/>
      <c r="J27" s="193"/>
      <c r="K27" s="182"/>
      <c r="L27" s="182"/>
      <c r="M27" s="182"/>
      <c r="N27" s="182"/>
      <c r="O27" s="182"/>
      <c r="P27" s="182"/>
    </row>
    <row r="28" spans="1:16" ht="99" x14ac:dyDescent="0.25">
      <c r="A28" s="185">
        <v>10</v>
      </c>
      <c r="B28" s="188" t="s">
        <v>727</v>
      </c>
      <c r="C28" s="163" t="s">
        <v>728</v>
      </c>
      <c r="D28" s="180">
        <v>680310</v>
      </c>
      <c r="E28" s="180">
        <f>+ROUND(D28*0.19,0)</f>
        <v>129259</v>
      </c>
      <c r="F28" s="180">
        <f>+D28+E28</f>
        <v>809569</v>
      </c>
      <c r="G28" s="180"/>
      <c r="H28" s="180" t="s">
        <v>176</v>
      </c>
      <c r="I28" s="180" t="s">
        <v>176</v>
      </c>
      <c r="J28" s="180" t="s">
        <v>176</v>
      </c>
      <c r="K28" s="180">
        <f>140000*0.840336134453782</f>
        <v>117647.05882352947</v>
      </c>
      <c r="L28" s="180">
        <f>+K28*0.19</f>
        <v>22352.941176470598</v>
      </c>
      <c r="M28" s="180">
        <f>+K28+L28</f>
        <v>140000.00000000006</v>
      </c>
      <c r="N28" s="180">
        <v>117647</v>
      </c>
      <c r="O28" s="180">
        <f>+N28*0.19</f>
        <v>22352.93</v>
      </c>
      <c r="P28" s="180">
        <f>+N28+O28</f>
        <v>139999.93</v>
      </c>
    </row>
    <row r="29" spans="1:16" x14ac:dyDescent="0.25">
      <c r="A29" s="186"/>
      <c r="B29" s="189"/>
      <c r="C29" s="69" t="s">
        <v>729</v>
      </c>
      <c r="D29" s="181"/>
      <c r="E29" s="181"/>
      <c r="F29" s="181"/>
      <c r="G29" s="181"/>
      <c r="H29" s="181"/>
      <c r="I29" s="181"/>
      <c r="J29" s="181"/>
      <c r="K29" s="181"/>
      <c r="L29" s="181"/>
      <c r="M29" s="181"/>
      <c r="N29" s="181"/>
      <c r="O29" s="181"/>
      <c r="P29" s="181"/>
    </row>
    <row r="30" spans="1:16" x14ac:dyDescent="0.25">
      <c r="A30" s="186"/>
      <c r="B30" s="189"/>
      <c r="C30" s="69" t="s">
        <v>730</v>
      </c>
      <c r="D30" s="181"/>
      <c r="E30" s="181"/>
      <c r="F30" s="181"/>
      <c r="G30" s="181"/>
      <c r="H30" s="181"/>
      <c r="I30" s="181"/>
      <c r="J30" s="181"/>
      <c r="K30" s="181"/>
      <c r="L30" s="181"/>
      <c r="M30" s="181"/>
      <c r="N30" s="181"/>
      <c r="O30" s="181"/>
      <c r="P30" s="181"/>
    </row>
    <row r="31" spans="1:16" ht="49.5" x14ac:dyDescent="0.25">
      <c r="A31" s="186"/>
      <c r="B31" s="189"/>
      <c r="C31" s="69" t="s">
        <v>731</v>
      </c>
      <c r="D31" s="181"/>
      <c r="E31" s="181"/>
      <c r="F31" s="181"/>
      <c r="G31" s="181"/>
      <c r="H31" s="181"/>
      <c r="I31" s="181"/>
      <c r="J31" s="181"/>
      <c r="K31" s="181"/>
      <c r="L31" s="181"/>
      <c r="M31" s="181"/>
      <c r="N31" s="181"/>
      <c r="O31" s="181"/>
      <c r="P31" s="181"/>
    </row>
    <row r="32" spans="1:16" x14ac:dyDescent="0.25">
      <c r="A32" s="186"/>
      <c r="B32" s="189"/>
      <c r="C32" s="69" t="s">
        <v>732</v>
      </c>
      <c r="D32" s="181"/>
      <c r="E32" s="181"/>
      <c r="F32" s="181"/>
      <c r="G32" s="181"/>
      <c r="H32" s="181"/>
      <c r="I32" s="181"/>
      <c r="J32" s="181"/>
      <c r="K32" s="181"/>
      <c r="L32" s="181"/>
      <c r="M32" s="181"/>
      <c r="N32" s="181"/>
      <c r="O32" s="181"/>
      <c r="P32" s="181"/>
    </row>
    <row r="33" spans="1:16" ht="33" x14ac:dyDescent="0.25">
      <c r="A33" s="186"/>
      <c r="B33" s="189"/>
      <c r="C33" s="69" t="s">
        <v>733</v>
      </c>
      <c r="D33" s="181"/>
      <c r="E33" s="181"/>
      <c r="F33" s="181"/>
      <c r="G33" s="181"/>
      <c r="H33" s="181"/>
      <c r="I33" s="181"/>
      <c r="J33" s="181"/>
      <c r="K33" s="181"/>
      <c r="L33" s="181"/>
      <c r="M33" s="181"/>
      <c r="N33" s="181"/>
      <c r="O33" s="181"/>
      <c r="P33" s="181"/>
    </row>
    <row r="34" spans="1:16" ht="33" x14ac:dyDescent="0.25">
      <c r="A34" s="186"/>
      <c r="B34" s="189"/>
      <c r="C34" s="69" t="s">
        <v>734</v>
      </c>
      <c r="D34" s="181"/>
      <c r="E34" s="181"/>
      <c r="F34" s="181"/>
      <c r="G34" s="181"/>
      <c r="H34" s="181"/>
      <c r="I34" s="181"/>
      <c r="J34" s="181"/>
      <c r="K34" s="181"/>
      <c r="L34" s="181"/>
      <c r="M34" s="181"/>
      <c r="N34" s="181"/>
      <c r="O34" s="181"/>
      <c r="P34" s="181"/>
    </row>
    <row r="35" spans="1:16" x14ac:dyDescent="0.25">
      <c r="A35" s="186"/>
      <c r="B35" s="189"/>
      <c r="C35" s="69" t="s">
        <v>735</v>
      </c>
      <c r="D35" s="181"/>
      <c r="E35" s="181"/>
      <c r="F35" s="181"/>
      <c r="G35" s="181"/>
      <c r="H35" s="181"/>
      <c r="I35" s="181"/>
      <c r="J35" s="181"/>
      <c r="K35" s="181"/>
      <c r="L35" s="181"/>
      <c r="M35" s="181"/>
      <c r="N35" s="181"/>
      <c r="O35" s="181"/>
      <c r="P35" s="181"/>
    </row>
    <row r="36" spans="1:16" ht="33" x14ac:dyDescent="0.25">
      <c r="A36" s="186"/>
      <c r="B36" s="189"/>
      <c r="C36" s="69" t="s">
        <v>736</v>
      </c>
      <c r="D36" s="181"/>
      <c r="E36" s="181"/>
      <c r="F36" s="181"/>
      <c r="G36" s="181"/>
      <c r="H36" s="181"/>
      <c r="I36" s="181"/>
      <c r="J36" s="181"/>
      <c r="K36" s="181"/>
      <c r="L36" s="181"/>
      <c r="M36" s="181"/>
      <c r="N36" s="181"/>
      <c r="O36" s="181"/>
      <c r="P36" s="181"/>
    </row>
    <row r="37" spans="1:16" x14ac:dyDescent="0.25">
      <c r="A37" s="186"/>
      <c r="B37" s="189"/>
      <c r="C37" s="69" t="s">
        <v>737</v>
      </c>
      <c r="D37" s="181"/>
      <c r="E37" s="181"/>
      <c r="F37" s="181"/>
      <c r="G37" s="181"/>
      <c r="H37" s="181"/>
      <c r="I37" s="181"/>
      <c r="J37" s="181"/>
      <c r="K37" s="181"/>
      <c r="L37" s="181"/>
      <c r="M37" s="181"/>
      <c r="N37" s="181"/>
      <c r="O37" s="181"/>
      <c r="P37" s="181"/>
    </row>
    <row r="38" spans="1:16" x14ac:dyDescent="0.25">
      <c r="A38" s="186"/>
      <c r="B38" s="189"/>
      <c r="C38" s="69" t="s">
        <v>738</v>
      </c>
      <c r="D38" s="181"/>
      <c r="E38" s="181"/>
      <c r="F38" s="181"/>
      <c r="G38" s="181"/>
      <c r="H38" s="181"/>
      <c r="I38" s="181"/>
      <c r="J38" s="181"/>
      <c r="K38" s="181"/>
      <c r="L38" s="181"/>
      <c r="M38" s="181"/>
      <c r="N38" s="181"/>
      <c r="O38" s="181"/>
      <c r="P38" s="181"/>
    </row>
    <row r="39" spans="1:16" ht="33" x14ac:dyDescent="0.25">
      <c r="A39" s="186"/>
      <c r="B39" s="189"/>
      <c r="C39" s="69" t="s">
        <v>739</v>
      </c>
      <c r="D39" s="181"/>
      <c r="E39" s="181"/>
      <c r="F39" s="181"/>
      <c r="G39" s="181"/>
      <c r="H39" s="181"/>
      <c r="I39" s="181"/>
      <c r="J39" s="181"/>
      <c r="K39" s="181"/>
      <c r="L39" s="181"/>
      <c r="M39" s="181"/>
      <c r="N39" s="181"/>
      <c r="O39" s="181"/>
      <c r="P39" s="181"/>
    </row>
    <row r="40" spans="1:16" ht="33" x14ac:dyDescent="0.25">
      <c r="A40" s="186"/>
      <c r="B40" s="189"/>
      <c r="C40" s="69" t="s">
        <v>736</v>
      </c>
      <c r="D40" s="181"/>
      <c r="E40" s="181"/>
      <c r="F40" s="181"/>
      <c r="G40" s="181"/>
      <c r="H40" s="181"/>
      <c r="I40" s="181"/>
      <c r="J40" s="181"/>
      <c r="K40" s="181"/>
      <c r="L40" s="181"/>
      <c r="M40" s="181"/>
      <c r="N40" s="181"/>
      <c r="O40" s="181"/>
      <c r="P40" s="181"/>
    </row>
    <row r="41" spans="1:16" x14ac:dyDescent="0.25">
      <c r="A41" s="186"/>
      <c r="B41" s="189"/>
      <c r="C41" s="69" t="s">
        <v>737</v>
      </c>
      <c r="D41" s="181"/>
      <c r="E41" s="181"/>
      <c r="F41" s="181"/>
      <c r="G41" s="181"/>
      <c r="H41" s="181"/>
      <c r="I41" s="181"/>
      <c r="J41" s="181"/>
      <c r="K41" s="181"/>
      <c r="L41" s="181"/>
      <c r="M41" s="181"/>
      <c r="N41" s="181"/>
      <c r="O41" s="181"/>
      <c r="P41" s="181"/>
    </row>
    <row r="42" spans="1:16" x14ac:dyDescent="0.25">
      <c r="A42" s="186"/>
      <c r="B42" s="189"/>
      <c r="C42" s="69" t="s">
        <v>740</v>
      </c>
      <c r="D42" s="181"/>
      <c r="E42" s="181"/>
      <c r="F42" s="181"/>
      <c r="G42" s="181"/>
      <c r="H42" s="181"/>
      <c r="I42" s="181"/>
      <c r="J42" s="181"/>
      <c r="K42" s="181"/>
      <c r="L42" s="181"/>
      <c r="M42" s="181"/>
      <c r="N42" s="181"/>
      <c r="O42" s="181"/>
      <c r="P42" s="181"/>
    </row>
    <row r="43" spans="1:16" ht="33" x14ac:dyDescent="0.25">
      <c r="A43" s="187"/>
      <c r="B43" s="190"/>
      <c r="C43" s="69" t="s">
        <v>726</v>
      </c>
      <c r="D43" s="182"/>
      <c r="E43" s="182"/>
      <c r="F43" s="182"/>
      <c r="G43" s="182"/>
      <c r="H43" s="182"/>
      <c r="I43" s="182"/>
      <c r="J43" s="182"/>
      <c r="K43" s="182"/>
      <c r="L43" s="182"/>
      <c r="M43" s="182"/>
      <c r="N43" s="182"/>
      <c r="O43" s="182"/>
      <c r="P43" s="182"/>
    </row>
    <row r="44" spans="1:16" ht="82.5" x14ac:dyDescent="0.25">
      <c r="A44" s="185">
        <v>11</v>
      </c>
      <c r="B44" s="188" t="s">
        <v>741</v>
      </c>
      <c r="C44" s="166" t="s">
        <v>742</v>
      </c>
      <c r="D44" s="180">
        <v>641430</v>
      </c>
      <c r="E44" s="180">
        <f>+ROUND(D44*0.19,0)</f>
        <v>121872</v>
      </c>
      <c r="F44" s="180">
        <f>+D44+E44</f>
        <v>763302</v>
      </c>
      <c r="G44" s="180"/>
      <c r="H44" s="180">
        <f>563900*0.840336134453782</f>
        <v>473865.54621848767</v>
      </c>
      <c r="I44" s="180">
        <f>+H44*0.19</f>
        <v>90034.453781512653</v>
      </c>
      <c r="J44" s="180">
        <f>+H44+I44</f>
        <v>563900.00000000035</v>
      </c>
      <c r="K44" s="180">
        <f>832400*0.840336134453782</f>
        <v>699495.79831932811</v>
      </c>
      <c r="L44" s="180">
        <f>+K44*0.19</f>
        <v>132904.20168067235</v>
      </c>
      <c r="M44" s="180">
        <f>+K44+L44</f>
        <v>832400.00000000047</v>
      </c>
      <c r="N44" s="180">
        <v>604930</v>
      </c>
      <c r="O44" s="180">
        <f>+N44*0.19</f>
        <v>114936.7</v>
      </c>
      <c r="P44" s="180">
        <f>+N44+O44</f>
        <v>719866.7</v>
      </c>
    </row>
    <row r="45" spans="1:16" ht="132" x14ac:dyDescent="0.25">
      <c r="A45" s="186"/>
      <c r="B45" s="189"/>
      <c r="C45" s="163" t="s">
        <v>743</v>
      </c>
      <c r="D45" s="181"/>
      <c r="E45" s="181"/>
      <c r="F45" s="181"/>
      <c r="G45" s="181"/>
      <c r="H45" s="181"/>
      <c r="I45" s="181"/>
      <c r="J45" s="181"/>
      <c r="K45" s="181"/>
      <c r="L45" s="181"/>
      <c r="M45" s="181"/>
      <c r="N45" s="181"/>
      <c r="O45" s="181"/>
      <c r="P45" s="181"/>
    </row>
    <row r="46" spans="1:16" x14ac:dyDescent="0.25">
      <c r="A46" s="186"/>
      <c r="B46" s="189"/>
      <c r="C46" s="69" t="s">
        <v>744</v>
      </c>
      <c r="D46" s="181"/>
      <c r="E46" s="181"/>
      <c r="F46" s="181"/>
      <c r="G46" s="181"/>
      <c r="H46" s="181"/>
      <c r="I46" s="181"/>
      <c r="J46" s="181"/>
      <c r="K46" s="181"/>
      <c r="L46" s="181"/>
      <c r="M46" s="181"/>
      <c r="N46" s="181"/>
      <c r="O46" s="181"/>
      <c r="P46" s="181"/>
    </row>
    <row r="47" spans="1:16" x14ac:dyDescent="0.25">
      <c r="A47" s="186"/>
      <c r="B47" s="189"/>
      <c r="C47" s="166" t="s">
        <v>745</v>
      </c>
      <c r="D47" s="181"/>
      <c r="E47" s="181"/>
      <c r="F47" s="181"/>
      <c r="G47" s="181"/>
      <c r="H47" s="181"/>
      <c r="I47" s="181"/>
      <c r="J47" s="181"/>
      <c r="K47" s="181"/>
      <c r="L47" s="181"/>
      <c r="M47" s="181"/>
      <c r="N47" s="181"/>
      <c r="O47" s="181"/>
      <c r="P47" s="181"/>
    </row>
    <row r="48" spans="1:16" ht="33" x14ac:dyDescent="0.25">
      <c r="A48" s="186"/>
      <c r="B48" s="189"/>
      <c r="C48" s="69" t="s">
        <v>746</v>
      </c>
      <c r="D48" s="181"/>
      <c r="E48" s="181"/>
      <c r="F48" s="181"/>
      <c r="G48" s="181"/>
      <c r="H48" s="181"/>
      <c r="I48" s="181"/>
      <c r="J48" s="181"/>
      <c r="K48" s="181"/>
      <c r="L48" s="181"/>
      <c r="M48" s="181"/>
      <c r="N48" s="181"/>
      <c r="O48" s="181"/>
      <c r="P48" s="181"/>
    </row>
    <row r="49" spans="1:16" ht="33" x14ac:dyDescent="0.25">
      <c r="A49" s="186"/>
      <c r="B49" s="189"/>
      <c r="C49" s="69" t="s">
        <v>747</v>
      </c>
      <c r="D49" s="181"/>
      <c r="E49" s="181"/>
      <c r="F49" s="181"/>
      <c r="G49" s="181"/>
      <c r="H49" s="181"/>
      <c r="I49" s="181"/>
      <c r="J49" s="181"/>
      <c r="K49" s="181"/>
      <c r="L49" s="181"/>
      <c r="M49" s="181"/>
      <c r="N49" s="181"/>
      <c r="O49" s="181"/>
      <c r="P49" s="181"/>
    </row>
    <row r="50" spans="1:16" x14ac:dyDescent="0.25">
      <c r="A50" s="186"/>
      <c r="B50" s="189"/>
      <c r="C50" s="69" t="s">
        <v>748</v>
      </c>
      <c r="D50" s="181"/>
      <c r="E50" s="181"/>
      <c r="F50" s="181"/>
      <c r="G50" s="181"/>
      <c r="H50" s="181"/>
      <c r="I50" s="181"/>
      <c r="J50" s="181"/>
      <c r="K50" s="181"/>
      <c r="L50" s="181"/>
      <c r="M50" s="181"/>
      <c r="N50" s="181"/>
      <c r="O50" s="181"/>
      <c r="P50" s="181"/>
    </row>
    <row r="51" spans="1:16" x14ac:dyDescent="0.25">
      <c r="A51" s="186"/>
      <c r="B51" s="189"/>
      <c r="C51" s="69" t="s">
        <v>749</v>
      </c>
      <c r="D51" s="181"/>
      <c r="E51" s="181"/>
      <c r="F51" s="181"/>
      <c r="G51" s="181"/>
      <c r="H51" s="181"/>
      <c r="I51" s="181"/>
      <c r="J51" s="181"/>
      <c r="K51" s="181"/>
      <c r="L51" s="181"/>
      <c r="M51" s="181"/>
      <c r="N51" s="181"/>
      <c r="O51" s="181"/>
      <c r="P51" s="181"/>
    </row>
    <row r="52" spans="1:16" x14ac:dyDescent="0.25">
      <c r="A52" s="186"/>
      <c r="B52" s="189"/>
      <c r="C52" s="69" t="s">
        <v>750</v>
      </c>
      <c r="D52" s="181"/>
      <c r="E52" s="181"/>
      <c r="F52" s="181"/>
      <c r="G52" s="181"/>
      <c r="H52" s="181"/>
      <c r="I52" s="181"/>
      <c r="J52" s="181"/>
      <c r="K52" s="181"/>
      <c r="L52" s="181"/>
      <c r="M52" s="181"/>
      <c r="N52" s="181"/>
      <c r="O52" s="181"/>
      <c r="P52" s="181"/>
    </row>
    <row r="53" spans="1:16" ht="33" x14ac:dyDescent="0.25">
      <c r="A53" s="186"/>
      <c r="B53" s="189"/>
      <c r="C53" s="69" t="s">
        <v>751</v>
      </c>
      <c r="D53" s="181"/>
      <c r="E53" s="181"/>
      <c r="F53" s="181"/>
      <c r="G53" s="181"/>
      <c r="H53" s="181"/>
      <c r="I53" s="181"/>
      <c r="J53" s="181"/>
      <c r="K53" s="181"/>
      <c r="L53" s="181"/>
      <c r="M53" s="181"/>
      <c r="N53" s="181"/>
      <c r="O53" s="181"/>
      <c r="P53" s="181"/>
    </row>
    <row r="54" spans="1:16" x14ac:dyDescent="0.25">
      <c r="A54" s="186"/>
      <c r="B54" s="189"/>
      <c r="C54" s="69" t="s">
        <v>752</v>
      </c>
      <c r="D54" s="181"/>
      <c r="E54" s="181"/>
      <c r="F54" s="181"/>
      <c r="G54" s="181"/>
      <c r="H54" s="181"/>
      <c r="I54" s="181"/>
      <c r="J54" s="181"/>
      <c r="K54" s="181"/>
      <c r="L54" s="181"/>
      <c r="M54" s="181"/>
      <c r="N54" s="181"/>
      <c r="O54" s="181"/>
      <c r="P54" s="181"/>
    </row>
    <row r="55" spans="1:16" x14ac:dyDescent="0.25">
      <c r="A55" s="186"/>
      <c r="B55" s="189"/>
      <c r="C55" s="69" t="s">
        <v>753</v>
      </c>
      <c r="D55" s="181"/>
      <c r="E55" s="181"/>
      <c r="F55" s="181"/>
      <c r="G55" s="181"/>
      <c r="H55" s="181"/>
      <c r="I55" s="181"/>
      <c r="J55" s="181"/>
      <c r="K55" s="181"/>
      <c r="L55" s="181"/>
      <c r="M55" s="181"/>
      <c r="N55" s="181"/>
      <c r="O55" s="181"/>
      <c r="P55" s="181"/>
    </row>
    <row r="56" spans="1:16" ht="33" x14ac:dyDescent="0.25">
      <c r="A56" s="186"/>
      <c r="B56" s="189"/>
      <c r="C56" s="69" t="s">
        <v>754</v>
      </c>
      <c r="D56" s="181"/>
      <c r="E56" s="181"/>
      <c r="F56" s="181"/>
      <c r="G56" s="181"/>
      <c r="H56" s="181"/>
      <c r="I56" s="181"/>
      <c r="J56" s="181"/>
      <c r="K56" s="181"/>
      <c r="L56" s="181"/>
      <c r="M56" s="181"/>
      <c r="N56" s="181"/>
      <c r="O56" s="181"/>
      <c r="P56" s="181"/>
    </row>
    <row r="57" spans="1:16" x14ac:dyDescent="0.25">
      <c r="A57" s="186"/>
      <c r="B57" s="189"/>
      <c r="C57" s="69" t="s">
        <v>755</v>
      </c>
      <c r="D57" s="181"/>
      <c r="E57" s="181"/>
      <c r="F57" s="181"/>
      <c r="G57" s="181"/>
      <c r="H57" s="181"/>
      <c r="I57" s="181"/>
      <c r="J57" s="181"/>
      <c r="K57" s="181"/>
      <c r="L57" s="181"/>
      <c r="M57" s="181"/>
      <c r="N57" s="181"/>
      <c r="O57" s="181"/>
      <c r="P57" s="181"/>
    </row>
    <row r="58" spans="1:16" x14ac:dyDescent="0.25">
      <c r="A58" s="186"/>
      <c r="B58" s="189"/>
      <c r="C58" s="69" t="s">
        <v>756</v>
      </c>
      <c r="D58" s="181"/>
      <c r="E58" s="181"/>
      <c r="F58" s="181"/>
      <c r="G58" s="181"/>
      <c r="H58" s="181"/>
      <c r="I58" s="181"/>
      <c r="J58" s="181"/>
      <c r="K58" s="181"/>
      <c r="L58" s="181"/>
      <c r="M58" s="181"/>
      <c r="N58" s="181"/>
      <c r="O58" s="181"/>
      <c r="P58" s="181"/>
    </row>
    <row r="59" spans="1:16" x14ac:dyDescent="0.25">
      <c r="A59" s="186"/>
      <c r="B59" s="189"/>
      <c r="C59" s="69" t="s">
        <v>757</v>
      </c>
      <c r="D59" s="181"/>
      <c r="E59" s="181"/>
      <c r="F59" s="181"/>
      <c r="G59" s="181"/>
      <c r="H59" s="181"/>
      <c r="I59" s="181"/>
      <c r="J59" s="181"/>
      <c r="K59" s="181"/>
      <c r="L59" s="181"/>
      <c r="M59" s="181"/>
      <c r="N59" s="181"/>
      <c r="O59" s="181"/>
      <c r="P59" s="181"/>
    </row>
    <row r="60" spans="1:16" x14ac:dyDescent="0.25">
      <c r="A60" s="186"/>
      <c r="B60" s="189"/>
      <c r="C60" s="69" t="s">
        <v>758</v>
      </c>
      <c r="D60" s="181"/>
      <c r="E60" s="181"/>
      <c r="F60" s="181"/>
      <c r="G60" s="181"/>
      <c r="H60" s="181"/>
      <c r="I60" s="181"/>
      <c r="J60" s="181"/>
      <c r="K60" s="181"/>
      <c r="L60" s="181"/>
      <c r="M60" s="181"/>
      <c r="N60" s="181"/>
      <c r="O60" s="181"/>
      <c r="P60" s="181"/>
    </row>
    <row r="61" spans="1:16" ht="33" x14ac:dyDescent="0.25">
      <c r="A61" s="187"/>
      <c r="B61" s="190"/>
      <c r="C61" s="69" t="s">
        <v>726</v>
      </c>
      <c r="D61" s="182"/>
      <c r="E61" s="182"/>
      <c r="F61" s="182"/>
      <c r="G61" s="182"/>
      <c r="H61" s="182"/>
      <c r="I61" s="182"/>
      <c r="J61" s="182"/>
      <c r="K61" s="182"/>
      <c r="L61" s="182"/>
      <c r="M61" s="182"/>
      <c r="N61" s="182"/>
      <c r="O61" s="182"/>
      <c r="P61" s="182"/>
    </row>
    <row r="62" spans="1:16" ht="99" x14ac:dyDescent="0.25">
      <c r="A62" s="64">
        <v>12</v>
      </c>
      <c r="B62" s="167" t="s">
        <v>759</v>
      </c>
      <c r="C62" s="163" t="s">
        <v>760</v>
      </c>
      <c r="D62" s="164">
        <v>270000</v>
      </c>
      <c r="E62" s="164">
        <f>+ROUND(D62*0.19,0)</f>
        <v>51300</v>
      </c>
      <c r="F62" s="164">
        <f t="shared" ref="F62:F68" si="4">+D62+E62</f>
        <v>321300</v>
      </c>
      <c r="G62" s="164"/>
      <c r="H62" s="164">
        <f>184900*0.840336134453782</f>
        <v>155378.1512605043</v>
      </c>
      <c r="I62" s="164">
        <f t="shared" ref="I62:I67" si="5">+H62*0.19</f>
        <v>29521.848739495817</v>
      </c>
      <c r="J62" s="164">
        <f t="shared" ref="J62:J68" si="6">+H62+I62</f>
        <v>184900.00000000012</v>
      </c>
      <c r="K62" s="164">
        <f>258346*0.840336134453782</f>
        <v>217097.47899159676</v>
      </c>
      <c r="L62" s="164">
        <f t="shared" ref="L62:L67" si="7">+K62*0.19</f>
        <v>41248.521008403382</v>
      </c>
      <c r="M62" s="164">
        <f t="shared" ref="M62:M67" si="8">+K62+L62</f>
        <v>258346.00000000015</v>
      </c>
      <c r="N62" s="164">
        <v>214159</v>
      </c>
      <c r="O62" s="164">
        <f>+N62*0.19</f>
        <v>40690.21</v>
      </c>
      <c r="P62" s="164">
        <f>+N62+O62</f>
        <v>254849.21</v>
      </c>
    </row>
    <row r="63" spans="1:16" ht="36" customHeight="1" x14ac:dyDescent="0.25">
      <c r="A63" s="64">
        <v>13</v>
      </c>
      <c r="B63" s="167" t="s">
        <v>761</v>
      </c>
      <c r="C63" s="163" t="s">
        <v>762</v>
      </c>
      <c r="D63" s="164">
        <v>34200</v>
      </c>
      <c r="E63" s="164">
        <f t="shared" ref="E63:E68" si="9">+ROUND(D63*0.19,0)</f>
        <v>6498</v>
      </c>
      <c r="F63" s="164">
        <f t="shared" si="4"/>
        <v>40698</v>
      </c>
      <c r="G63" s="164"/>
      <c r="H63" s="164">
        <f>39900*0.840336134453782</f>
        <v>33529.411764705903</v>
      </c>
      <c r="I63" s="164">
        <f t="shared" si="5"/>
        <v>6370.5882352941217</v>
      </c>
      <c r="J63" s="164">
        <f t="shared" si="6"/>
        <v>39900.000000000022</v>
      </c>
      <c r="K63" s="164">
        <f>60900*0.840336134453782</f>
        <v>51176.470588235323</v>
      </c>
      <c r="L63" s="164">
        <f t="shared" si="7"/>
        <v>9723.5294117647118</v>
      </c>
      <c r="M63" s="164">
        <f t="shared" si="8"/>
        <v>60900.000000000036</v>
      </c>
      <c r="N63" s="164">
        <v>33529</v>
      </c>
      <c r="O63" s="164">
        <f>+N63*0.19</f>
        <v>6370.51</v>
      </c>
      <c r="P63" s="164">
        <f>+N63+O63</f>
        <v>39899.51</v>
      </c>
    </row>
    <row r="64" spans="1:16" ht="49.5" x14ac:dyDescent="0.25">
      <c r="A64" s="64">
        <v>14</v>
      </c>
      <c r="B64" s="167" t="s">
        <v>763</v>
      </c>
      <c r="C64" s="163" t="s">
        <v>764</v>
      </c>
      <c r="D64" s="164">
        <v>37440</v>
      </c>
      <c r="E64" s="164">
        <f t="shared" si="9"/>
        <v>7114</v>
      </c>
      <c r="F64" s="164">
        <f t="shared" si="4"/>
        <v>44554</v>
      </c>
      <c r="G64" s="164"/>
      <c r="H64" s="164">
        <f>44900*0.840336134453782</f>
        <v>37731.09243697481</v>
      </c>
      <c r="I64" s="164">
        <f t="shared" si="5"/>
        <v>7168.9075630252137</v>
      </c>
      <c r="J64" s="164">
        <f t="shared" si="6"/>
        <v>44900.000000000022</v>
      </c>
      <c r="K64" s="164">
        <f>68900*0.840336134453782</f>
        <v>57899.159663865576</v>
      </c>
      <c r="L64" s="164">
        <f t="shared" si="7"/>
        <v>11000.840336134459</v>
      </c>
      <c r="M64" s="164">
        <f t="shared" si="8"/>
        <v>68900.000000000029</v>
      </c>
      <c r="N64" s="164">
        <v>37731</v>
      </c>
      <c r="O64" s="164">
        <f t="shared" ref="O64:O113" si="10">+N64*0.19</f>
        <v>7168.89</v>
      </c>
      <c r="P64" s="164">
        <f t="shared" ref="P64:P113" si="11">+N64+O64</f>
        <v>44899.89</v>
      </c>
    </row>
    <row r="65" spans="1:16" ht="49.5" x14ac:dyDescent="0.25">
      <c r="A65" s="64">
        <v>15</v>
      </c>
      <c r="B65" s="167" t="s">
        <v>765</v>
      </c>
      <c r="C65" s="163" t="s">
        <v>766</v>
      </c>
      <c r="D65" s="164">
        <v>34740</v>
      </c>
      <c r="E65" s="164">
        <f t="shared" si="9"/>
        <v>6601</v>
      </c>
      <c r="F65" s="164">
        <f t="shared" si="4"/>
        <v>41341</v>
      </c>
      <c r="G65" s="164"/>
      <c r="H65" s="164">
        <f>39900*0.840336134453782</f>
        <v>33529.411764705903</v>
      </c>
      <c r="I65" s="164">
        <f t="shared" si="5"/>
        <v>6370.5882352941217</v>
      </c>
      <c r="J65" s="164">
        <f t="shared" si="6"/>
        <v>39900.000000000022</v>
      </c>
      <c r="K65" s="164">
        <f>60900*0.840336134453782</f>
        <v>51176.470588235323</v>
      </c>
      <c r="L65" s="164">
        <f t="shared" si="7"/>
        <v>9723.5294117647118</v>
      </c>
      <c r="M65" s="164">
        <f t="shared" si="8"/>
        <v>60900.000000000036</v>
      </c>
      <c r="N65" s="164">
        <v>33529</v>
      </c>
      <c r="O65" s="164">
        <f t="shared" si="10"/>
        <v>6370.51</v>
      </c>
      <c r="P65" s="164">
        <f t="shared" si="11"/>
        <v>39899.51</v>
      </c>
    </row>
    <row r="66" spans="1:16" ht="49.5" x14ac:dyDescent="0.25">
      <c r="A66" s="64">
        <v>16</v>
      </c>
      <c r="B66" s="167" t="s">
        <v>767</v>
      </c>
      <c r="C66" s="163" t="s">
        <v>768</v>
      </c>
      <c r="D66" s="164">
        <v>37980</v>
      </c>
      <c r="E66" s="164">
        <f t="shared" si="9"/>
        <v>7216</v>
      </c>
      <c r="F66" s="164">
        <f t="shared" si="4"/>
        <v>45196</v>
      </c>
      <c r="G66" s="164"/>
      <c r="H66" s="164">
        <f>54900*0.840336134453782</f>
        <v>46134.453781512631</v>
      </c>
      <c r="I66" s="164">
        <f t="shared" si="5"/>
        <v>8765.5462184873995</v>
      </c>
      <c r="J66" s="164">
        <f t="shared" si="6"/>
        <v>54900.000000000029</v>
      </c>
      <c r="K66" s="164">
        <f>68900*0.840336134453782</f>
        <v>57899.159663865576</v>
      </c>
      <c r="L66" s="164">
        <f t="shared" si="7"/>
        <v>11000.840336134459</v>
      </c>
      <c r="M66" s="164">
        <f t="shared" si="8"/>
        <v>68900.000000000029</v>
      </c>
      <c r="N66" s="164">
        <v>37980</v>
      </c>
      <c r="O66" s="164">
        <f t="shared" si="10"/>
        <v>7216.2</v>
      </c>
      <c r="P66" s="164">
        <f t="shared" si="11"/>
        <v>45196.2</v>
      </c>
    </row>
    <row r="67" spans="1:16" ht="33" x14ac:dyDescent="0.25">
      <c r="A67" s="64">
        <v>17</v>
      </c>
      <c r="B67" s="167" t="s">
        <v>769</v>
      </c>
      <c r="C67" s="69" t="s">
        <v>770</v>
      </c>
      <c r="D67" s="164">
        <v>50250</v>
      </c>
      <c r="E67" s="164">
        <f t="shared" si="9"/>
        <v>9548</v>
      </c>
      <c r="F67" s="164">
        <f t="shared" si="4"/>
        <v>59798</v>
      </c>
      <c r="G67" s="164"/>
      <c r="H67" s="164">
        <f>71900*0.840336134453782</f>
        <v>60420.168067226921</v>
      </c>
      <c r="I67" s="164">
        <f t="shared" si="5"/>
        <v>11479.831932773115</v>
      </c>
      <c r="J67" s="164">
        <f t="shared" si="6"/>
        <v>71900.000000000029</v>
      </c>
      <c r="K67" s="164">
        <f>46990*0.840336134453782</f>
        <v>39487.394957983211</v>
      </c>
      <c r="L67" s="164">
        <f t="shared" si="7"/>
        <v>7502.6050420168103</v>
      </c>
      <c r="M67" s="164">
        <f t="shared" si="8"/>
        <v>46990.000000000022</v>
      </c>
      <c r="N67" s="164">
        <v>39487</v>
      </c>
      <c r="O67" s="164">
        <f t="shared" si="10"/>
        <v>7502.53</v>
      </c>
      <c r="P67" s="164">
        <f t="shared" si="11"/>
        <v>46989.53</v>
      </c>
    </row>
    <row r="68" spans="1:16" ht="99" x14ac:dyDescent="0.25">
      <c r="A68" s="64">
        <v>18</v>
      </c>
      <c r="B68" s="167" t="s">
        <v>771</v>
      </c>
      <c r="C68" s="69" t="s">
        <v>772</v>
      </c>
      <c r="D68" s="164">
        <v>179962</v>
      </c>
      <c r="E68" s="164">
        <f t="shared" si="9"/>
        <v>34193</v>
      </c>
      <c r="F68" s="164">
        <f t="shared" si="4"/>
        <v>214155</v>
      </c>
      <c r="G68" s="164"/>
      <c r="H68" s="164">
        <f>59900*0.840336134453782</f>
        <v>50336.134453781538</v>
      </c>
      <c r="I68" s="164">
        <f>+H68*0.19</f>
        <v>9563.8655462184925</v>
      </c>
      <c r="J68" s="164">
        <f t="shared" si="6"/>
        <v>59900.000000000029</v>
      </c>
      <c r="K68" s="164"/>
      <c r="L68" s="164"/>
      <c r="M68" s="164"/>
      <c r="N68" s="164">
        <v>50336</v>
      </c>
      <c r="O68" s="164">
        <f t="shared" si="10"/>
        <v>9563.84</v>
      </c>
      <c r="P68" s="164">
        <f t="shared" si="11"/>
        <v>59899.839999999997</v>
      </c>
    </row>
    <row r="69" spans="1:16" ht="66" x14ac:dyDescent="0.25">
      <c r="A69" s="64">
        <v>19</v>
      </c>
      <c r="B69" s="167" t="s">
        <v>773</v>
      </c>
      <c r="C69" s="69" t="s">
        <v>774</v>
      </c>
      <c r="D69" s="164" t="s">
        <v>775</v>
      </c>
      <c r="E69" s="164" t="s">
        <v>176</v>
      </c>
      <c r="F69" s="164" t="s">
        <v>176</v>
      </c>
      <c r="G69" s="164"/>
      <c r="H69" s="164" t="s">
        <v>176</v>
      </c>
      <c r="I69" s="164" t="s">
        <v>176</v>
      </c>
      <c r="J69" s="164" t="s">
        <v>176</v>
      </c>
      <c r="K69" s="164">
        <f>25200*0.840336134453782</f>
        <v>21176.470588235305</v>
      </c>
      <c r="L69" s="164">
        <f>+K69*0.19</f>
        <v>4023.5294117647081</v>
      </c>
      <c r="M69" s="164">
        <f>+K69+L69</f>
        <v>25200.000000000015</v>
      </c>
      <c r="N69" s="164">
        <v>21176</v>
      </c>
      <c r="O69" s="164">
        <f t="shared" si="10"/>
        <v>4023.44</v>
      </c>
      <c r="P69" s="164">
        <f t="shared" si="11"/>
        <v>25199.439999999999</v>
      </c>
    </row>
    <row r="70" spans="1:16" ht="33" x14ac:dyDescent="0.25">
      <c r="A70" s="64">
        <v>20</v>
      </c>
      <c r="B70" s="167" t="s">
        <v>776</v>
      </c>
      <c r="C70" s="166" t="s">
        <v>777</v>
      </c>
      <c r="D70" s="164">
        <v>29520</v>
      </c>
      <c r="E70" s="164">
        <f t="shared" ref="E70:E113" si="12">+ROUND(D70*0.19,0)</f>
        <v>5609</v>
      </c>
      <c r="F70" s="164">
        <f t="shared" ref="F70:F101" si="13">+D70+E70</f>
        <v>35129</v>
      </c>
      <c r="G70" s="164"/>
      <c r="H70" s="164" t="s">
        <v>176</v>
      </c>
      <c r="I70" s="164" t="s">
        <v>176</v>
      </c>
      <c r="J70" s="164" t="s">
        <v>176</v>
      </c>
      <c r="K70" s="164">
        <f>14118*0.840336134453782</f>
        <v>11863.865546218494</v>
      </c>
      <c r="L70" s="164">
        <f t="shared" ref="L70:L86" si="14">+K70*0.19</f>
        <v>2254.1344537815139</v>
      </c>
      <c r="M70" s="164">
        <f t="shared" ref="M70:M86" si="15">+K70+L70</f>
        <v>14118.000000000007</v>
      </c>
      <c r="N70" s="164">
        <v>11864</v>
      </c>
      <c r="O70" s="164">
        <f t="shared" si="10"/>
        <v>2254.16</v>
      </c>
      <c r="P70" s="164">
        <f t="shared" si="11"/>
        <v>14118.16</v>
      </c>
    </row>
    <row r="71" spans="1:16" ht="33" x14ac:dyDescent="0.25">
      <c r="A71" s="64">
        <v>21</v>
      </c>
      <c r="B71" s="167" t="s">
        <v>778</v>
      </c>
      <c r="C71" s="166" t="s">
        <v>779</v>
      </c>
      <c r="D71" s="164" t="s">
        <v>176</v>
      </c>
      <c r="E71" s="164" t="s">
        <v>176</v>
      </c>
      <c r="F71" s="164" t="s">
        <v>176</v>
      </c>
      <c r="G71" s="164"/>
      <c r="H71" s="164" t="s">
        <v>176</v>
      </c>
      <c r="I71" s="164" t="s">
        <v>176</v>
      </c>
      <c r="J71" s="164" t="s">
        <v>176</v>
      </c>
      <c r="K71" s="164">
        <f>11990*0.840336134453782</f>
        <v>10075.630252100846</v>
      </c>
      <c r="L71" s="164">
        <f t="shared" si="14"/>
        <v>1914.3697478991608</v>
      </c>
      <c r="M71" s="164">
        <f t="shared" si="15"/>
        <v>11990.000000000007</v>
      </c>
      <c r="N71" s="164">
        <v>10076</v>
      </c>
      <c r="O71" s="164">
        <f t="shared" si="10"/>
        <v>1914.44</v>
      </c>
      <c r="P71" s="164">
        <f t="shared" si="11"/>
        <v>11990.44</v>
      </c>
    </row>
    <row r="72" spans="1:16" ht="33" x14ac:dyDescent="0.25">
      <c r="A72" s="64">
        <v>22</v>
      </c>
      <c r="B72" s="167" t="s">
        <v>780</v>
      </c>
      <c r="C72" s="166" t="s">
        <v>781</v>
      </c>
      <c r="D72" s="164" t="s">
        <v>176</v>
      </c>
      <c r="E72" s="164" t="s">
        <v>176</v>
      </c>
      <c r="F72" s="164" t="s">
        <v>176</v>
      </c>
      <c r="G72" s="164"/>
      <c r="H72" s="164" t="s">
        <v>176</v>
      </c>
      <c r="I72" s="164" t="s">
        <v>176</v>
      </c>
      <c r="J72" s="164" t="s">
        <v>176</v>
      </c>
      <c r="K72" s="164">
        <f>11300*0.840336134453782</f>
        <v>9495.798319327736</v>
      </c>
      <c r="L72" s="164">
        <f t="shared" si="14"/>
        <v>1804.20168067227</v>
      </c>
      <c r="M72" s="164">
        <f t="shared" si="15"/>
        <v>11300.000000000005</v>
      </c>
      <c r="N72" s="164">
        <v>9496</v>
      </c>
      <c r="O72" s="164">
        <f t="shared" si="10"/>
        <v>1804.24</v>
      </c>
      <c r="P72" s="164">
        <f t="shared" si="11"/>
        <v>11300.24</v>
      </c>
    </row>
    <row r="73" spans="1:16" ht="115.5" x14ac:dyDescent="0.25">
      <c r="A73" s="64">
        <v>23</v>
      </c>
      <c r="B73" s="167" t="s">
        <v>782</v>
      </c>
      <c r="C73" s="69" t="s">
        <v>783</v>
      </c>
      <c r="D73" s="164">
        <v>42857</v>
      </c>
      <c r="E73" s="164">
        <f t="shared" si="12"/>
        <v>8143</v>
      </c>
      <c r="F73" s="164">
        <f t="shared" si="13"/>
        <v>51000</v>
      </c>
      <c r="G73" s="164"/>
      <c r="H73" s="164" t="s">
        <v>176</v>
      </c>
      <c r="I73" s="164" t="s">
        <v>176</v>
      </c>
      <c r="J73" s="164" t="s">
        <v>176</v>
      </c>
      <c r="K73" s="164">
        <f>24990*0.840336134453782</f>
        <v>21000.000000000011</v>
      </c>
      <c r="L73" s="164">
        <f t="shared" si="14"/>
        <v>3990.0000000000023</v>
      </c>
      <c r="M73" s="164">
        <f t="shared" si="15"/>
        <v>24990.000000000015</v>
      </c>
      <c r="N73" s="164">
        <v>21000</v>
      </c>
      <c r="O73" s="164">
        <f t="shared" si="10"/>
        <v>3990</v>
      </c>
      <c r="P73" s="164">
        <f t="shared" si="11"/>
        <v>24990</v>
      </c>
    </row>
    <row r="74" spans="1:16" ht="82.5" x14ac:dyDescent="0.25">
      <c r="A74" s="64">
        <v>24</v>
      </c>
      <c r="B74" s="167" t="s">
        <v>784</v>
      </c>
      <c r="C74" s="69" t="s">
        <v>785</v>
      </c>
      <c r="D74" s="164">
        <v>26748</v>
      </c>
      <c r="E74" s="164">
        <f t="shared" si="12"/>
        <v>5082</v>
      </c>
      <c r="F74" s="164">
        <f t="shared" si="13"/>
        <v>31830</v>
      </c>
      <c r="G74" s="164"/>
      <c r="H74" s="164">
        <f>39900*0.840336134453782</f>
        <v>33529.411764705903</v>
      </c>
      <c r="I74" s="164">
        <f>+H74*0.19</f>
        <v>6370.5882352941217</v>
      </c>
      <c r="J74" s="164">
        <f>+H74+I74</f>
        <v>39900.000000000022</v>
      </c>
      <c r="K74" s="164">
        <f>218499*0.909090909090909</f>
        <v>198635.4545454545</v>
      </c>
      <c r="L74" s="164">
        <f t="shared" si="14"/>
        <v>37740.736363636359</v>
      </c>
      <c r="M74" s="164">
        <f t="shared" si="15"/>
        <v>236376.19090909086</v>
      </c>
      <c r="N74" s="164">
        <v>33529</v>
      </c>
      <c r="O74" s="164">
        <f t="shared" si="10"/>
        <v>6370.51</v>
      </c>
      <c r="P74" s="164">
        <f t="shared" si="11"/>
        <v>39899.51</v>
      </c>
    </row>
    <row r="75" spans="1:16" ht="82.5" x14ac:dyDescent="0.25">
      <c r="A75" s="64">
        <v>25</v>
      </c>
      <c r="B75" s="167" t="s">
        <v>786</v>
      </c>
      <c r="C75" s="69" t="s">
        <v>787</v>
      </c>
      <c r="D75" s="164">
        <v>29700</v>
      </c>
      <c r="E75" s="164">
        <f t="shared" si="12"/>
        <v>5643</v>
      </c>
      <c r="F75" s="164">
        <f t="shared" si="13"/>
        <v>35343</v>
      </c>
      <c r="G75" s="164"/>
      <c r="H75" s="164">
        <f>13800*0.840336134453782</f>
        <v>11596.638655462191</v>
      </c>
      <c r="I75" s="164">
        <f>+H75*0.19</f>
        <v>2203.3613445378164</v>
      </c>
      <c r="J75" s="164">
        <f>+H75+I75</f>
        <v>13800.000000000007</v>
      </c>
      <c r="K75" s="164">
        <f>33587*0.840336134453782</f>
        <v>28224.369747899174</v>
      </c>
      <c r="L75" s="164">
        <f t="shared" si="14"/>
        <v>5362.6302521008429</v>
      </c>
      <c r="M75" s="164">
        <f t="shared" si="15"/>
        <v>33587.000000000015</v>
      </c>
      <c r="N75" s="164">
        <v>23174</v>
      </c>
      <c r="O75" s="164">
        <f t="shared" si="10"/>
        <v>4403.0600000000004</v>
      </c>
      <c r="P75" s="164">
        <f t="shared" si="11"/>
        <v>27577.06</v>
      </c>
    </row>
    <row r="76" spans="1:16" ht="82.5" x14ac:dyDescent="0.25">
      <c r="A76" s="64">
        <v>26</v>
      </c>
      <c r="B76" s="167" t="s">
        <v>788</v>
      </c>
      <c r="C76" s="69" t="s">
        <v>789</v>
      </c>
      <c r="D76" s="164">
        <v>20286</v>
      </c>
      <c r="E76" s="164">
        <f t="shared" si="12"/>
        <v>3854</v>
      </c>
      <c r="F76" s="164">
        <f t="shared" si="13"/>
        <v>24140</v>
      </c>
      <c r="G76" s="164"/>
      <c r="H76" s="164" t="s">
        <v>176</v>
      </c>
      <c r="I76" s="164" t="s">
        <v>176</v>
      </c>
      <c r="J76" s="164" t="s">
        <v>176</v>
      </c>
      <c r="K76" s="164">
        <f>11990*0.840336134453782</f>
        <v>10075.630252100846</v>
      </c>
      <c r="L76" s="164">
        <f t="shared" si="14"/>
        <v>1914.3697478991608</v>
      </c>
      <c r="M76" s="164">
        <f t="shared" si="15"/>
        <v>11990.000000000007</v>
      </c>
      <c r="N76" s="164">
        <v>10076</v>
      </c>
      <c r="O76" s="164">
        <f t="shared" si="10"/>
        <v>1914.44</v>
      </c>
      <c r="P76" s="164">
        <f t="shared" si="11"/>
        <v>11990.44</v>
      </c>
    </row>
    <row r="77" spans="1:16" ht="82.5" x14ac:dyDescent="0.25">
      <c r="A77" s="64">
        <v>27</v>
      </c>
      <c r="B77" s="167" t="s">
        <v>790</v>
      </c>
      <c r="C77" s="166" t="s">
        <v>791</v>
      </c>
      <c r="D77" s="164">
        <v>48276</v>
      </c>
      <c r="E77" s="164">
        <f t="shared" si="12"/>
        <v>9172</v>
      </c>
      <c r="F77" s="164">
        <f t="shared" si="13"/>
        <v>57448</v>
      </c>
      <c r="G77" s="164"/>
      <c r="H77" s="164" t="s">
        <v>176</v>
      </c>
      <c r="I77" s="164" t="s">
        <v>176</v>
      </c>
      <c r="J77" s="164" t="s">
        <v>176</v>
      </c>
      <c r="K77" s="164">
        <f>42990*0.840336134453782</f>
        <v>36126.050420168089</v>
      </c>
      <c r="L77" s="164">
        <f t="shared" si="14"/>
        <v>6863.9495798319367</v>
      </c>
      <c r="M77" s="164">
        <f t="shared" si="15"/>
        <v>42990.000000000029</v>
      </c>
      <c r="N77" s="164">
        <v>36126</v>
      </c>
      <c r="O77" s="164">
        <f t="shared" si="10"/>
        <v>6863.9400000000005</v>
      </c>
      <c r="P77" s="164">
        <f t="shared" si="11"/>
        <v>42989.94</v>
      </c>
    </row>
    <row r="78" spans="1:16" ht="49.5" x14ac:dyDescent="0.25">
      <c r="A78" s="64">
        <v>28</v>
      </c>
      <c r="B78" s="167" t="s">
        <v>792</v>
      </c>
      <c r="C78" s="69" t="s">
        <v>793</v>
      </c>
      <c r="D78" s="164">
        <v>17352</v>
      </c>
      <c r="E78" s="164">
        <f t="shared" si="12"/>
        <v>3297</v>
      </c>
      <c r="F78" s="164">
        <f t="shared" si="13"/>
        <v>20649</v>
      </c>
      <c r="G78" s="164"/>
      <c r="H78" s="164">
        <f>26900*0.840336134453782</f>
        <v>22605.042016806736</v>
      </c>
      <c r="I78" s="164">
        <f>+H78*0.19</f>
        <v>4294.9579831932797</v>
      </c>
      <c r="J78" s="164">
        <f>+H78+I78</f>
        <v>26900.000000000015</v>
      </c>
      <c r="K78" s="164">
        <f>32550*0.840336134453782</f>
        <v>27352.941176470602</v>
      </c>
      <c r="L78" s="164">
        <f t="shared" si="14"/>
        <v>5197.0588235294144</v>
      </c>
      <c r="M78" s="164">
        <f t="shared" si="15"/>
        <v>32550.000000000015</v>
      </c>
      <c r="N78" s="164">
        <v>22437</v>
      </c>
      <c r="O78" s="164">
        <f t="shared" si="10"/>
        <v>4263.03</v>
      </c>
      <c r="P78" s="164">
        <f t="shared" si="11"/>
        <v>26700.03</v>
      </c>
    </row>
    <row r="79" spans="1:16" ht="33" x14ac:dyDescent="0.25">
      <c r="A79" s="64">
        <v>29</v>
      </c>
      <c r="B79" s="167" t="s">
        <v>792</v>
      </c>
      <c r="C79" s="69" t="s">
        <v>794</v>
      </c>
      <c r="D79" s="164">
        <v>16848</v>
      </c>
      <c r="E79" s="164">
        <f t="shared" si="12"/>
        <v>3201</v>
      </c>
      <c r="F79" s="164">
        <f t="shared" si="13"/>
        <v>20049</v>
      </c>
      <c r="G79" s="164"/>
      <c r="H79" s="164">
        <f>38900*0.840336134453782</f>
        <v>32689.075630252119</v>
      </c>
      <c r="I79" s="164">
        <f>+H79*0.19</f>
        <v>6210.9243697479023</v>
      </c>
      <c r="J79" s="164">
        <f>+H79+I79</f>
        <v>38900.000000000022</v>
      </c>
      <c r="K79" s="164">
        <f>15990*0.840336134453782</f>
        <v>13436.974789915974</v>
      </c>
      <c r="L79" s="164">
        <f t="shared" si="14"/>
        <v>2553.0252100840353</v>
      </c>
      <c r="M79" s="164">
        <f t="shared" si="15"/>
        <v>15990.000000000009</v>
      </c>
      <c r="N79" s="164">
        <v>15142</v>
      </c>
      <c r="O79" s="164">
        <f t="shared" si="10"/>
        <v>2876.98</v>
      </c>
      <c r="P79" s="164">
        <f t="shared" si="11"/>
        <v>18018.98</v>
      </c>
    </row>
    <row r="80" spans="1:16" x14ac:dyDescent="0.25">
      <c r="A80" s="64">
        <v>30</v>
      </c>
      <c r="B80" s="167" t="s">
        <v>795</v>
      </c>
      <c r="C80" s="69" t="s">
        <v>796</v>
      </c>
      <c r="D80" s="164">
        <v>113760</v>
      </c>
      <c r="E80" s="164">
        <f t="shared" si="12"/>
        <v>21614</v>
      </c>
      <c r="F80" s="164">
        <f t="shared" si="13"/>
        <v>135374</v>
      </c>
      <c r="G80" s="164"/>
      <c r="H80" s="164">
        <f>89900*0.840336134453782</f>
        <v>75546.218487395003</v>
      </c>
      <c r="I80" s="164">
        <f>+H80*0.19</f>
        <v>14353.78151260505</v>
      </c>
      <c r="J80" s="164">
        <f>+H80+I80</f>
        <v>89900.000000000058</v>
      </c>
      <c r="K80" s="164">
        <f>90720*100/119</f>
        <v>76235.294117647063</v>
      </c>
      <c r="L80" s="164">
        <f t="shared" si="14"/>
        <v>14484.705882352942</v>
      </c>
      <c r="M80" s="164">
        <f t="shared" si="15"/>
        <v>90720</v>
      </c>
      <c r="N80" s="164">
        <v>75891</v>
      </c>
      <c r="O80" s="164">
        <f t="shared" si="10"/>
        <v>14419.29</v>
      </c>
      <c r="P80" s="164">
        <f t="shared" si="11"/>
        <v>90310.290000000008</v>
      </c>
    </row>
    <row r="81" spans="1:16" ht="148.5" x14ac:dyDescent="0.25">
      <c r="A81" s="64">
        <v>31</v>
      </c>
      <c r="B81" s="167" t="s">
        <v>797</v>
      </c>
      <c r="C81" s="69" t="s">
        <v>798</v>
      </c>
      <c r="D81" s="164">
        <v>2160000</v>
      </c>
      <c r="E81" s="164">
        <f t="shared" si="12"/>
        <v>410400</v>
      </c>
      <c r="F81" s="164">
        <f t="shared" si="13"/>
        <v>2570400</v>
      </c>
      <c r="G81" s="164"/>
      <c r="H81" s="164" t="s">
        <v>176</v>
      </c>
      <c r="I81" s="164" t="s">
        <v>176</v>
      </c>
      <c r="J81" s="164" t="s">
        <v>176</v>
      </c>
      <c r="K81" s="164">
        <f>599800*0.840336134453782</f>
        <v>504033.61344537843</v>
      </c>
      <c r="L81" s="164">
        <f t="shared" si="14"/>
        <v>95766.386554621902</v>
      </c>
      <c r="M81" s="164">
        <f t="shared" si="15"/>
        <v>599800.00000000035</v>
      </c>
      <c r="N81" s="164">
        <v>504034</v>
      </c>
      <c r="O81" s="164">
        <f t="shared" si="10"/>
        <v>95766.46</v>
      </c>
      <c r="P81" s="164">
        <f t="shared" si="11"/>
        <v>599800.46</v>
      </c>
    </row>
    <row r="82" spans="1:16" ht="115.5" x14ac:dyDescent="0.25">
      <c r="A82" s="64">
        <v>32</v>
      </c>
      <c r="B82" s="167" t="s">
        <v>799</v>
      </c>
      <c r="C82" s="69" t="s">
        <v>800</v>
      </c>
      <c r="D82" s="164">
        <v>69210</v>
      </c>
      <c r="E82" s="164">
        <f t="shared" si="12"/>
        <v>13150</v>
      </c>
      <c r="F82" s="164">
        <f t="shared" si="13"/>
        <v>82360</v>
      </c>
      <c r="G82" s="164"/>
      <c r="H82" s="164" t="s">
        <v>176</v>
      </c>
      <c r="I82" s="164" t="s">
        <v>176</v>
      </c>
      <c r="J82" s="164" t="s">
        <v>176</v>
      </c>
      <c r="K82" s="164">
        <f>163000*0.840336134453782</f>
        <v>136974.78991596645</v>
      </c>
      <c r="L82" s="164">
        <f t="shared" si="14"/>
        <v>26025.210084033628</v>
      </c>
      <c r="M82" s="164">
        <f t="shared" si="15"/>
        <v>163000.00000000009</v>
      </c>
      <c r="N82" s="164">
        <v>69210</v>
      </c>
      <c r="O82" s="164">
        <f t="shared" si="10"/>
        <v>13149.9</v>
      </c>
      <c r="P82" s="164">
        <f t="shared" si="11"/>
        <v>82359.899999999994</v>
      </c>
    </row>
    <row r="83" spans="1:16" ht="99" x14ac:dyDescent="0.25">
      <c r="A83" s="64">
        <v>33</v>
      </c>
      <c r="B83" s="167" t="s">
        <v>801</v>
      </c>
      <c r="C83" s="69" t="s">
        <v>802</v>
      </c>
      <c r="D83" s="164">
        <v>67248</v>
      </c>
      <c r="E83" s="164">
        <f t="shared" si="12"/>
        <v>12777</v>
      </c>
      <c r="F83" s="164">
        <f t="shared" si="13"/>
        <v>80025</v>
      </c>
      <c r="G83" s="164"/>
      <c r="H83" s="164">
        <f>69900*0.840336134453782</f>
        <v>58739.49579831936</v>
      </c>
      <c r="I83" s="164">
        <f t="shared" ref="I83:I91" si="16">+H83*0.19</f>
        <v>11160.504201680678</v>
      </c>
      <c r="J83" s="164">
        <f t="shared" ref="J83:J91" si="17">+H83+I83</f>
        <v>69900.000000000044</v>
      </c>
      <c r="K83" s="164">
        <f>44900*0.840336134453782</f>
        <v>37731.09243697481</v>
      </c>
      <c r="L83" s="164">
        <f t="shared" si="14"/>
        <v>7168.9075630252137</v>
      </c>
      <c r="M83" s="164">
        <f t="shared" si="15"/>
        <v>44900.000000000022</v>
      </c>
      <c r="N83" s="164">
        <v>37731</v>
      </c>
      <c r="O83" s="164">
        <f t="shared" si="10"/>
        <v>7168.89</v>
      </c>
      <c r="P83" s="164">
        <f t="shared" si="11"/>
        <v>44899.89</v>
      </c>
    </row>
    <row r="84" spans="1:16" ht="99" x14ac:dyDescent="0.25">
      <c r="A84" s="64">
        <v>34</v>
      </c>
      <c r="B84" s="167" t="s">
        <v>803</v>
      </c>
      <c r="C84" s="69" t="s">
        <v>804</v>
      </c>
      <c r="D84" s="164">
        <v>1031040</v>
      </c>
      <c r="E84" s="164">
        <f t="shared" si="12"/>
        <v>195898</v>
      </c>
      <c r="F84" s="164">
        <f t="shared" si="13"/>
        <v>1226938</v>
      </c>
      <c r="G84" s="164"/>
      <c r="H84" s="164">
        <f>1119900*0.840336134453782</f>
        <v>941092.43697479041</v>
      </c>
      <c r="I84" s="164">
        <f t="shared" si="16"/>
        <v>178807.56302521017</v>
      </c>
      <c r="J84" s="164">
        <f t="shared" si="17"/>
        <v>1119900.0000000005</v>
      </c>
      <c r="K84" s="164">
        <f>414800*0.840336134453782</f>
        <v>348571.42857142875</v>
      </c>
      <c r="L84" s="164">
        <f t="shared" si="14"/>
        <v>66228.571428571464</v>
      </c>
      <c r="M84" s="164">
        <f t="shared" si="15"/>
        <v>414800.00000000023</v>
      </c>
      <c r="N84" s="164">
        <v>348571</v>
      </c>
      <c r="O84" s="164">
        <f t="shared" si="10"/>
        <v>66228.490000000005</v>
      </c>
      <c r="P84" s="164">
        <f t="shared" si="11"/>
        <v>414799.49</v>
      </c>
    </row>
    <row r="85" spans="1:16" ht="99" x14ac:dyDescent="0.25">
      <c r="A85" s="64">
        <v>35</v>
      </c>
      <c r="B85" s="167" t="s">
        <v>805</v>
      </c>
      <c r="C85" s="166" t="s">
        <v>806</v>
      </c>
      <c r="D85" s="164">
        <v>687420</v>
      </c>
      <c r="E85" s="164">
        <f t="shared" si="12"/>
        <v>130610</v>
      </c>
      <c r="F85" s="164">
        <f t="shared" si="13"/>
        <v>818030</v>
      </c>
      <c r="G85" s="164"/>
      <c r="H85" s="164">
        <f>449900*0.840336134453782</f>
        <v>378067.22689075652</v>
      </c>
      <c r="I85" s="164">
        <f t="shared" si="16"/>
        <v>71832.773109243732</v>
      </c>
      <c r="J85" s="164">
        <f t="shared" si="17"/>
        <v>449900.00000000023</v>
      </c>
      <c r="K85" s="164">
        <f>286294*0.840336134453782</f>
        <v>240583.19327731105</v>
      </c>
      <c r="L85" s="164">
        <f t="shared" si="14"/>
        <v>45710.8067226891</v>
      </c>
      <c r="M85" s="164">
        <f t="shared" si="15"/>
        <v>286294.00000000012</v>
      </c>
      <c r="N85" s="164">
        <v>240583</v>
      </c>
      <c r="O85" s="164">
        <f t="shared" si="10"/>
        <v>45710.770000000004</v>
      </c>
      <c r="P85" s="164">
        <f t="shared" si="11"/>
        <v>286293.77</v>
      </c>
    </row>
    <row r="86" spans="1:16" ht="99" x14ac:dyDescent="0.25">
      <c r="A86" s="64">
        <v>36</v>
      </c>
      <c r="B86" s="167" t="s">
        <v>807</v>
      </c>
      <c r="C86" s="166" t="s">
        <v>808</v>
      </c>
      <c r="D86" s="164">
        <v>520560</v>
      </c>
      <c r="E86" s="164">
        <f t="shared" si="12"/>
        <v>98906</v>
      </c>
      <c r="F86" s="164">
        <f t="shared" si="13"/>
        <v>619466</v>
      </c>
      <c r="G86" s="164"/>
      <c r="H86" s="164">
        <f>359900*0.840336134453782</f>
        <v>302436.97478991613</v>
      </c>
      <c r="I86" s="164">
        <f t="shared" si="16"/>
        <v>57463.025210084066</v>
      </c>
      <c r="J86" s="164">
        <f t="shared" si="17"/>
        <v>359900.00000000017</v>
      </c>
      <c r="K86" s="164">
        <f>258900*0.840336134453782</f>
        <v>217563.02521008416</v>
      </c>
      <c r="L86" s="164">
        <f t="shared" si="14"/>
        <v>41336.974789915992</v>
      </c>
      <c r="M86" s="164">
        <f t="shared" si="15"/>
        <v>258900.00000000015</v>
      </c>
      <c r="N86" s="164">
        <v>217563</v>
      </c>
      <c r="O86" s="164">
        <f t="shared" si="10"/>
        <v>41336.97</v>
      </c>
      <c r="P86" s="164">
        <f t="shared" si="11"/>
        <v>258899.97</v>
      </c>
    </row>
    <row r="87" spans="1:16" ht="198" x14ac:dyDescent="0.25">
      <c r="A87" s="64">
        <v>37</v>
      </c>
      <c r="B87" s="167" t="s">
        <v>809</v>
      </c>
      <c r="C87" s="166" t="s">
        <v>810</v>
      </c>
      <c r="D87" s="164">
        <v>1285563</v>
      </c>
      <c r="E87" s="164">
        <f t="shared" si="12"/>
        <v>244257</v>
      </c>
      <c r="F87" s="164">
        <f t="shared" si="13"/>
        <v>1529820</v>
      </c>
      <c r="G87" s="164"/>
      <c r="H87" s="164">
        <f>690900*0.840336134453782</f>
        <v>580588.23529411794</v>
      </c>
      <c r="I87" s="164">
        <f t="shared" si="16"/>
        <v>110311.76470588241</v>
      </c>
      <c r="J87" s="164">
        <f t="shared" si="17"/>
        <v>690900.00000000035</v>
      </c>
      <c r="K87" s="164" t="s">
        <v>176</v>
      </c>
      <c r="L87" s="164" t="s">
        <v>176</v>
      </c>
      <c r="M87" s="164" t="s">
        <v>176</v>
      </c>
      <c r="N87" s="164">
        <v>580588</v>
      </c>
      <c r="O87" s="164">
        <f t="shared" si="10"/>
        <v>110311.72</v>
      </c>
      <c r="P87" s="164">
        <f t="shared" si="11"/>
        <v>690899.72</v>
      </c>
    </row>
    <row r="88" spans="1:16" ht="198" x14ac:dyDescent="0.25">
      <c r="A88" s="64">
        <v>38</v>
      </c>
      <c r="B88" s="167" t="s">
        <v>811</v>
      </c>
      <c r="C88" s="166" t="s">
        <v>812</v>
      </c>
      <c r="D88" s="164">
        <v>9462882</v>
      </c>
      <c r="E88" s="164">
        <f t="shared" si="12"/>
        <v>1797948</v>
      </c>
      <c r="F88" s="164">
        <f t="shared" si="13"/>
        <v>11260830</v>
      </c>
      <c r="G88" s="164"/>
      <c r="H88" s="164">
        <f>3759900*0.840336134453782</f>
        <v>3159579.8319327747</v>
      </c>
      <c r="I88" s="164">
        <f t="shared" si="16"/>
        <v>600320.16806722723</v>
      </c>
      <c r="J88" s="164">
        <f t="shared" si="17"/>
        <v>3759900.0000000019</v>
      </c>
      <c r="K88" s="164" t="s">
        <v>176</v>
      </c>
      <c r="L88" s="164" t="s">
        <v>176</v>
      </c>
      <c r="M88" s="164" t="s">
        <v>176</v>
      </c>
      <c r="N88" s="164">
        <v>3159580</v>
      </c>
      <c r="O88" s="164">
        <f t="shared" si="10"/>
        <v>600320.19999999995</v>
      </c>
      <c r="P88" s="164">
        <f t="shared" si="11"/>
        <v>3759900.2</v>
      </c>
    </row>
    <row r="89" spans="1:16" ht="148.5" x14ac:dyDescent="0.25">
      <c r="A89" s="64">
        <v>39</v>
      </c>
      <c r="B89" s="167" t="s">
        <v>813</v>
      </c>
      <c r="C89" s="166" t="s">
        <v>814</v>
      </c>
      <c r="D89" s="164">
        <v>34524</v>
      </c>
      <c r="E89" s="164">
        <f t="shared" si="12"/>
        <v>6560</v>
      </c>
      <c r="F89" s="164">
        <f t="shared" si="13"/>
        <v>41084</v>
      </c>
      <c r="G89" s="164"/>
      <c r="H89" s="164">
        <f>448200*0.840336134453782</f>
        <v>376638.6554621851</v>
      </c>
      <c r="I89" s="164">
        <f t="shared" si="16"/>
        <v>71561.344537815166</v>
      </c>
      <c r="J89" s="164">
        <f t="shared" si="17"/>
        <v>448200.00000000023</v>
      </c>
      <c r="K89" s="164">
        <f>207990*0.840336134453782</f>
        <v>174781.51260504211</v>
      </c>
      <c r="L89" s="164">
        <f t="shared" ref="L89:L113" si="18">+K89*0.19</f>
        <v>33208.487394958</v>
      </c>
      <c r="M89" s="164">
        <f t="shared" ref="M89:M113" si="19">+K89+L89</f>
        <v>207990.00000000012</v>
      </c>
      <c r="N89" s="164">
        <v>174782</v>
      </c>
      <c r="O89" s="164">
        <f t="shared" si="10"/>
        <v>33208.58</v>
      </c>
      <c r="P89" s="164">
        <f t="shared" si="11"/>
        <v>207990.58000000002</v>
      </c>
    </row>
    <row r="90" spans="1:16" ht="198" x14ac:dyDescent="0.25">
      <c r="A90" s="64">
        <v>40</v>
      </c>
      <c r="B90" s="167" t="s">
        <v>815</v>
      </c>
      <c r="C90" s="166" t="s">
        <v>816</v>
      </c>
      <c r="D90" s="164">
        <v>50317</v>
      </c>
      <c r="E90" s="164">
        <f t="shared" si="12"/>
        <v>9560</v>
      </c>
      <c r="F90" s="164">
        <f t="shared" si="13"/>
        <v>59877</v>
      </c>
      <c r="G90" s="164"/>
      <c r="H90" s="164">
        <f>26990*0.840336134453782</f>
        <v>22680.672268907576</v>
      </c>
      <c r="I90" s="164">
        <f t="shared" si="16"/>
        <v>4309.3277310924395</v>
      </c>
      <c r="J90" s="164">
        <f t="shared" si="17"/>
        <v>26990.000000000015</v>
      </c>
      <c r="K90" s="164">
        <f>26990*0.840336134453782</f>
        <v>22680.672268907576</v>
      </c>
      <c r="L90" s="164">
        <f t="shared" si="18"/>
        <v>4309.3277310924395</v>
      </c>
      <c r="M90" s="164">
        <f t="shared" si="19"/>
        <v>26990.000000000015</v>
      </c>
      <c r="N90" s="164">
        <v>22681</v>
      </c>
      <c r="O90" s="164">
        <f t="shared" si="10"/>
        <v>4309.3900000000003</v>
      </c>
      <c r="P90" s="164">
        <f t="shared" si="11"/>
        <v>26990.39</v>
      </c>
    </row>
    <row r="91" spans="1:16" ht="247.5" x14ac:dyDescent="0.25">
      <c r="A91" s="64">
        <v>41</v>
      </c>
      <c r="B91" s="167" t="s">
        <v>817</v>
      </c>
      <c r="C91" s="166" t="s">
        <v>818</v>
      </c>
      <c r="D91" s="164">
        <v>31014</v>
      </c>
      <c r="E91" s="164">
        <f t="shared" si="12"/>
        <v>5893</v>
      </c>
      <c r="F91" s="164">
        <f t="shared" si="13"/>
        <v>36907</v>
      </c>
      <c r="G91" s="164"/>
      <c r="H91" s="164">
        <f>28990*0.840336134453782</f>
        <v>24361.344537815141</v>
      </c>
      <c r="I91" s="164">
        <f t="shared" si="16"/>
        <v>4628.6554621848773</v>
      </c>
      <c r="J91" s="164">
        <f t="shared" si="17"/>
        <v>28990.000000000018</v>
      </c>
      <c r="K91" s="164">
        <f>14900*0.840336134453782</f>
        <v>12521.008403361351</v>
      </c>
      <c r="L91" s="164">
        <f t="shared" si="18"/>
        <v>2378.9915966386566</v>
      </c>
      <c r="M91" s="164">
        <f t="shared" si="19"/>
        <v>14900.000000000007</v>
      </c>
      <c r="N91" s="164">
        <v>12521</v>
      </c>
      <c r="O91" s="164">
        <f t="shared" si="10"/>
        <v>2378.9900000000002</v>
      </c>
      <c r="P91" s="164">
        <f t="shared" si="11"/>
        <v>14899.99</v>
      </c>
    </row>
    <row r="92" spans="1:16" ht="181.5" x14ac:dyDescent="0.25">
      <c r="A92" s="64">
        <v>42</v>
      </c>
      <c r="B92" s="167" t="s">
        <v>819</v>
      </c>
      <c r="C92" s="166" t="s">
        <v>820</v>
      </c>
      <c r="D92" s="164">
        <v>25524</v>
      </c>
      <c r="E92" s="164">
        <f t="shared" si="12"/>
        <v>4850</v>
      </c>
      <c r="F92" s="164">
        <f t="shared" si="13"/>
        <v>30374</v>
      </c>
      <c r="G92" s="164"/>
      <c r="H92" s="164" t="s">
        <v>176</v>
      </c>
      <c r="I92" s="164" t="s">
        <v>176</v>
      </c>
      <c r="J92" s="164" t="s">
        <v>176</v>
      </c>
      <c r="K92" s="164">
        <f>105700*0.840336134453782</f>
        <v>88823.529411764757</v>
      </c>
      <c r="L92" s="164">
        <f t="shared" si="18"/>
        <v>16876.470588235305</v>
      </c>
      <c r="M92" s="164">
        <f t="shared" si="19"/>
        <v>105700.00000000006</v>
      </c>
      <c r="N92" s="164">
        <v>25524</v>
      </c>
      <c r="O92" s="164">
        <f t="shared" si="10"/>
        <v>4849.5600000000004</v>
      </c>
      <c r="P92" s="164">
        <f t="shared" si="11"/>
        <v>30373.56</v>
      </c>
    </row>
    <row r="93" spans="1:16" ht="214.5" x14ac:dyDescent="0.25">
      <c r="A93" s="64">
        <v>43</v>
      </c>
      <c r="B93" s="167" t="s">
        <v>821</v>
      </c>
      <c r="C93" s="166" t="s">
        <v>822</v>
      </c>
      <c r="D93" s="164">
        <v>24624</v>
      </c>
      <c r="E93" s="164">
        <f t="shared" si="12"/>
        <v>4679</v>
      </c>
      <c r="F93" s="164">
        <f t="shared" si="13"/>
        <v>29303</v>
      </c>
      <c r="G93" s="164"/>
      <c r="H93" s="164">
        <f>80900*0.840336134453782</f>
        <v>67983.193277310958</v>
      </c>
      <c r="I93" s="164">
        <f t="shared" ref="I93:I101" si="20">+H93*0.19</f>
        <v>12916.806722689082</v>
      </c>
      <c r="J93" s="164">
        <f t="shared" ref="J93:J101" si="21">+H93+I93</f>
        <v>80900.000000000044</v>
      </c>
      <c r="K93" s="164">
        <f>94468*0.840336134453782</f>
        <v>79384.87394957988</v>
      </c>
      <c r="L93" s="164">
        <f t="shared" si="18"/>
        <v>15083.126050420178</v>
      </c>
      <c r="M93" s="164">
        <f t="shared" si="19"/>
        <v>94468.000000000058</v>
      </c>
      <c r="N93" s="164">
        <v>24624</v>
      </c>
      <c r="O93" s="164">
        <f t="shared" si="10"/>
        <v>4678.5600000000004</v>
      </c>
      <c r="P93" s="164">
        <f t="shared" si="11"/>
        <v>29302.560000000001</v>
      </c>
    </row>
    <row r="94" spans="1:16" ht="132" x14ac:dyDescent="0.25">
      <c r="A94" s="64">
        <v>44</v>
      </c>
      <c r="B94" s="167" t="s">
        <v>823</v>
      </c>
      <c r="C94" s="166" t="s">
        <v>824</v>
      </c>
      <c r="D94" s="164">
        <v>22500</v>
      </c>
      <c r="E94" s="164">
        <f t="shared" si="12"/>
        <v>4275</v>
      </c>
      <c r="F94" s="164">
        <f t="shared" si="13"/>
        <v>26775</v>
      </c>
      <c r="G94" s="164"/>
      <c r="H94" s="164">
        <f>38430*0.840336134453782</f>
        <v>32294.11764705884</v>
      </c>
      <c r="I94" s="164">
        <f t="shared" si="20"/>
        <v>6135.8823529411793</v>
      </c>
      <c r="J94" s="164">
        <f t="shared" si="21"/>
        <v>38430.000000000022</v>
      </c>
      <c r="K94" s="164">
        <f>49900*0.840336134453782</f>
        <v>41932.773109243717</v>
      </c>
      <c r="L94" s="164">
        <f t="shared" si="18"/>
        <v>7967.2268907563066</v>
      </c>
      <c r="M94" s="164">
        <f t="shared" si="19"/>
        <v>49900.000000000022</v>
      </c>
      <c r="N94" s="164">
        <v>22500</v>
      </c>
      <c r="O94" s="164">
        <f t="shared" si="10"/>
        <v>4275</v>
      </c>
      <c r="P94" s="164">
        <f t="shared" si="11"/>
        <v>26775</v>
      </c>
    </row>
    <row r="95" spans="1:16" ht="165" x14ac:dyDescent="0.25">
      <c r="A95" s="64">
        <v>45</v>
      </c>
      <c r="B95" s="167" t="s">
        <v>825</v>
      </c>
      <c r="C95" s="166" t="s">
        <v>826</v>
      </c>
      <c r="D95" s="164">
        <v>96424</v>
      </c>
      <c r="E95" s="164">
        <f t="shared" si="12"/>
        <v>18321</v>
      </c>
      <c r="F95" s="164">
        <f t="shared" si="13"/>
        <v>114745</v>
      </c>
      <c r="G95" s="164"/>
      <c r="H95" s="164">
        <f>34990*0.840336134453782</f>
        <v>29403.361344537832</v>
      </c>
      <c r="I95" s="164">
        <f t="shared" si="20"/>
        <v>5586.6386554621886</v>
      </c>
      <c r="J95" s="164">
        <f t="shared" si="21"/>
        <v>34990.000000000022</v>
      </c>
      <c r="K95" s="164">
        <f>34990*0.840336134453782</f>
        <v>29403.361344537832</v>
      </c>
      <c r="L95" s="164">
        <f t="shared" si="18"/>
        <v>5586.6386554621886</v>
      </c>
      <c r="M95" s="164">
        <f t="shared" si="19"/>
        <v>34990.000000000022</v>
      </c>
      <c r="N95" s="164">
        <v>29403</v>
      </c>
      <c r="O95" s="164">
        <f t="shared" si="10"/>
        <v>5586.57</v>
      </c>
      <c r="P95" s="164">
        <f t="shared" si="11"/>
        <v>34989.57</v>
      </c>
    </row>
    <row r="96" spans="1:16" ht="214.5" x14ac:dyDescent="0.25">
      <c r="A96" s="64">
        <v>46</v>
      </c>
      <c r="B96" s="167" t="s">
        <v>827</v>
      </c>
      <c r="C96" s="166" t="s">
        <v>828</v>
      </c>
      <c r="D96" s="164">
        <v>1025910</v>
      </c>
      <c r="E96" s="164">
        <f t="shared" si="12"/>
        <v>194923</v>
      </c>
      <c r="F96" s="164">
        <f t="shared" si="13"/>
        <v>1220833</v>
      </c>
      <c r="G96" s="164"/>
      <c r="H96" s="164">
        <f>1009900*0.840336134453782</f>
        <v>848655.46218487446</v>
      </c>
      <c r="I96" s="164">
        <f t="shared" si="20"/>
        <v>161244.53781512615</v>
      </c>
      <c r="J96" s="164">
        <f t="shared" si="21"/>
        <v>1009900.0000000006</v>
      </c>
      <c r="K96" s="164">
        <f>949900*0.840336134453782</f>
        <v>798235.29411764746</v>
      </c>
      <c r="L96" s="164">
        <f t="shared" si="18"/>
        <v>151664.70588235301</v>
      </c>
      <c r="M96" s="164">
        <f t="shared" si="19"/>
        <v>949900.00000000047</v>
      </c>
      <c r="N96" s="164">
        <v>798235</v>
      </c>
      <c r="O96" s="164">
        <f t="shared" si="10"/>
        <v>151664.65</v>
      </c>
      <c r="P96" s="164">
        <f t="shared" si="11"/>
        <v>949899.65</v>
      </c>
    </row>
    <row r="97" spans="1:16" ht="214.5" x14ac:dyDescent="0.25">
      <c r="A97" s="64">
        <v>47</v>
      </c>
      <c r="B97" s="167" t="s">
        <v>829</v>
      </c>
      <c r="C97" s="166" t="s">
        <v>830</v>
      </c>
      <c r="D97" s="164">
        <v>168729</v>
      </c>
      <c r="E97" s="164">
        <f t="shared" si="12"/>
        <v>32059</v>
      </c>
      <c r="F97" s="164">
        <f t="shared" si="13"/>
        <v>200788</v>
      </c>
      <c r="G97" s="164"/>
      <c r="H97" s="164">
        <f>163900*0.840336134453782</f>
        <v>137731.09243697487</v>
      </c>
      <c r="I97" s="164">
        <f t="shared" si="20"/>
        <v>26168.907563025226</v>
      </c>
      <c r="J97" s="164">
        <f t="shared" si="21"/>
        <v>163900.00000000009</v>
      </c>
      <c r="K97" s="164">
        <f>48700*0.840336134453782</f>
        <v>40924.369747899182</v>
      </c>
      <c r="L97" s="164">
        <f t="shared" si="18"/>
        <v>7775.6302521008447</v>
      </c>
      <c r="M97" s="164">
        <f t="shared" si="19"/>
        <v>48700.000000000029</v>
      </c>
      <c r="N97" s="164">
        <v>115795</v>
      </c>
      <c r="O97" s="164">
        <f t="shared" si="10"/>
        <v>22001.05</v>
      </c>
      <c r="P97" s="164">
        <f t="shared" si="11"/>
        <v>137796.04999999999</v>
      </c>
    </row>
    <row r="98" spans="1:16" ht="264" x14ac:dyDescent="0.25">
      <c r="A98" s="64">
        <v>48</v>
      </c>
      <c r="B98" s="167" t="s">
        <v>831</v>
      </c>
      <c r="C98" s="166" t="s">
        <v>832</v>
      </c>
      <c r="D98" s="164">
        <v>88686</v>
      </c>
      <c r="E98" s="164">
        <f t="shared" si="12"/>
        <v>16850</v>
      </c>
      <c r="F98" s="164">
        <f t="shared" si="13"/>
        <v>105536</v>
      </c>
      <c r="G98" s="164"/>
      <c r="H98" s="164">
        <f>136627*0.840336134453782</f>
        <v>114812.60504201688</v>
      </c>
      <c r="I98" s="164">
        <f t="shared" si="20"/>
        <v>21814.394957983208</v>
      </c>
      <c r="J98" s="164">
        <f t="shared" si="21"/>
        <v>136627.00000000009</v>
      </c>
      <c r="K98" s="164">
        <f>37900*0.840336134453782</f>
        <v>31848.739495798338</v>
      </c>
      <c r="L98" s="164">
        <f t="shared" si="18"/>
        <v>6051.2605042016839</v>
      </c>
      <c r="M98" s="164">
        <f t="shared" si="19"/>
        <v>37900.000000000022</v>
      </c>
      <c r="N98" s="164">
        <v>78449</v>
      </c>
      <c r="O98" s="164">
        <f t="shared" si="10"/>
        <v>14905.31</v>
      </c>
      <c r="P98" s="164">
        <f t="shared" si="11"/>
        <v>93354.31</v>
      </c>
    </row>
    <row r="99" spans="1:16" ht="66" x14ac:dyDescent="0.25">
      <c r="A99" s="64">
        <v>49</v>
      </c>
      <c r="B99" s="167" t="s">
        <v>833</v>
      </c>
      <c r="C99" s="69" t="s">
        <v>834</v>
      </c>
      <c r="D99" s="164">
        <v>899548</v>
      </c>
      <c r="E99" s="164">
        <f t="shared" si="12"/>
        <v>170914</v>
      </c>
      <c r="F99" s="164">
        <f t="shared" si="13"/>
        <v>1070462</v>
      </c>
      <c r="G99" s="164"/>
      <c r="H99" s="164">
        <f>169900*0.840336134453782</f>
        <v>142773.10924369755</v>
      </c>
      <c r="I99" s="164">
        <f t="shared" si="20"/>
        <v>27126.890756302535</v>
      </c>
      <c r="J99" s="164">
        <f t="shared" si="21"/>
        <v>169900.00000000009</v>
      </c>
      <c r="K99" s="164">
        <f>169900*0.840336134453782</f>
        <v>142773.10924369755</v>
      </c>
      <c r="L99" s="164">
        <f t="shared" si="18"/>
        <v>27126.890756302535</v>
      </c>
      <c r="M99" s="164">
        <f t="shared" si="19"/>
        <v>169900.00000000009</v>
      </c>
      <c r="N99" s="164">
        <v>142773</v>
      </c>
      <c r="O99" s="164">
        <f t="shared" si="10"/>
        <v>27126.87</v>
      </c>
      <c r="P99" s="164">
        <f t="shared" si="11"/>
        <v>169899.87</v>
      </c>
    </row>
    <row r="100" spans="1:16" ht="346.5" x14ac:dyDescent="0.25">
      <c r="A100" s="64">
        <v>50</v>
      </c>
      <c r="B100" s="167" t="s">
        <v>835</v>
      </c>
      <c r="C100" s="166" t="s">
        <v>836</v>
      </c>
      <c r="D100" s="164">
        <v>3478840</v>
      </c>
      <c r="E100" s="164">
        <f t="shared" si="12"/>
        <v>660980</v>
      </c>
      <c r="F100" s="164">
        <f t="shared" si="13"/>
        <v>4139820</v>
      </c>
      <c r="G100" s="164"/>
      <c r="H100" s="164">
        <f>1799900*0.840336134453782</f>
        <v>1512521.0084033622</v>
      </c>
      <c r="I100" s="164">
        <f t="shared" si="20"/>
        <v>287378.99159663881</v>
      </c>
      <c r="J100" s="164">
        <f t="shared" si="21"/>
        <v>1799900.0000000009</v>
      </c>
      <c r="K100" s="164">
        <f>970000*0.840336134453782</f>
        <v>815126.05042016855</v>
      </c>
      <c r="L100" s="164">
        <f t="shared" si="18"/>
        <v>154873.94957983203</v>
      </c>
      <c r="M100" s="164">
        <f t="shared" si="19"/>
        <v>970000.00000000058</v>
      </c>
      <c r="N100" s="164">
        <v>1163824</v>
      </c>
      <c r="O100" s="164">
        <f t="shared" si="10"/>
        <v>221126.56</v>
      </c>
      <c r="P100" s="164">
        <f t="shared" si="11"/>
        <v>1384950.56</v>
      </c>
    </row>
    <row r="101" spans="1:16" ht="214.5" x14ac:dyDescent="0.25">
      <c r="A101" s="64">
        <v>51</v>
      </c>
      <c r="B101" s="167" t="s">
        <v>837</v>
      </c>
      <c r="C101" s="166" t="s">
        <v>838</v>
      </c>
      <c r="D101" s="164">
        <v>341100</v>
      </c>
      <c r="E101" s="164">
        <f t="shared" si="12"/>
        <v>64809</v>
      </c>
      <c r="F101" s="164">
        <f t="shared" si="13"/>
        <v>405909</v>
      </c>
      <c r="G101" s="164"/>
      <c r="H101" s="164">
        <f>99900*0.840336134453782</f>
        <v>83949.579831932817</v>
      </c>
      <c r="I101" s="164">
        <f t="shared" si="20"/>
        <v>15950.420168067236</v>
      </c>
      <c r="J101" s="164">
        <f t="shared" si="21"/>
        <v>99900.000000000058</v>
      </c>
      <c r="K101" s="164">
        <f>99750*0.840336134453782</f>
        <v>83823.529411764757</v>
      </c>
      <c r="L101" s="164">
        <f t="shared" si="18"/>
        <v>15926.470588235305</v>
      </c>
      <c r="M101" s="164">
        <f t="shared" si="19"/>
        <v>99750.000000000058</v>
      </c>
      <c r="N101" s="164">
        <v>83950</v>
      </c>
      <c r="O101" s="164">
        <f t="shared" si="10"/>
        <v>15950.5</v>
      </c>
      <c r="P101" s="164">
        <f t="shared" si="11"/>
        <v>99900.5</v>
      </c>
    </row>
    <row r="102" spans="1:16" ht="231" x14ac:dyDescent="0.25">
      <c r="A102" s="64">
        <v>52</v>
      </c>
      <c r="B102" s="167" t="s">
        <v>839</v>
      </c>
      <c r="C102" s="166" t="s">
        <v>840</v>
      </c>
      <c r="D102" s="164" t="s">
        <v>775</v>
      </c>
      <c r="E102" s="164" t="s">
        <v>176</v>
      </c>
      <c r="F102" s="164" t="s">
        <v>176</v>
      </c>
      <c r="G102" s="164" t="s">
        <v>176</v>
      </c>
      <c r="H102" s="164" t="s">
        <v>176</v>
      </c>
      <c r="I102" s="164" t="s">
        <v>176</v>
      </c>
      <c r="J102" s="164" t="s">
        <v>176</v>
      </c>
      <c r="K102" s="164">
        <v>1428571</v>
      </c>
      <c r="L102" s="164">
        <f t="shared" si="18"/>
        <v>271428.49</v>
      </c>
      <c r="M102" s="164">
        <f t="shared" si="19"/>
        <v>1699999.49</v>
      </c>
      <c r="N102" s="164">
        <v>1428571</v>
      </c>
      <c r="O102" s="164">
        <f t="shared" si="10"/>
        <v>271428.49</v>
      </c>
      <c r="P102" s="164">
        <f t="shared" si="11"/>
        <v>1699999.49</v>
      </c>
    </row>
    <row r="103" spans="1:16" ht="198" x14ac:dyDescent="0.25">
      <c r="A103" s="64">
        <v>53</v>
      </c>
      <c r="B103" s="167" t="s">
        <v>841</v>
      </c>
      <c r="C103" s="166" t="s">
        <v>842</v>
      </c>
      <c r="D103" s="164">
        <v>55046</v>
      </c>
      <c r="E103" s="164">
        <f t="shared" si="12"/>
        <v>10459</v>
      </c>
      <c r="F103" s="164">
        <f t="shared" ref="F103:F113" si="22">+D103+E103</f>
        <v>65505</v>
      </c>
      <c r="G103" s="164"/>
      <c r="H103" s="164">
        <f>39900*0.840336134453782</f>
        <v>33529.411764705903</v>
      </c>
      <c r="I103" s="164">
        <f t="shared" ref="I103:I113" si="23">+H103*0.19</f>
        <v>6370.5882352941217</v>
      </c>
      <c r="J103" s="164">
        <f t="shared" ref="J103:J113" si="24">+H103+I103</f>
        <v>39900.000000000022</v>
      </c>
      <c r="K103" s="164">
        <f>29500*0.840336134453782</f>
        <v>24789.915966386568</v>
      </c>
      <c r="L103" s="164">
        <f t="shared" si="18"/>
        <v>4710.0840336134479</v>
      </c>
      <c r="M103" s="164">
        <f t="shared" si="19"/>
        <v>29500.000000000015</v>
      </c>
      <c r="N103" s="164">
        <v>24790</v>
      </c>
      <c r="O103" s="164">
        <f t="shared" si="10"/>
        <v>4710.1000000000004</v>
      </c>
      <c r="P103" s="164">
        <f t="shared" si="11"/>
        <v>29500.1</v>
      </c>
    </row>
    <row r="104" spans="1:16" ht="214.5" x14ac:dyDescent="0.25">
      <c r="A104" s="64">
        <v>54</v>
      </c>
      <c r="B104" s="167" t="s">
        <v>843</v>
      </c>
      <c r="C104" s="166" t="s">
        <v>844</v>
      </c>
      <c r="D104" s="164">
        <v>64614</v>
      </c>
      <c r="E104" s="164">
        <f t="shared" si="12"/>
        <v>12277</v>
      </c>
      <c r="F104" s="164">
        <f t="shared" si="22"/>
        <v>76891</v>
      </c>
      <c r="G104" s="164"/>
      <c r="H104" s="164">
        <f>76900*0.840336134453782</f>
        <v>64621.848739495836</v>
      </c>
      <c r="I104" s="164">
        <f t="shared" si="23"/>
        <v>12278.151260504208</v>
      </c>
      <c r="J104" s="164">
        <f t="shared" si="24"/>
        <v>76900.000000000044</v>
      </c>
      <c r="K104" s="164">
        <f>94500*0.840336134453782</f>
        <v>79411.764705882393</v>
      </c>
      <c r="L104" s="164">
        <f t="shared" si="18"/>
        <v>15088.235294117654</v>
      </c>
      <c r="M104" s="164">
        <f t="shared" si="19"/>
        <v>94500.000000000044</v>
      </c>
      <c r="N104" s="164">
        <v>64622</v>
      </c>
      <c r="O104" s="164">
        <f t="shared" si="10"/>
        <v>12278.18</v>
      </c>
      <c r="P104" s="164">
        <f t="shared" si="11"/>
        <v>76900.179999999993</v>
      </c>
    </row>
    <row r="105" spans="1:16" ht="115.5" x14ac:dyDescent="0.25">
      <c r="A105" s="64">
        <v>55</v>
      </c>
      <c r="B105" s="167" t="s">
        <v>845</v>
      </c>
      <c r="C105" s="166" t="s">
        <v>846</v>
      </c>
      <c r="D105" s="164">
        <v>38971</v>
      </c>
      <c r="E105" s="164">
        <f t="shared" si="12"/>
        <v>7404</v>
      </c>
      <c r="F105" s="164">
        <f t="shared" si="22"/>
        <v>46375</v>
      </c>
      <c r="G105" s="164"/>
      <c r="H105" s="164">
        <f>46900*0.840336134453782</f>
        <v>39411.764705882371</v>
      </c>
      <c r="I105" s="164">
        <f t="shared" si="23"/>
        <v>7488.2352941176505</v>
      </c>
      <c r="J105" s="164">
        <f t="shared" si="24"/>
        <v>46900.000000000022</v>
      </c>
      <c r="K105" s="164">
        <f>59900*0.840336134453782</f>
        <v>50336.134453781538</v>
      </c>
      <c r="L105" s="164">
        <f t="shared" si="18"/>
        <v>9563.8655462184925</v>
      </c>
      <c r="M105" s="164">
        <f t="shared" si="19"/>
        <v>59900.000000000029</v>
      </c>
      <c r="N105" s="164">
        <v>38971</v>
      </c>
      <c r="O105" s="164">
        <f t="shared" si="10"/>
        <v>7404.49</v>
      </c>
      <c r="P105" s="164">
        <f t="shared" si="11"/>
        <v>46375.49</v>
      </c>
    </row>
    <row r="106" spans="1:16" ht="132" x14ac:dyDescent="0.25">
      <c r="A106" s="64">
        <v>56</v>
      </c>
      <c r="B106" s="167" t="s">
        <v>211</v>
      </c>
      <c r="C106" s="166" t="s">
        <v>847</v>
      </c>
      <c r="D106" s="164">
        <v>14829</v>
      </c>
      <c r="E106" s="164">
        <f t="shared" si="12"/>
        <v>2818</v>
      </c>
      <c r="F106" s="164">
        <f t="shared" si="22"/>
        <v>17647</v>
      </c>
      <c r="G106" s="164"/>
      <c r="H106" s="164">
        <f>13900*0.840336134453782</f>
        <v>11680.672268907569</v>
      </c>
      <c r="I106" s="164">
        <f t="shared" si="23"/>
        <v>2219.3277310924382</v>
      </c>
      <c r="J106" s="164">
        <f t="shared" si="24"/>
        <v>13900.000000000007</v>
      </c>
      <c r="K106" s="164">
        <f>10000*0.840336134453782</f>
        <v>8403.3613445378196</v>
      </c>
      <c r="L106" s="164">
        <f t="shared" si="18"/>
        <v>1596.6386554621859</v>
      </c>
      <c r="M106" s="164">
        <f t="shared" si="19"/>
        <v>10000.000000000005</v>
      </c>
      <c r="N106" s="164">
        <v>8403</v>
      </c>
      <c r="O106" s="164">
        <f t="shared" si="10"/>
        <v>1596.57</v>
      </c>
      <c r="P106" s="164">
        <f t="shared" si="11"/>
        <v>9999.57</v>
      </c>
    </row>
    <row r="107" spans="1:16" ht="198" x14ac:dyDescent="0.25">
      <c r="A107" s="64">
        <v>57</v>
      </c>
      <c r="B107" s="167" t="s">
        <v>848</v>
      </c>
      <c r="C107" s="166" t="s">
        <v>849</v>
      </c>
      <c r="D107" s="164">
        <v>94524</v>
      </c>
      <c r="E107" s="164">
        <f t="shared" si="12"/>
        <v>17960</v>
      </c>
      <c r="F107" s="164">
        <f t="shared" si="22"/>
        <v>112484</v>
      </c>
      <c r="G107" s="164"/>
      <c r="H107" s="164">
        <f>98000*0.840336134453782</f>
        <v>82352.941176470631</v>
      </c>
      <c r="I107" s="164">
        <f t="shared" si="23"/>
        <v>15647.05882352942</v>
      </c>
      <c r="J107" s="164">
        <f t="shared" si="24"/>
        <v>98000.000000000058</v>
      </c>
      <c r="K107" s="164">
        <f>149990*0.840336134453782</f>
        <v>126042.01680672276</v>
      </c>
      <c r="L107" s="164">
        <f t="shared" si="18"/>
        <v>23947.983193277327</v>
      </c>
      <c r="M107" s="164">
        <f t="shared" si="19"/>
        <v>149990.00000000009</v>
      </c>
      <c r="N107" s="164">
        <v>82353</v>
      </c>
      <c r="O107" s="164">
        <f t="shared" si="10"/>
        <v>15647.07</v>
      </c>
      <c r="P107" s="164">
        <f t="shared" si="11"/>
        <v>98000.07</v>
      </c>
    </row>
    <row r="108" spans="1:16" ht="198" x14ac:dyDescent="0.25">
      <c r="A108" s="64">
        <v>58</v>
      </c>
      <c r="B108" s="167" t="s">
        <v>850</v>
      </c>
      <c r="C108" s="69" t="s">
        <v>851</v>
      </c>
      <c r="D108" s="164">
        <v>15700</v>
      </c>
      <c r="E108" s="164">
        <f t="shared" si="12"/>
        <v>2983</v>
      </c>
      <c r="F108" s="164">
        <f t="shared" si="22"/>
        <v>18683</v>
      </c>
      <c r="G108" s="164"/>
      <c r="H108" s="164">
        <f>128000*0.840336134453782</f>
        <v>107563.02521008409</v>
      </c>
      <c r="I108" s="164">
        <f t="shared" si="23"/>
        <v>20436.974789915977</v>
      </c>
      <c r="J108" s="164">
        <f t="shared" si="24"/>
        <v>128000.00000000006</v>
      </c>
      <c r="K108" s="164">
        <f>128000*0.840336134453782</f>
        <v>107563.02521008409</v>
      </c>
      <c r="L108" s="164">
        <f t="shared" si="18"/>
        <v>20436.974789915977</v>
      </c>
      <c r="M108" s="164">
        <f t="shared" si="19"/>
        <v>128000.00000000006</v>
      </c>
      <c r="N108" s="164">
        <v>15700</v>
      </c>
      <c r="O108" s="164">
        <f t="shared" si="10"/>
        <v>2983</v>
      </c>
      <c r="P108" s="164">
        <f t="shared" si="11"/>
        <v>18683</v>
      </c>
    </row>
    <row r="109" spans="1:16" ht="198" x14ac:dyDescent="0.25">
      <c r="A109" s="64">
        <v>59</v>
      </c>
      <c r="B109" s="167" t="s">
        <v>852</v>
      </c>
      <c r="C109" s="69" t="s">
        <v>853</v>
      </c>
      <c r="D109" s="164">
        <v>55386</v>
      </c>
      <c r="E109" s="164">
        <f t="shared" si="12"/>
        <v>10523</v>
      </c>
      <c r="F109" s="164">
        <f t="shared" si="22"/>
        <v>65909</v>
      </c>
      <c r="G109" s="164"/>
      <c r="H109" s="164">
        <f>83900*0.840336134453782</f>
        <v>70504.201680672311</v>
      </c>
      <c r="I109" s="164">
        <f t="shared" si="23"/>
        <v>13395.79831932774</v>
      </c>
      <c r="J109" s="164">
        <f t="shared" si="24"/>
        <v>83900.000000000058</v>
      </c>
      <c r="K109" s="164">
        <f>16300*0.840336134453782</f>
        <v>13697.478991596647</v>
      </c>
      <c r="L109" s="164">
        <f t="shared" si="18"/>
        <v>2602.5210084033629</v>
      </c>
      <c r="M109" s="164">
        <f t="shared" si="19"/>
        <v>16300.000000000009</v>
      </c>
      <c r="N109" s="164">
        <v>13697</v>
      </c>
      <c r="O109" s="164">
        <f t="shared" si="10"/>
        <v>2602.4299999999998</v>
      </c>
      <c r="P109" s="164">
        <f t="shared" si="11"/>
        <v>16299.43</v>
      </c>
    </row>
    <row r="110" spans="1:16" ht="165" x14ac:dyDescent="0.25">
      <c r="A110" s="64">
        <v>60</v>
      </c>
      <c r="B110" s="167" t="s">
        <v>854</v>
      </c>
      <c r="C110" s="69" t="s">
        <v>855</v>
      </c>
      <c r="D110" s="164">
        <v>241214</v>
      </c>
      <c r="E110" s="164">
        <f t="shared" si="12"/>
        <v>45831</v>
      </c>
      <c r="F110" s="164">
        <f t="shared" si="22"/>
        <v>287045</v>
      </c>
      <c r="G110" s="164"/>
      <c r="H110" s="164">
        <f>326900*0.840336134453782</f>
        <v>274705.88235294132</v>
      </c>
      <c r="I110" s="164">
        <f t="shared" si="23"/>
        <v>52194.117647058854</v>
      </c>
      <c r="J110" s="164">
        <f t="shared" si="24"/>
        <v>326900.00000000017</v>
      </c>
      <c r="K110" s="164">
        <f>328000*0.840336134453782</f>
        <v>275630.2521008405</v>
      </c>
      <c r="L110" s="164">
        <f t="shared" si="18"/>
        <v>52369.747899159694</v>
      </c>
      <c r="M110" s="164">
        <f t="shared" si="19"/>
        <v>328000.00000000017</v>
      </c>
      <c r="N110" s="164">
        <v>241214</v>
      </c>
      <c r="O110" s="164">
        <f t="shared" si="10"/>
        <v>45830.66</v>
      </c>
      <c r="P110" s="164">
        <f t="shared" si="11"/>
        <v>287044.66000000003</v>
      </c>
    </row>
    <row r="111" spans="1:16" ht="49.5" x14ac:dyDescent="0.25">
      <c r="A111" s="64">
        <v>61</v>
      </c>
      <c r="B111" s="167" t="s">
        <v>856</v>
      </c>
      <c r="C111" s="166" t="s">
        <v>857</v>
      </c>
      <c r="D111" s="164">
        <v>32900</v>
      </c>
      <c r="E111" s="164">
        <f t="shared" si="12"/>
        <v>6251</v>
      </c>
      <c r="F111" s="164">
        <f t="shared" si="22"/>
        <v>39151</v>
      </c>
      <c r="G111" s="164"/>
      <c r="H111" s="164">
        <f>50900*0.840336134453782</f>
        <v>42773.109243697501</v>
      </c>
      <c r="I111" s="164">
        <f t="shared" si="23"/>
        <v>8126.890756302525</v>
      </c>
      <c r="J111" s="164">
        <f t="shared" si="24"/>
        <v>50900.000000000029</v>
      </c>
      <c r="K111" s="164">
        <f>101000*0.840336134453782</f>
        <v>84873.949579831984</v>
      </c>
      <c r="L111" s="164">
        <f t="shared" si="18"/>
        <v>16126.050420168078</v>
      </c>
      <c r="M111" s="164">
        <f t="shared" si="19"/>
        <v>101000.00000000006</v>
      </c>
      <c r="N111" s="164">
        <v>32900</v>
      </c>
      <c r="O111" s="164">
        <f t="shared" si="10"/>
        <v>6251</v>
      </c>
      <c r="P111" s="164">
        <f t="shared" si="11"/>
        <v>39151</v>
      </c>
    </row>
    <row r="112" spans="1:16" ht="49.5" x14ac:dyDescent="0.25">
      <c r="A112" s="64">
        <v>62</v>
      </c>
      <c r="B112" s="167" t="s">
        <v>856</v>
      </c>
      <c r="C112" s="166" t="s">
        <v>858</v>
      </c>
      <c r="D112" s="164">
        <v>25452</v>
      </c>
      <c r="E112" s="164">
        <f t="shared" si="12"/>
        <v>4836</v>
      </c>
      <c r="F112" s="164">
        <f t="shared" si="22"/>
        <v>30288</v>
      </c>
      <c r="G112" s="164"/>
      <c r="H112" s="164">
        <f>59000*0.840336134453782</f>
        <v>49579.831932773137</v>
      </c>
      <c r="I112" s="164">
        <f t="shared" si="23"/>
        <v>9420.1680672268958</v>
      </c>
      <c r="J112" s="164">
        <f t="shared" si="24"/>
        <v>59000.000000000029</v>
      </c>
      <c r="K112" s="164">
        <f>67600*0.840336134453782</f>
        <v>56806.722689075665</v>
      </c>
      <c r="L112" s="164">
        <f t="shared" si="18"/>
        <v>10793.277310924377</v>
      </c>
      <c r="M112" s="164">
        <f t="shared" si="19"/>
        <v>67600.000000000044</v>
      </c>
      <c r="N112" s="164">
        <v>25452</v>
      </c>
      <c r="O112" s="164">
        <f t="shared" si="10"/>
        <v>4835.88</v>
      </c>
      <c r="P112" s="164">
        <f t="shared" si="11"/>
        <v>30287.88</v>
      </c>
    </row>
    <row r="113" spans="1:16" ht="66" x14ac:dyDescent="0.25">
      <c r="A113" s="64">
        <v>63</v>
      </c>
      <c r="B113" s="167" t="s">
        <v>859</v>
      </c>
      <c r="C113" s="69" t="s">
        <v>860</v>
      </c>
      <c r="D113" s="164">
        <v>167029</v>
      </c>
      <c r="E113" s="164">
        <f t="shared" si="12"/>
        <v>31736</v>
      </c>
      <c r="F113" s="164">
        <f t="shared" si="22"/>
        <v>198765</v>
      </c>
      <c r="G113" s="164"/>
      <c r="H113" s="164">
        <f>119600*0.840336134453782</f>
        <v>100504.20168067233</v>
      </c>
      <c r="I113" s="164">
        <f t="shared" si="23"/>
        <v>19095.798319327743</v>
      </c>
      <c r="J113" s="164">
        <f t="shared" si="24"/>
        <v>119600.00000000007</v>
      </c>
      <c r="K113" s="164">
        <f>121900*0.840336134453782</f>
        <v>102436.97478991603</v>
      </c>
      <c r="L113" s="164">
        <f t="shared" si="18"/>
        <v>19463.025210084044</v>
      </c>
      <c r="M113" s="164">
        <f t="shared" si="19"/>
        <v>121900.00000000007</v>
      </c>
      <c r="N113" s="164">
        <v>100504</v>
      </c>
      <c r="O113" s="164">
        <f t="shared" si="10"/>
        <v>19095.760000000002</v>
      </c>
      <c r="P113" s="164">
        <f t="shared" si="11"/>
        <v>119599.76000000001</v>
      </c>
    </row>
    <row r="114" spans="1:16" ht="33" hidden="1" x14ac:dyDescent="0.3">
      <c r="B114" s="159"/>
      <c r="F114" s="164"/>
      <c r="G114" s="164"/>
      <c r="H114" s="164"/>
      <c r="I114" s="164"/>
      <c r="J114" s="164"/>
      <c r="K114" s="164"/>
      <c r="L114" s="164"/>
      <c r="M114" s="164"/>
      <c r="N114" s="168" t="s">
        <v>861</v>
      </c>
      <c r="O114" s="164"/>
      <c r="P114" s="168">
        <f>SUM(P3:P113)</f>
        <v>14263644.640000004</v>
      </c>
    </row>
  </sheetData>
  <sheetProtection formatCells="0" formatColumns="0" formatRows="0" insertColumns="0" insertRows="0" insertHyperlinks="0" deleteColumns="0" deleteRows="0" sort="0" autoFilter="0" pivotTables="0"/>
  <mergeCells count="51">
    <mergeCell ref="P44:P61"/>
    <mergeCell ref="J44:J61"/>
    <mergeCell ref="K44:K61"/>
    <mergeCell ref="L44:L61"/>
    <mergeCell ref="M44:M61"/>
    <mergeCell ref="N44:N61"/>
    <mergeCell ref="O44:O61"/>
    <mergeCell ref="O28:O43"/>
    <mergeCell ref="P28:P43"/>
    <mergeCell ref="A44:A61"/>
    <mergeCell ref="B44:B61"/>
    <mergeCell ref="D44:D61"/>
    <mergeCell ref="E44:E61"/>
    <mergeCell ref="F44:F61"/>
    <mergeCell ref="G44:G61"/>
    <mergeCell ref="H44:H61"/>
    <mergeCell ref="I44:I61"/>
    <mergeCell ref="I28:I43"/>
    <mergeCell ref="J28:J43"/>
    <mergeCell ref="K28:K43"/>
    <mergeCell ref="L28:L43"/>
    <mergeCell ref="M28:M43"/>
    <mergeCell ref="N28:N43"/>
    <mergeCell ref="G28:G43"/>
    <mergeCell ref="H28:H43"/>
    <mergeCell ref="H11:H27"/>
    <mergeCell ref="I11:I27"/>
    <mergeCell ref="J11:J27"/>
    <mergeCell ref="A28:A43"/>
    <mergeCell ref="B28:B43"/>
    <mergeCell ref="D28:D43"/>
    <mergeCell ref="E28:E43"/>
    <mergeCell ref="F28:F43"/>
    <mergeCell ref="A11:A27"/>
    <mergeCell ref="B11:B27"/>
    <mergeCell ref="D11:D27"/>
    <mergeCell ref="E11:E27"/>
    <mergeCell ref="F11:F27"/>
    <mergeCell ref="N1:P1"/>
    <mergeCell ref="B2:C2"/>
    <mergeCell ref="G11:G27"/>
    <mergeCell ref="B1:C1"/>
    <mergeCell ref="D1:F1"/>
    <mergeCell ref="H1:J1"/>
    <mergeCell ref="K1:M1"/>
    <mergeCell ref="N11:N27"/>
    <mergeCell ref="O11:O27"/>
    <mergeCell ref="P11:P27"/>
    <mergeCell ref="K11:K27"/>
    <mergeCell ref="L11:L27"/>
    <mergeCell ref="M11:M27"/>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Carpintería</vt:lpstr>
      <vt:lpstr>Ornamentación</vt:lpstr>
      <vt:lpstr>Cerrajería</vt:lpstr>
      <vt:lpstr>Albañilería</vt:lpstr>
      <vt:lpstr>Pintura</vt:lpstr>
      <vt:lpstr>Eléctrico</vt:lpstr>
      <vt:lpstr>Plomería</vt:lpstr>
      <vt:lpstr>Herramientas de taller</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Yohana Homez</dc:creator>
  <cp:lastModifiedBy>Usuario de Windows</cp:lastModifiedBy>
  <dcterms:created xsi:type="dcterms:W3CDTF">2021-05-05T22:51:18Z</dcterms:created>
  <dcterms:modified xsi:type="dcterms:W3CDTF">2021-05-06T01:57:03Z</dcterms:modified>
</cp:coreProperties>
</file>