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021\096 SERVICIO AVIONES PUBLICO\06-05-2021\"/>
    </mc:Choice>
  </mc:AlternateContent>
  <workbookProtection workbookAlgorithmName="SHA-512" workbookHashValue="m/D/Ib70fvyuuWN0ZoUAL5EGrMGNrswsQdiDjqAbQhtjbaRAxbk1ZFNhLsw7HtEliXPBb3FsAGndlxrtQ9MgUQ==" workbookSaltValue="YplZe3hRGaTY3DDVYBWe5A==" workbookSpinCount="100000" lockStructure="1"/>
  <bookViews>
    <workbookView xWindow="0" yWindow="0" windowWidth="19200" windowHeight="11595" tabRatio="951" activeTab="2"/>
  </bookViews>
  <sheets>
    <sheet name="HISTORICO " sheetId="15" r:id="rId1"/>
    <sheet name="ANALISIS" sheetId="5" r:id="rId2"/>
    <sheet name="PRECIOS DE REFERENCIA" sheetId="16" r:id="rId3"/>
  </sheets>
  <definedNames>
    <definedName name="_xlnm._FilterDatabase" localSheetId="1" hidden="1">ANALISIS!$I$1:$I$21</definedName>
    <definedName name="_xlnm._FilterDatabase" localSheetId="0" hidden="1">'HISTORICO '!$I$1:$I$22</definedName>
    <definedName name="_xlnm._FilterDatabase" localSheetId="2" hidden="1">'PRECIOS DE REFERENCIA'!$B$1:$I$12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X5" i="16" l="1"/>
  <c r="BZ5" i="16"/>
  <c r="BU6" i="16"/>
  <c r="BU8" i="16"/>
  <c r="BU10" i="16"/>
  <c r="BU11" i="16"/>
  <c r="BU12" i="16"/>
  <c r="BU15" i="16"/>
  <c r="BU5" i="16"/>
  <c r="BP15" i="16" l="1"/>
  <c r="AC15" i="16"/>
  <c r="BM15" i="16" s="1"/>
  <c r="U15" i="16"/>
  <c r="BI12" i="16"/>
  <c r="BJ12" i="16" s="1"/>
  <c r="AS12" i="16"/>
  <c r="AC12" i="16"/>
  <c r="BO12" i="16" s="1"/>
  <c r="U12" i="16"/>
  <c r="BO11" i="16"/>
  <c r="AC11" i="16"/>
  <c r="BM11" i="16" s="1"/>
  <c r="U11" i="16"/>
  <c r="BP10" i="16"/>
  <c r="BO10" i="16"/>
  <c r="BM10" i="16"/>
  <c r="BL10" i="16"/>
  <c r="BK10" i="16"/>
  <c r="AC10" i="16"/>
  <c r="U10" i="16"/>
  <c r="BP8" i="16"/>
  <c r="BO8" i="16"/>
  <c r="BM8" i="16"/>
  <c r="BL8" i="16"/>
  <c r="BK8" i="16"/>
  <c r="AC8" i="16"/>
  <c r="U8" i="16"/>
  <c r="BI6" i="16"/>
  <c r="BJ6" i="16" s="1"/>
  <c r="BB6" i="16"/>
  <c r="AS6" i="16"/>
  <c r="AC6" i="16"/>
  <c r="U6" i="16"/>
  <c r="BI5" i="16"/>
  <c r="BJ5" i="16" s="1"/>
  <c r="AS5" i="16"/>
  <c r="AC5" i="16"/>
  <c r="U5" i="16"/>
  <c r="AQ2" i="16"/>
  <c r="BP16" i="15"/>
  <c r="BQ16" i="15" s="1"/>
  <c r="BO16" i="15"/>
  <c r="BM16" i="15"/>
  <c r="BL16" i="15"/>
  <c r="BK16" i="15"/>
  <c r="BR16" i="15" s="1"/>
  <c r="AC16" i="15"/>
  <c r="U16" i="15"/>
  <c r="BI12" i="15"/>
  <c r="BJ12" i="15" s="1"/>
  <c r="AS12" i="15"/>
  <c r="AC12" i="15"/>
  <c r="BO12" i="15" s="1"/>
  <c r="U12" i="15"/>
  <c r="BP11" i="15"/>
  <c r="BQ11" i="15" s="1"/>
  <c r="BO11" i="15"/>
  <c r="BK11" i="15"/>
  <c r="BR11" i="15" s="1"/>
  <c r="AC11" i="15"/>
  <c r="BM11" i="15" s="1"/>
  <c r="BN11" i="15" s="1"/>
  <c r="U11" i="15"/>
  <c r="BP10" i="15"/>
  <c r="BQ10" i="15" s="1"/>
  <c r="BO10" i="15"/>
  <c r="BM10" i="15"/>
  <c r="BL10" i="15"/>
  <c r="BK10" i="15"/>
  <c r="BN10" i="15" s="1"/>
  <c r="BR10" i="15" s="1"/>
  <c r="AC10" i="15"/>
  <c r="U10" i="15"/>
  <c r="BP8" i="15"/>
  <c r="BQ8" i="15" s="1"/>
  <c r="BO8" i="15"/>
  <c r="BN8" i="15"/>
  <c r="BR8" i="15" s="1"/>
  <c r="BM8" i="15"/>
  <c r="BL8" i="15"/>
  <c r="BK8" i="15"/>
  <c r="AC8" i="15"/>
  <c r="U8" i="15"/>
  <c r="BJ6" i="15"/>
  <c r="BO6" i="15" s="1"/>
  <c r="BI6" i="15"/>
  <c r="BB6" i="15"/>
  <c r="AS6" i="15"/>
  <c r="AC6" i="15"/>
  <c r="U6" i="15"/>
  <c r="BJ5" i="15"/>
  <c r="BO5" i="15" s="1"/>
  <c r="BI5" i="15"/>
  <c r="AS5" i="15"/>
  <c r="AC5" i="15"/>
  <c r="BP5" i="15" s="1"/>
  <c r="BQ5" i="15" s="1"/>
  <c r="U5" i="15"/>
  <c r="BP10" i="5"/>
  <c r="BO10" i="5"/>
  <c r="BM10" i="5"/>
  <c r="BL10" i="5"/>
  <c r="BK10" i="5"/>
  <c r="BP8" i="5"/>
  <c r="BO8" i="5"/>
  <c r="BM8" i="5"/>
  <c r="BL8" i="5"/>
  <c r="BK8" i="5"/>
  <c r="BI12" i="5"/>
  <c r="BJ12" i="5" s="1"/>
  <c r="BI6" i="5"/>
  <c r="BJ6" i="5" s="1"/>
  <c r="BR6" i="5" s="1"/>
  <c r="BU6" i="5" s="1"/>
  <c r="BI5" i="5"/>
  <c r="BJ5" i="5" s="1"/>
  <c r="BB6" i="5"/>
  <c r="AY19" i="5"/>
  <c r="BL15" i="16" l="1"/>
  <c r="BO15" i="16"/>
  <c r="BK15" i="16"/>
  <c r="BR15" i="16" s="1"/>
  <c r="BX15" i="16" s="1"/>
  <c r="BY15" i="16" s="1"/>
  <c r="BZ15" i="16" s="1"/>
  <c r="BK11" i="16"/>
  <c r="BN11" i="16" s="1"/>
  <c r="BL11" i="16"/>
  <c r="BN8" i="16"/>
  <c r="BR8" i="16" s="1"/>
  <c r="BX8" i="16" s="1"/>
  <c r="BP11" i="16"/>
  <c r="BQ11" i="16" s="1"/>
  <c r="BQ15" i="16"/>
  <c r="BO5" i="16"/>
  <c r="BQ10" i="16"/>
  <c r="BQ8" i="16"/>
  <c r="BN10" i="16"/>
  <c r="BR10" i="16" s="1"/>
  <c r="BX10" i="16" s="1"/>
  <c r="BR6" i="16"/>
  <c r="BX6" i="16" s="1"/>
  <c r="BP6" i="16"/>
  <c r="BO6" i="16"/>
  <c r="BM6" i="16"/>
  <c r="BL6" i="16"/>
  <c r="BK6" i="16"/>
  <c r="BM12" i="16"/>
  <c r="BL12" i="16"/>
  <c r="BP12" i="16"/>
  <c r="BQ12" i="16" s="1"/>
  <c r="BK12" i="16"/>
  <c r="BT15" i="16"/>
  <c r="BK5" i="16"/>
  <c r="BL5" i="16"/>
  <c r="BM5" i="16"/>
  <c r="BP5" i="16"/>
  <c r="BU10" i="15"/>
  <c r="BT10" i="15"/>
  <c r="BU8" i="15"/>
  <c r="BT8" i="15"/>
  <c r="BT11" i="15"/>
  <c r="BU11" i="15"/>
  <c r="BT16" i="15"/>
  <c r="BU16" i="15"/>
  <c r="BR6" i="15"/>
  <c r="BK5" i="15"/>
  <c r="BP12" i="15"/>
  <c r="BQ12" i="15" s="1"/>
  <c r="BM5" i="15"/>
  <c r="BM6" i="15"/>
  <c r="BN16" i="15"/>
  <c r="BK12" i="15"/>
  <c r="BK6" i="15"/>
  <c r="BN6" i="15" s="1"/>
  <c r="BL5" i="15"/>
  <c r="BL12" i="15"/>
  <c r="BP6" i="15"/>
  <c r="BQ6" i="15" s="1"/>
  <c r="BL11" i="15"/>
  <c r="BM12" i="15"/>
  <c r="BL6" i="15"/>
  <c r="BN10" i="5"/>
  <c r="BR10" i="5" s="1"/>
  <c r="BU10" i="5" s="1"/>
  <c r="BN8" i="5"/>
  <c r="BR8" i="5" s="1"/>
  <c r="BU8" i="5" s="1"/>
  <c r="BO6" i="5"/>
  <c r="BQ10" i="5"/>
  <c r="BQ8" i="5"/>
  <c r="BL6" i="5"/>
  <c r="BM6" i="5"/>
  <c r="BP6" i="5"/>
  <c r="BQ6" i="16" l="1"/>
  <c r="BR11" i="16"/>
  <c r="BX11" i="16" s="1"/>
  <c r="BN15" i="16"/>
  <c r="BT8" i="16"/>
  <c r="BQ5" i="16"/>
  <c r="BN6" i="16"/>
  <c r="BT10" i="16"/>
  <c r="BY6" i="16"/>
  <c r="BZ6" i="16" s="1"/>
  <c r="BY8" i="16"/>
  <c r="BZ8" i="16" s="1"/>
  <c r="BY10" i="16"/>
  <c r="BZ10" i="16" s="1"/>
  <c r="BY11" i="16"/>
  <c r="BZ11" i="16"/>
  <c r="BR5" i="16"/>
  <c r="BN5" i="16"/>
  <c r="BT11" i="16"/>
  <c r="BN12" i="16"/>
  <c r="BR12" i="16"/>
  <c r="BX12" i="16" s="1"/>
  <c r="BT6" i="16"/>
  <c r="BN12" i="15"/>
  <c r="BR12" i="15"/>
  <c r="BR5" i="15"/>
  <c r="BN5" i="15"/>
  <c r="BU6" i="15"/>
  <c r="BT6" i="15"/>
  <c r="BQ6" i="5"/>
  <c r="AS12" i="5"/>
  <c r="AS6" i="5"/>
  <c r="AS5" i="5"/>
  <c r="BY5" i="16" l="1"/>
  <c r="BY12" i="16"/>
  <c r="BZ12" i="16"/>
  <c r="BT12" i="16"/>
  <c r="BT5" i="16"/>
  <c r="BT5" i="15"/>
  <c r="BU5" i="15"/>
  <c r="BU12" i="15"/>
  <c r="BT12" i="15"/>
  <c r="AC15" i="5"/>
  <c r="AC12" i="5"/>
  <c r="AC11" i="5"/>
  <c r="AC10" i="5"/>
  <c r="AC8" i="5"/>
  <c r="AC6" i="5"/>
  <c r="BK6" i="5" s="1"/>
  <c r="AC5" i="5"/>
  <c r="BP5" i="5" s="1"/>
  <c r="BT6" i="5" l="1"/>
  <c r="BN6" i="5"/>
  <c r="BT8" i="5"/>
  <c r="BT10" i="5"/>
  <c r="BL15" i="5"/>
  <c r="BO15" i="5"/>
  <c r="BK15" i="5"/>
  <c r="BP15" i="5"/>
  <c r="BM15" i="5"/>
  <c r="BP11" i="5"/>
  <c r="BO11" i="5"/>
  <c r="BL11" i="5"/>
  <c r="BK11" i="5"/>
  <c r="BM11" i="5"/>
  <c r="BM12" i="5"/>
  <c r="BL12" i="5"/>
  <c r="BK12" i="5"/>
  <c r="BR12" i="5" s="1"/>
  <c r="BU12" i="5" s="1"/>
  <c r="BP12" i="5"/>
  <c r="BO12" i="5"/>
  <c r="BL5" i="5"/>
  <c r="BK5" i="5"/>
  <c r="BR5" i="5" s="1"/>
  <c r="BO5" i="5"/>
  <c r="BM5" i="5"/>
  <c r="BU5" i="5" l="1"/>
  <c r="BT5" i="5"/>
  <c r="BQ5" i="5"/>
  <c r="BQ15" i="5"/>
  <c r="BR15" i="5"/>
  <c r="BN15" i="5"/>
  <c r="BT12" i="5"/>
  <c r="BN12" i="5"/>
  <c r="BN5" i="5"/>
  <c r="BR11" i="5"/>
  <c r="BN11" i="5"/>
  <c r="BQ12" i="5"/>
  <c r="BQ11" i="5"/>
  <c r="BT11" i="5" l="1"/>
  <c r="BU11" i="5"/>
  <c r="BT15" i="5"/>
  <c r="BU15" i="5"/>
  <c r="U15" i="5" l="1"/>
  <c r="U12" i="5"/>
  <c r="U11" i="5"/>
  <c r="U10" i="5"/>
  <c r="U8" i="5"/>
  <c r="U6" i="5"/>
  <c r="U5" i="5"/>
</calcChain>
</file>

<file path=xl/sharedStrings.xml><?xml version="1.0" encoding="utf-8"?>
<sst xmlns="http://schemas.openxmlformats.org/spreadsheetml/2006/main" count="508" uniqueCount="91">
  <si>
    <t>EA</t>
  </si>
  <si>
    <t>PARTE NUMERO</t>
  </si>
  <si>
    <t>UNIDAD MEDIDA</t>
  </si>
  <si>
    <t>ITEM</t>
  </si>
  <si>
    <t>CÓDIGO DANE</t>
  </si>
  <si>
    <t xml:space="preserve">DESCRIPCIÓN DEL BIEN Y/O SERVICIO </t>
  </si>
  <si>
    <t>801292-00</t>
  </si>
  <si>
    <t>8883-00</t>
  </si>
  <si>
    <t>6084-4</t>
  </si>
  <si>
    <t>710031-501</t>
  </si>
  <si>
    <t xml:space="preserve">VR UNITARIO </t>
  </si>
  <si>
    <t>SERIE NUMERO</t>
  </si>
  <si>
    <t>N/A</t>
  </si>
  <si>
    <r>
      <rPr>
        <b/>
        <sz val="8"/>
        <rFont val="Arial"/>
        <family val="2"/>
      </rPr>
      <t>DESCRIPCIÓN: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AERONAVES TWIN COMMANDER SERIES</t>
    </r>
    <r>
      <rPr>
        <sz val="8"/>
        <rFont val="Arial"/>
        <family val="2"/>
      </rPr>
      <t xml:space="preserve">
Identificación del Activo Fijo: EJC1108
Número del Activo Fijo: 165500035269</t>
    </r>
  </si>
  <si>
    <r>
      <rPr>
        <b/>
        <sz val="8"/>
        <rFont val="Arial"/>
        <family val="2"/>
      </rPr>
      <t>DESCRIPCIÓN: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AERONAVES TWIN COMMANDER SERIES</t>
    </r>
    <r>
      <rPr>
        <sz val="8"/>
        <rFont val="Arial"/>
        <family val="2"/>
      </rPr>
      <t xml:space="preserve">
Identificación del Activo Fijo: EJC1111
Número del Activo Fijo: 1655000345920
</t>
    </r>
  </si>
  <si>
    <r>
      <rPr>
        <b/>
        <sz val="8"/>
        <rFont val="Arial"/>
        <family val="2"/>
      </rPr>
      <t>DESCRIPCIÓN: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AERONAVES TWIN COMMANDER SERIES</t>
    </r>
    <r>
      <rPr>
        <sz val="8"/>
        <rFont val="Arial"/>
        <family val="2"/>
      </rPr>
      <t xml:space="preserve">
Identificación del Activo Fijo: EJC1115
Número del Activo Fijo: 165500035847
</t>
    </r>
  </si>
  <si>
    <t xml:space="preserve">CANT </t>
  </si>
  <si>
    <t xml:space="preserve">MONEDA UTILIZADA EN LA COTIZACION </t>
  </si>
  <si>
    <t>SERVICIO A TODO COSTO</t>
  </si>
  <si>
    <t>OXYGEN CYLINDER REGULATOR</t>
  </si>
  <si>
    <t>OVERHAUL</t>
  </si>
  <si>
    <t xml:space="preserve">OXYGEN CYLINDER </t>
  </si>
  <si>
    <t>DOT-3AA1800</t>
  </si>
  <si>
    <t>7166P</t>
  </si>
  <si>
    <t>PRUEBA HIDROSTATICA</t>
  </si>
  <si>
    <t>NITROGEN BOTTLE 
DOT-3AA-1800</t>
  </si>
  <si>
    <t>81559T</t>
  </si>
  <si>
    <t>45375X</t>
  </si>
  <si>
    <t>51635W</t>
  </si>
  <si>
    <t>PRUEBA HIDROSTATICA Y OVERHAUL VALVULA</t>
  </si>
  <si>
    <t xml:space="preserve">OXYGEN CYLINDER REGULATOR </t>
  </si>
  <si>
    <t>7110</t>
  </si>
  <si>
    <t>BOTELLA PRINCIPAL DE OXIGENO</t>
  </si>
  <si>
    <t>DOT-3HT1850</t>
  </si>
  <si>
    <t>ST38413</t>
  </si>
  <si>
    <r>
      <rPr>
        <b/>
        <sz val="8"/>
        <rFont val="Arial"/>
        <family val="2"/>
      </rPr>
      <t>DESCRIPCIÓN: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AERONAVES CASA 212-100 SERIES</t>
    </r>
    <r>
      <rPr>
        <sz val="8"/>
        <rFont val="Arial"/>
        <family val="2"/>
      </rPr>
      <t xml:space="preserve">
Identificación del Activo Fijo: EJC1123
Número del Activo Fijo: 163600007253
</t>
    </r>
  </si>
  <si>
    <t>IVA ( SI APLICA)</t>
  </si>
  <si>
    <t>SUBTOTAL</t>
  </si>
  <si>
    <t xml:space="preserve">VR TOTAL INCLUIDO IVA (SI APLICA) </t>
  </si>
  <si>
    <t xml:space="preserve"> SEÑOR COTIZANTE NO MODIFIQUE LA ESTRUTURA DE LA PLANTILLA DE COTIZACION Y COTICE DE ACUERDO A SU CAPACIDAD LOS PRECIOS DEL MERCADO</t>
  </si>
  <si>
    <t>LOS SERVICIOS PRESTADOS EN EL TERRITORIO NACIONAL SE ENCUENTRAN GRAVADOS CON IVA DEL 19% POR LO CUAL SE RECUERDA SEÑOR COTIZANTE SI SU SERVICIO SERA PRESTADO EN EL TERRITORIO NACIONAL DEBE LIQUIDAR ESTE IMPUESTO EN SU COTIZACION , PERO SI SU SERVICIO SERA PRESTADO EN EL EXTRANJERO COTICE SIN ESTE IMPUESTO .</t>
  </si>
  <si>
    <t>NO COTIZA</t>
  </si>
  <si>
    <t xml:space="preserve"> AERONATIC VR UNITARIO </t>
  </si>
  <si>
    <t>AERONAUTIC VR UNITARIO COP ( Con trm  3.646,61)</t>
  </si>
  <si>
    <t xml:space="preserve">trm cierre cotizacion </t>
  </si>
  <si>
    <t xml:space="preserve">AEROTECNCIA VR UNITARIO  SIN IVA  COP </t>
  </si>
  <si>
    <t>AVIATION VR UNITARIO US</t>
  </si>
  <si>
    <t>AERONAUTIC VR UNITARIO COP ( Con trm  3.646,61) SIN IVA</t>
  </si>
  <si>
    <t xml:space="preserve">CIAC VR UNITARIO COP SIN IVA </t>
  </si>
  <si>
    <t xml:space="preserve">HB INTERNATIONAL CORP SAS VR UNITARIO COP </t>
  </si>
  <si>
    <t xml:space="preserve">PMA SAS VR UNITARIO COP </t>
  </si>
  <si>
    <t>SERVICOMEX VR UNITARIO COP SIN IVA</t>
  </si>
  <si>
    <t xml:space="preserve"> ULS VR UNITARIO COP SIN IVA</t>
  </si>
  <si>
    <t>VR UNITARIO HISTORICO 233 CENAC AVI 2018</t>
  </si>
  <si>
    <t>VR UNITARIO HISTORICO 234 CENAC AVI 2018</t>
  </si>
  <si>
    <t>IPC  ACTUAL</t>
  </si>
  <si>
    <t>IPC OCT/2018</t>
  </si>
  <si>
    <t>VR UNITARIO HISTORICO 234 CENAC AVI 2018 ( TRAIDO A VR PRESENTE)</t>
  </si>
  <si>
    <t>VR UNITARIO HISTORICO 235 CENAC AVI 2018</t>
  </si>
  <si>
    <t>VR UNITARIO HISTORICO 311 CENAC AVI 2019</t>
  </si>
  <si>
    <t>IPC OCT/2019</t>
  </si>
  <si>
    <t>VR UNITARIO HISTORICO 311 CENAC AVI 2019 ( TRAIDO A VR PRESENTE)</t>
  </si>
  <si>
    <t>VR UNITARIO HISTORICO 304  CENAC AVI 2019</t>
  </si>
  <si>
    <t>VR UNITARIO HISTORICO 370 CENAC AVI 2019</t>
  </si>
  <si>
    <t>VR UNITARIO HISTORICO 371 CENAC AVI 2019</t>
  </si>
  <si>
    <t>VR UNITARIO HISTORICO 372 CENAC AVI 2019</t>
  </si>
  <si>
    <t>VR UNITARIO HISTORICO202CENAC AVI 2020</t>
  </si>
  <si>
    <t>VR UNITARIO ULTIMO HISTORICO TRAIDO A 2021</t>
  </si>
  <si>
    <t>MENOR</t>
  </si>
  <si>
    <t xml:space="preserve">PROMEDIO </t>
  </si>
  <si>
    <t>MEDIA GEOMETRICA</t>
  </si>
  <si>
    <t xml:space="preserve">MEDIANA </t>
  </si>
  <si>
    <t xml:space="preserve">DESVIACION </t>
  </si>
  <si>
    <t xml:space="preserve">DISPERCION </t>
  </si>
  <si>
    <t>PRECIO UNITARIO DE REFERENCIA   SIN IVA (COP)</t>
  </si>
  <si>
    <t xml:space="preserve">CRITERIO </t>
  </si>
  <si>
    <t>IVA</t>
  </si>
  <si>
    <t>MENOR VALOR</t>
  </si>
  <si>
    <t>VR UNITARIO HISTORICO 304 CENAC AVI 2019 ( TRAIDO A VR PRESENTE)</t>
  </si>
  <si>
    <t>VR UNITARIO HISTORICO 202 CENAC AVI 2020 ( TRAIDO A VR PRESENTE)</t>
  </si>
  <si>
    <t>TENIENDO EN CUENTA LAS DIFERENCIA EN PRECIOS NO SE TIENE EN CUENTA EL VR COTIZADO AERONTECNICA Y AVIATION</t>
  </si>
  <si>
    <t>HISTORICO</t>
  </si>
  <si>
    <t>PROMEDIO ENTRE (MENOR Y MEDIA GEOMETRICA)</t>
  </si>
  <si>
    <t>PRECIO UNITARIO DE REFERENCIA  CON IVA (COP)</t>
  </si>
  <si>
    <t xml:space="preserve"> EMPRESA NACIONAL O EXTRANJERA CON SUCURSAL EN COLOMBIA </t>
  </si>
  <si>
    <t xml:space="preserve"> EMPRESA EXTRANJERA SIN SUCURSAL EN COLOMBAI</t>
  </si>
  <si>
    <t>PRECIO UNITARIO DE REFERENCIA  CON  IVA (COP)</t>
  </si>
  <si>
    <t>PRECIO UNITARIO DE REFERENCIA   SIN IVA (USD)</t>
  </si>
  <si>
    <t>PRECIO UNITARIO DE REFERENCIA  CON  IVA (USD)</t>
  </si>
  <si>
    <t>LOTE No 2 SERVICIOS PROGRAMADOS  PRUEBAS HIDROSTATICAS, OVERHAUL VALVULA</t>
  </si>
  <si>
    <t>LOTE  No 2 SERVICIOS PROGRAMADOS  PRUEBAS HIDROSTATICAS, OVERHAUL VALVULA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</si>
</sst>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&quot;$&quot;#,##0;[Red]\-&quot;$&quot;#,##0"/>
    <numFmt numFmtId="168" formatCode="&quot;$&quot;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  <font>
      <b/>
      <sz val="12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8D8D8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rgb="FFD8D8D8"/>
      </patternFill>
    </fill>
    <fill>
      <patternFill patternType="solid">
        <fgColor theme="7" tint="0.59999389629810485"/>
        <bgColor rgb="FFD8D8D8"/>
      </patternFill>
    </fill>
    <fill>
      <patternFill patternType="solid">
        <fgColor theme="5" tint="0.59999389629810485"/>
        <bgColor rgb="FFD8D8D8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8">
    <xf numFmtId="0" fontId="0" fillId="0" borderId="0" xfId="0"/>
    <xf numFmtId="0" fontId="4" fillId="0" borderId="0" xfId="0" applyFont="1"/>
    <xf numFmtId="0" fontId="5" fillId="4" borderId="2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textRotation="90" wrapText="1"/>
    </xf>
    <xf numFmtId="0" fontId="3" fillId="6" borderId="7" xfId="0" applyFont="1" applyFill="1" applyBorder="1" applyAlignment="1">
      <alignment horizontal="center" vertical="center" wrapText="1"/>
    </xf>
    <xf numFmtId="43" fontId="3" fillId="6" borderId="7" xfId="0" applyNumberFormat="1" applyFont="1" applyFill="1" applyBorder="1" applyAlignment="1">
      <alignment horizontal="left" vertical="center" wrapText="1"/>
    </xf>
    <xf numFmtId="43" fontId="3" fillId="6" borderId="7" xfId="0" applyNumberFormat="1" applyFont="1" applyFill="1" applyBorder="1" applyAlignment="1">
      <alignment horizontal="center" vertical="center" wrapText="1"/>
    </xf>
    <xf numFmtId="43" fontId="3" fillId="6" borderId="8" xfId="0" applyNumberFormat="1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left"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 applyProtection="1">
      <alignment horizontal="center" vertical="center"/>
      <protection locked="0"/>
    </xf>
    <xf numFmtId="49" fontId="5" fillId="0" borderId="10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2" xfId="0" applyFont="1" applyBorder="1"/>
    <xf numFmtId="0" fontId="7" fillId="0" borderId="0" xfId="0" applyFont="1"/>
    <xf numFmtId="0" fontId="4" fillId="0" borderId="0" xfId="0" applyFont="1" applyFill="1" applyBorder="1"/>
    <xf numFmtId="166" fontId="4" fillId="0" borderId="0" xfId="2" applyFont="1"/>
    <xf numFmtId="166" fontId="3" fillId="6" borderId="2" xfId="2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wrapText="1"/>
    </xf>
    <xf numFmtId="0" fontId="5" fillId="0" borderId="0" xfId="0" applyFont="1" applyFill="1" applyBorder="1" applyAlignment="1">
      <alignment horizontal="left" vertical="center" wrapText="1"/>
    </xf>
    <xf numFmtId="0" fontId="4" fillId="0" borderId="0" xfId="0" applyFont="1" applyFill="1"/>
    <xf numFmtId="0" fontId="8" fillId="0" borderId="1" xfId="0" applyFont="1" applyFill="1" applyBorder="1" applyAlignment="1"/>
    <xf numFmtId="166" fontId="5" fillId="4" borderId="0" xfId="2" applyFont="1" applyFill="1" applyBorder="1" applyAlignment="1">
      <alignment horizontal="center" vertical="center" wrapText="1"/>
    </xf>
    <xf numFmtId="167" fontId="5" fillId="0" borderId="10" xfId="0" applyNumberFormat="1" applyFont="1" applyFill="1" applyBorder="1" applyAlignment="1">
      <alignment horizontal="center" vertical="center" wrapText="1"/>
    </xf>
    <xf numFmtId="166" fontId="3" fillId="8" borderId="2" xfId="2" applyFont="1" applyFill="1" applyBorder="1" applyAlignment="1">
      <alignment horizontal="center" vertical="center" wrapText="1"/>
    </xf>
    <xf numFmtId="168" fontId="4" fillId="0" borderId="0" xfId="0" applyNumberFormat="1" applyFont="1"/>
    <xf numFmtId="168" fontId="3" fillId="8" borderId="2" xfId="2" applyNumberFormat="1" applyFont="1" applyFill="1" applyBorder="1" applyAlignment="1">
      <alignment horizontal="center" vertical="center" wrapText="1"/>
    </xf>
    <xf numFmtId="168" fontId="5" fillId="0" borderId="2" xfId="0" applyNumberFormat="1" applyFont="1" applyFill="1" applyBorder="1" applyAlignment="1">
      <alignment horizontal="center" vertical="center" wrapText="1"/>
    </xf>
    <xf numFmtId="168" fontId="5" fillId="0" borderId="0" xfId="0" applyNumberFormat="1" applyFont="1" applyFill="1" applyBorder="1" applyAlignment="1">
      <alignment horizontal="center" vertical="center" wrapText="1"/>
    </xf>
    <xf numFmtId="168" fontId="3" fillId="6" borderId="2" xfId="0" applyNumberFormat="1" applyFont="1" applyFill="1" applyBorder="1" applyAlignment="1">
      <alignment horizontal="center" vertical="center" wrapText="1"/>
    </xf>
    <xf numFmtId="165" fontId="3" fillId="6" borderId="2" xfId="3" applyFont="1" applyFill="1" applyBorder="1" applyAlignment="1">
      <alignment horizontal="center" vertical="center" wrapText="1"/>
    </xf>
    <xf numFmtId="165" fontId="5" fillId="0" borderId="10" xfId="3" applyFont="1" applyFill="1" applyBorder="1" applyAlignment="1">
      <alignment horizontal="center" vertical="center" wrapText="1"/>
    </xf>
    <xf numFmtId="165" fontId="4" fillId="0" borderId="0" xfId="3" applyFont="1"/>
    <xf numFmtId="165" fontId="5" fillId="0" borderId="0" xfId="3" applyFont="1" applyFill="1" applyBorder="1" applyAlignment="1">
      <alignment horizontal="center" vertical="center" wrapText="1"/>
    </xf>
    <xf numFmtId="168" fontId="5" fillId="0" borderId="10" xfId="3" applyNumberFormat="1" applyFont="1" applyFill="1" applyBorder="1" applyAlignment="1">
      <alignment horizontal="center" vertical="center" wrapText="1"/>
    </xf>
    <xf numFmtId="168" fontId="5" fillId="0" borderId="1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Alignment="1">
      <alignment horizontal="right"/>
    </xf>
    <xf numFmtId="168" fontId="5" fillId="0" borderId="0" xfId="0" applyNumberFormat="1" applyFont="1" applyFill="1" applyBorder="1" applyAlignment="1">
      <alignment horizontal="right" vertical="center" wrapText="1"/>
    </xf>
    <xf numFmtId="168" fontId="3" fillId="6" borderId="2" xfId="0" applyNumberFormat="1" applyFont="1" applyFill="1" applyBorder="1" applyAlignment="1">
      <alignment horizontal="right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3" fillId="9" borderId="2" xfId="0" applyFont="1" applyFill="1" applyBorder="1" applyAlignment="1">
      <alignment horizontal="center" vertical="center" wrapText="1"/>
    </xf>
    <xf numFmtId="166" fontId="7" fillId="0" borderId="2" xfId="2" applyFont="1" applyBorder="1"/>
    <xf numFmtId="168" fontId="4" fillId="0" borderId="2" xfId="2" applyNumberFormat="1" applyFont="1" applyBorder="1" applyAlignment="1">
      <alignment vertical="center"/>
    </xf>
    <xf numFmtId="166" fontId="5" fillId="4" borderId="2" xfId="2" applyFont="1" applyFill="1" applyBorder="1" applyAlignment="1">
      <alignment horizontal="center" vertical="center" wrapText="1"/>
    </xf>
    <xf numFmtId="9" fontId="5" fillId="4" borderId="2" xfId="5" applyFont="1" applyFill="1" applyBorder="1" applyAlignment="1">
      <alignment horizontal="center" vertical="center" wrapText="1"/>
    </xf>
    <xf numFmtId="168" fontId="5" fillId="2" borderId="2" xfId="0" applyNumberFormat="1" applyFont="1" applyFill="1" applyBorder="1" applyAlignment="1">
      <alignment horizontal="center" vertical="center" wrapText="1"/>
    </xf>
    <xf numFmtId="168" fontId="5" fillId="2" borderId="10" xfId="3" applyNumberFormat="1" applyFont="1" applyFill="1" applyBorder="1" applyAlignment="1">
      <alignment horizontal="center" vertical="center" wrapText="1"/>
    </xf>
    <xf numFmtId="168" fontId="5" fillId="2" borderId="12" xfId="4" applyNumberFormat="1" applyFont="1" applyFill="1" applyBorder="1" applyAlignment="1">
      <alignment horizontal="right" vertical="center" wrapText="1"/>
    </xf>
    <xf numFmtId="168" fontId="5" fillId="2" borderId="2" xfId="4" applyNumberFormat="1" applyFont="1" applyFill="1" applyBorder="1" applyAlignment="1">
      <alignment horizontal="right" vertical="center" wrapText="1"/>
    </xf>
    <xf numFmtId="0" fontId="3" fillId="9" borderId="3" xfId="0" applyFont="1" applyFill="1" applyBorder="1" applyAlignment="1">
      <alignment horizontal="center" vertical="center" wrapText="1"/>
    </xf>
    <xf numFmtId="166" fontId="3" fillId="9" borderId="3" xfId="2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168" fontId="5" fillId="10" borderId="4" xfId="0" applyNumberFormat="1" applyFont="1" applyFill="1" applyBorder="1" applyAlignment="1">
      <alignment horizontal="center" vertical="center" wrapText="1"/>
    </xf>
    <xf numFmtId="168" fontId="5" fillId="9" borderId="4" xfId="0" applyNumberFormat="1" applyFont="1" applyFill="1" applyBorder="1" applyAlignment="1">
      <alignment horizontal="center" vertical="center" wrapText="1"/>
    </xf>
    <xf numFmtId="168" fontId="3" fillId="9" borderId="4" xfId="0" applyNumberFormat="1" applyFont="1" applyFill="1" applyBorder="1" applyAlignment="1">
      <alignment horizontal="center" vertical="center" wrapText="1"/>
    </xf>
    <xf numFmtId="166" fontId="4" fillId="0" borderId="2" xfId="2" applyFont="1" applyBorder="1"/>
    <xf numFmtId="168" fontId="4" fillId="0" borderId="2" xfId="2" applyNumberFormat="1" applyFont="1" applyBorder="1"/>
    <xf numFmtId="4" fontId="0" fillId="0" borderId="0" xfId="0" applyNumberFormat="1"/>
    <xf numFmtId="166" fontId="7" fillId="0" borderId="2" xfId="2" applyFont="1" applyBorder="1" applyAlignment="1">
      <alignment vertical="center"/>
    </xf>
    <xf numFmtId="168" fontId="5" fillId="4" borderId="2" xfId="0" applyNumberFormat="1" applyFont="1" applyFill="1" applyBorder="1" applyAlignment="1">
      <alignment horizontal="center" vertical="center" wrapText="1"/>
    </xf>
    <xf numFmtId="168" fontId="4" fillId="0" borderId="2" xfId="0" applyNumberFormat="1" applyFont="1" applyBorder="1"/>
    <xf numFmtId="168" fontId="5" fillId="4" borderId="2" xfId="2" applyNumberFormat="1" applyFont="1" applyFill="1" applyBorder="1" applyAlignment="1">
      <alignment horizontal="center" vertical="center" wrapText="1"/>
    </xf>
    <xf numFmtId="166" fontId="7" fillId="0" borderId="0" xfId="2" applyFont="1" applyBorder="1" applyAlignment="1">
      <alignment vertical="center"/>
    </xf>
    <xf numFmtId="168" fontId="4" fillId="7" borderId="2" xfId="2" applyNumberFormat="1" applyFont="1" applyFill="1" applyBorder="1" applyAlignment="1">
      <alignment vertical="center"/>
    </xf>
    <xf numFmtId="168" fontId="4" fillId="0" borderId="0" xfId="2" applyNumberFormat="1" applyFont="1"/>
    <xf numFmtId="168" fontId="5" fillId="0" borderId="4" xfId="0" applyNumberFormat="1" applyFont="1" applyFill="1" applyBorder="1" applyAlignment="1">
      <alignment horizontal="center" vertical="center" wrapText="1"/>
    </xf>
    <xf numFmtId="0" fontId="4" fillId="0" borderId="0" xfId="0" applyFont="1" applyBorder="1"/>
    <xf numFmtId="166" fontId="3" fillId="0" borderId="2" xfId="2" applyFont="1" applyFill="1" applyBorder="1" applyAlignment="1">
      <alignment horizontal="center" vertical="center" wrapText="1"/>
    </xf>
    <xf numFmtId="166" fontId="5" fillId="4" borderId="13" xfId="2" applyFont="1" applyFill="1" applyBorder="1" applyAlignment="1">
      <alignment horizontal="center" vertical="center" wrapText="1"/>
    </xf>
    <xf numFmtId="168" fontId="5" fillId="4" borderId="13" xfId="2" applyNumberFormat="1" applyFont="1" applyFill="1" applyBorder="1" applyAlignment="1">
      <alignment horizontal="center" vertical="center" wrapText="1"/>
    </xf>
    <xf numFmtId="166" fontId="4" fillId="0" borderId="0" xfId="0" applyNumberFormat="1" applyFont="1" applyBorder="1"/>
    <xf numFmtId="166" fontId="4" fillId="0" borderId="0" xfId="2" applyFont="1" applyBorder="1"/>
    <xf numFmtId="166" fontId="4" fillId="0" borderId="2" xfId="0" applyNumberFormat="1" applyFont="1" applyBorder="1"/>
    <xf numFmtId="166" fontId="4" fillId="0" borderId="0" xfId="0" applyNumberFormat="1" applyFont="1"/>
    <xf numFmtId="0" fontId="7" fillId="0" borderId="0" xfId="0" applyFont="1" applyFill="1"/>
    <xf numFmtId="0" fontId="2" fillId="0" borderId="0" xfId="0" applyFont="1" applyFill="1" applyAlignment="1">
      <alignment horizontal="center" wrapText="1"/>
    </xf>
    <xf numFmtId="168" fontId="4" fillId="0" borderId="0" xfId="0" applyNumberFormat="1" applyFont="1" applyFill="1"/>
    <xf numFmtId="168" fontId="4" fillId="0" borderId="0" xfId="2" applyNumberFormat="1" applyFont="1" applyFill="1"/>
    <xf numFmtId="168" fontId="5" fillId="0" borderId="12" xfId="4" applyNumberFormat="1" applyFont="1" applyFill="1" applyBorder="1" applyAlignment="1">
      <alignment horizontal="right" vertical="center" wrapText="1"/>
    </xf>
    <xf numFmtId="168" fontId="4" fillId="0" borderId="2" xfId="2" applyNumberFormat="1" applyFont="1" applyFill="1" applyBorder="1" applyAlignment="1">
      <alignment vertical="center"/>
    </xf>
    <xf numFmtId="166" fontId="7" fillId="0" borderId="2" xfId="2" applyFont="1" applyFill="1" applyBorder="1"/>
    <xf numFmtId="168" fontId="4" fillId="0" borderId="2" xfId="2" applyNumberFormat="1" applyFont="1" applyFill="1" applyBorder="1"/>
    <xf numFmtId="168" fontId="5" fillId="0" borderId="2" xfId="2" applyNumberFormat="1" applyFont="1" applyFill="1" applyBorder="1" applyAlignment="1">
      <alignment horizontal="center" vertical="center" wrapText="1"/>
    </xf>
    <xf numFmtId="9" fontId="5" fillId="0" borderId="2" xfId="5" applyFont="1" applyFill="1" applyBorder="1" applyAlignment="1">
      <alignment horizontal="center" vertical="center" wrapText="1"/>
    </xf>
    <xf numFmtId="166" fontId="5" fillId="0" borderId="2" xfId="2" applyFont="1" applyFill="1" applyBorder="1" applyAlignment="1">
      <alignment horizontal="center" vertical="center" wrapText="1"/>
    </xf>
    <xf numFmtId="0" fontId="4" fillId="0" borderId="2" xfId="0" applyFont="1" applyFill="1" applyBorder="1"/>
    <xf numFmtId="168" fontId="4" fillId="0" borderId="2" xfId="0" applyNumberFormat="1" applyFont="1" applyFill="1" applyBorder="1"/>
    <xf numFmtId="165" fontId="4" fillId="0" borderId="0" xfId="3" applyFont="1" applyFill="1"/>
    <xf numFmtId="168" fontId="4" fillId="0" borderId="0" xfId="0" applyNumberFormat="1" applyFont="1" applyFill="1" applyAlignment="1">
      <alignment horizontal="right"/>
    </xf>
    <xf numFmtId="166" fontId="7" fillId="0" borderId="2" xfId="2" applyFont="1" applyFill="1" applyBorder="1" applyAlignment="1">
      <alignment vertical="center"/>
    </xf>
    <xf numFmtId="166" fontId="7" fillId="0" borderId="0" xfId="2" applyFont="1" applyFill="1" applyBorder="1" applyAlignment="1">
      <alignment vertical="center"/>
    </xf>
    <xf numFmtId="168" fontId="5" fillId="0" borderId="2" xfId="4" applyNumberFormat="1" applyFont="1" applyFill="1" applyBorder="1" applyAlignment="1">
      <alignment horizontal="right" vertical="center" wrapText="1"/>
    </xf>
    <xf numFmtId="4" fontId="4" fillId="0" borderId="0" xfId="0" applyNumberFormat="1" applyFont="1"/>
    <xf numFmtId="0" fontId="5" fillId="0" borderId="5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center" wrapText="1"/>
    </xf>
    <xf numFmtId="0" fontId="8" fillId="0" borderId="0" xfId="0" applyFont="1" applyFill="1" applyAlignment="1">
      <alignment horizontal="center" wrapText="1"/>
    </xf>
    <xf numFmtId="0" fontId="3" fillId="0" borderId="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left" vertical="top" wrapText="1"/>
    </xf>
    <xf numFmtId="0" fontId="5" fillId="5" borderId="6" xfId="0" applyFont="1" applyFill="1" applyBorder="1" applyAlignment="1">
      <alignment horizontal="left" vertical="top" wrapText="1"/>
    </xf>
    <xf numFmtId="0" fontId="5" fillId="5" borderId="8" xfId="0" applyFont="1" applyFill="1" applyBorder="1" applyAlignment="1">
      <alignment horizontal="left" vertical="top" wrapText="1"/>
    </xf>
    <xf numFmtId="0" fontId="5" fillId="5" borderId="11" xfId="0" applyFont="1" applyFill="1" applyBorder="1" applyAlignment="1">
      <alignment horizontal="left" vertical="top" wrapText="1"/>
    </xf>
    <xf numFmtId="0" fontId="6" fillId="7" borderId="0" xfId="0" applyFont="1" applyFill="1" applyAlignment="1">
      <alignment horizontal="center" vertical="top" wrapText="1"/>
    </xf>
    <xf numFmtId="0" fontId="6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5" fillId="0" borderId="8" xfId="0" applyFont="1" applyFill="1" applyBorder="1" applyAlignment="1">
      <alignment horizontal="left" vertical="top" wrapText="1"/>
    </xf>
    <xf numFmtId="0" fontId="5" fillId="0" borderId="11" xfId="0" applyFont="1" applyFill="1" applyBorder="1" applyAlignment="1">
      <alignment horizontal="left" vertical="top" wrapText="1"/>
    </xf>
    <xf numFmtId="0" fontId="7" fillId="0" borderId="0" xfId="0" applyFont="1" applyBorder="1" applyAlignment="1">
      <alignment horizontal="center" wrapText="1"/>
    </xf>
  </cellXfs>
  <cellStyles count="6">
    <cellStyle name="Millares" xfId="2" builtinId="3"/>
    <cellStyle name="Millares 2" xfId="1"/>
    <cellStyle name="Moneda" xfId="3" builtinId="4"/>
    <cellStyle name="Moneda [0]" xfId="4" builtinId="7"/>
    <cellStyle name="Normal" xfId="0" builtinId="0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V22"/>
  <sheetViews>
    <sheetView zoomScale="80" zoomScaleNormal="80" workbookViewId="0">
      <selection activeCell="A11" sqref="A1:XFD1048576"/>
    </sheetView>
  </sheetViews>
  <sheetFormatPr baseColWidth="10" defaultRowHeight="11.25" x14ac:dyDescent="0.2"/>
  <cols>
    <col min="1" max="1" width="11.42578125" style="1"/>
    <col min="2" max="2" width="5.28515625" style="1" customWidth="1"/>
    <col min="3" max="8" width="11.42578125" style="1"/>
    <col min="9" max="9" width="11.42578125" style="1" customWidth="1"/>
    <col min="10" max="10" width="4.42578125" style="1" customWidth="1"/>
    <col min="11" max="14" width="11.42578125" style="1" hidden="1" customWidth="1"/>
    <col min="15" max="17" width="0" style="1" hidden="1" customWidth="1"/>
    <col min="18" max="18" width="2.140625" style="1" hidden="1" customWidth="1"/>
    <col min="19" max="19" width="12.140625" style="32" hidden="1" customWidth="1"/>
    <col min="20" max="22" width="0" style="1" hidden="1" customWidth="1"/>
    <col min="23" max="23" width="5.140625" style="1" hidden="1" customWidth="1"/>
    <col min="24" max="24" width="0" style="32" hidden="1" customWidth="1"/>
    <col min="25" max="27" width="0" style="1" hidden="1" customWidth="1"/>
    <col min="28" max="28" width="0" style="32" hidden="1" customWidth="1"/>
    <col min="29" max="29" width="12.140625" style="32" hidden="1" customWidth="1"/>
    <col min="30" max="30" width="3" style="1" hidden="1" customWidth="1"/>
    <col min="31" max="31" width="12.140625" style="32" hidden="1" customWidth="1"/>
    <col min="32" max="32" width="4.85546875" style="1" hidden="1" customWidth="1"/>
    <col min="33" max="33" width="12.140625" style="1" hidden="1" customWidth="1"/>
    <col min="34" max="34" width="5.42578125" style="1" hidden="1" customWidth="1"/>
    <col min="35" max="35" width="0" style="1" hidden="1" customWidth="1"/>
    <col min="36" max="36" width="5.85546875" style="1" hidden="1" customWidth="1"/>
    <col min="37" max="37" width="0" style="1" hidden="1" customWidth="1"/>
    <col min="38" max="38" width="5.85546875" style="1" hidden="1" customWidth="1"/>
    <col min="39" max="39" width="0" style="1" hidden="1" customWidth="1"/>
    <col min="40" max="40" width="6.85546875" style="1" hidden="1" customWidth="1"/>
    <col min="41" max="42" width="11.42578125" style="1"/>
    <col min="43" max="44" width="0" style="1" hidden="1" customWidth="1"/>
    <col min="45" max="45" width="16.5703125" style="1" customWidth="1"/>
    <col min="46" max="46" width="11.42578125" style="1"/>
    <col min="47" max="49" width="0" style="1" hidden="1" customWidth="1"/>
    <col min="50" max="51" width="11.42578125" style="1"/>
    <col min="52" max="53" width="0" style="1" hidden="1" customWidth="1"/>
    <col min="54" max="54" width="14" style="1" customWidth="1"/>
    <col min="55" max="58" width="11.42578125" style="1"/>
    <col min="59" max="60" width="0" style="1" hidden="1" customWidth="1"/>
    <col min="61" max="62" width="11.42578125" style="1"/>
    <col min="63" max="63" width="13.5703125" style="1" hidden="1" customWidth="1"/>
    <col min="64" max="67" width="12.140625" style="1" hidden="1" customWidth="1"/>
    <col min="68" max="69" width="0" style="1" hidden="1" customWidth="1"/>
    <col min="70" max="70" width="12.140625" style="73" hidden="1" customWidth="1"/>
    <col min="71" max="71" width="0" style="27" hidden="1" customWidth="1"/>
    <col min="72" max="72" width="0" style="1" hidden="1" customWidth="1"/>
    <col min="73" max="73" width="12.85546875" style="1" hidden="1" customWidth="1"/>
    <col min="74" max="74" width="0" style="1" hidden="1" customWidth="1"/>
    <col min="75" max="16384" width="11.42578125" style="1"/>
  </cols>
  <sheetData>
    <row r="1" spans="2:74" s="27" customFormat="1" ht="27.75" customHeight="1" x14ac:dyDescent="0.25">
      <c r="B1" s="104"/>
      <c r="C1" s="104"/>
      <c r="D1" s="104"/>
      <c r="E1" s="104"/>
      <c r="F1" s="104"/>
      <c r="G1" s="104"/>
      <c r="H1" s="104"/>
      <c r="I1" s="104"/>
      <c r="J1" s="83"/>
      <c r="K1" s="105"/>
      <c r="L1" s="106"/>
      <c r="M1" s="106"/>
      <c r="N1" s="106"/>
      <c r="O1" s="106"/>
      <c r="P1" s="84"/>
      <c r="Q1" s="84"/>
      <c r="S1" s="85"/>
      <c r="X1" s="85"/>
      <c r="AB1" s="85"/>
      <c r="AC1" s="85"/>
      <c r="AE1" s="85"/>
      <c r="BR1" s="86"/>
    </row>
    <row r="2" spans="2:74" ht="15" x14ac:dyDescent="0.25">
      <c r="B2" s="107" t="s">
        <v>89</v>
      </c>
      <c r="C2" s="107"/>
      <c r="D2" s="107"/>
      <c r="E2" s="107"/>
      <c r="F2" s="107"/>
      <c r="G2" s="107"/>
      <c r="H2" s="107"/>
      <c r="I2" s="107"/>
      <c r="X2" s="1"/>
      <c r="AB2" s="1"/>
      <c r="AC2" s="1"/>
      <c r="AE2" s="1"/>
      <c r="AP2" s="66"/>
      <c r="AQ2" s="23"/>
      <c r="BR2" s="1"/>
      <c r="BS2" s="1"/>
    </row>
    <row r="3" spans="2:74" ht="22.5" customHeight="1" x14ac:dyDescent="0.25">
      <c r="B3" s="108" t="s">
        <v>13</v>
      </c>
      <c r="C3" s="109"/>
      <c r="D3" s="109"/>
      <c r="E3" s="109"/>
      <c r="F3" s="109"/>
      <c r="G3" s="109"/>
      <c r="H3" s="109"/>
      <c r="I3" s="109"/>
      <c r="K3" s="28"/>
      <c r="L3" s="27"/>
      <c r="M3" s="27"/>
      <c r="N3" s="27"/>
      <c r="O3" s="27"/>
      <c r="P3" s="27"/>
      <c r="Q3" s="27"/>
      <c r="X3" s="1"/>
      <c r="AB3" s="1"/>
      <c r="AC3" s="1"/>
      <c r="AE3" s="1"/>
      <c r="BR3" s="1"/>
      <c r="BS3" s="1"/>
    </row>
    <row r="4" spans="2:74" ht="67.5" x14ac:dyDescent="0.2">
      <c r="B4" s="3" t="s">
        <v>3</v>
      </c>
      <c r="C4" s="4" t="s">
        <v>4</v>
      </c>
      <c r="D4" s="4" t="s">
        <v>5</v>
      </c>
      <c r="E4" s="5" t="s">
        <v>1</v>
      </c>
      <c r="F4" s="6" t="s">
        <v>2</v>
      </c>
      <c r="G4" s="6" t="s">
        <v>11</v>
      </c>
      <c r="H4" s="7" t="s">
        <v>18</v>
      </c>
      <c r="I4" s="8" t="s">
        <v>16</v>
      </c>
      <c r="K4" s="9" t="s">
        <v>17</v>
      </c>
      <c r="L4" s="9" t="s">
        <v>42</v>
      </c>
      <c r="M4" s="9" t="s">
        <v>36</v>
      </c>
      <c r="N4" s="9" t="s">
        <v>37</v>
      </c>
      <c r="O4" s="9" t="s">
        <v>38</v>
      </c>
      <c r="P4" s="9" t="s">
        <v>44</v>
      </c>
      <c r="Q4" s="9" t="s">
        <v>43</v>
      </c>
      <c r="S4" s="33" t="s">
        <v>45</v>
      </c>
      <c r="T4" s="9" t="s">
        <v>36</v>
      </c>
      <c r="U4" s="9" t="s">
        <v>37</v>
      </c>
      <c r="V4" s="9" t="s">
        <v>38</v>
      </c>
      <c r="X4" s="9" t="s">
        <v>46</v>
      </c>
      <c r="Y4" s="9" t="s">
        <v>36</v>
      </c>
      <c r="Z4" s="37" t="s">
        <v>37</v>
      </c>
      <c r="AA4" s="37" t="s">
        <v>38</v>
      </c>
      <c r="AB4" s="9" t="s">
        <v>44</v>
      </c>
      <c r="AC4" s="9" t="s">
        <v>47</v>
      </c>
      <c r="AE4" s="31" t="s">
        <v>48</v>
      </c>
      <c r="AG4" s="9" t="s">
        <v>49</v>
      </c>
      <c r="AI4" s="46" t="s">
        <v>50</v>
      </c>
      <c r="AK4" s="9" t="s">
        <v>51</v>
      </c>
      <c r="AL4" s="47"/>
      <c r="AM4" s="46" t="s">
        <v>52</v>
      </c>
      <c r="AO4" s="57" t="s">
        <v>53</v>
      </c>
      <c r="AP4" s="58" t="s">
        <v>54</v>
      </c>
      <c r="AQ4" s="58" t="s">
        <v>55</v>
      </c>
      <c r="AR4" s="58" t="s">
        <v>56</v>
      </c>
      <c r="AS4" s="58" t="s">
        <v>57</v>
      </c>
      <c r="AT4" s="57" t="s">
        <v>58</v>
      </c>
      <c r="AU4" s="59" t="s">
        <v>59</v>
      </c>
      <c r="AV4" s="58" t="s">
        <v>55</v>
      </c>
      <c r="AW4" s="58" t="s">
        <v>60</v>
      </c>
      <c r="AX4" s="58" t="s">
        <v>61</v>
      </c>
      <c r="AY4" s="57" t="s">
        <v>62</v>
      </c>
      <c r="AZ4" s="58" t="s">
        <v>55</v>
      </c>
      <c r="BA4" s="58" t="s">
        <v>56</v>
      </c>
      <c r="BB4" s="58" t="s">
        <v>78</v>
      </c>
      <c r="BC4" s="57" t="s">
        <v>63</v>
      </c>
      <c r="BD4" s="57" t="s">
        <v>64</v>
      </c>
      <c r="BE4" s="57" t="s">
        <v>65</v>
      </c>
      <c r="BF4" s="60" t="s">
        <v>66</v>
      </c>
      <c r="BG4" s="58" t="s">
        <v>55</v>
      </c>
      <c r="BH4" s="58" t="s">
        <v>56</v>
      </c>
      <c r="BI4" s="58" t="s">
        <v>79</v>
      </c>
      <c r="BJ4" s="61" t="s">
        <v>67</v>
      </c>
      <c r="BK4" s="62" t="s">
        <v>68</v>
      </c>
      <c r="BL4" s="62" t="s">
        <v>69</v>
      </c>
      <c r="BM4" s="62" t="s">
        <v>70</v>
      </c>
      <c r="BN4" s="62" t="s">
        <v>82</v>
      </c>
      <c r="BO4" s="62" t="s">
        <v>71</v>
      </c>
      <c r="BP4" s="62" t="s">
        <v>72</v>
      </c>
      <c r="BQ4" s="60" t="s">
        <v>73</v>
      </c>
      <c r="BR4" s="63" t="s">
        <v>74</v>
      </c>
      <c r="BS4" s="60" t="s">
        <v>75</v>
      </c>
      <c r="BT4" s="63" t="s">
        <v>76</v>
      </c>
      <c r="BU4" s="63" t="s">
        <v>83</v>
      </c>
    </row>
    <row r="5" spans="2:74" ht="33.75" x14ac:dyDescent="0.2">
      <c r="B5" s="10">
        <v>1</v>
      </c>
      <c r="C5" s="10">
        <v>8714500</v>
      </c>
      <c r="D5" s="11" t="s">
        <v>19</v>
      </c>
      <c r="E5" s="12" t="s">
        <v>6</v>
      </c>
      <c r="F5" s="10" t="s">
        <v>0</v>
      </c>
      <c r="G5" s="13">
        <v>4721</v>
      </c>
      <c r="H5" s="10" t="s">
        <v>20</v>
      </c>
      <c r="I5" s="10">
        <v>1</v>
      </c>
      <c r="K5" s="10"/>
      <c r="L5" s="10" t="s">
        <v>41</v>
      </c>
      <c r="M5" s="10"/>
      <c r="N5" s="10"/>
      <c r="O5" s="10"/>
      <c r="P5" s="10">
        <v>3646.61</v>
      </c>
      <c r="Q5" s="10" t="s">
        <v>41</v>
      </c>
      <c r="S5" s="53">
        <v>15750000</v>
      </c>
      <c r="T5" s="10"/>
      <c r="U5" s="30">
        <f>+S5</f>
        <v>15750000</v>
      </c>
      <c r="V5" s="10"/>
      <c r="X5" s="41">
        <v>2000</v>
      </c>
      <c r="Y5" s="10" t="s">
        <v>12</v>
      </c>
      <c r="Z5" s="38">
        <v>2000</v>
      </c>
      <c r="AA5" s="38">
        <v>2000</v>
      </c>
      <c r="AB5" s="42">
        <v>3646.61</v>
      </c>
      <c r="AC5" s="54">
        <f>+X5*AB5</f>
        <v>7293220</v>
      </c>
      <c r="AE5" s="10" t="s">
        <v>41</v>
      </c>
      <c r="AG5" s="55">
        <v>15580000</v>
      </c>
      <c r="AI5" s="10" t="s">
        <v>41</v>
      </c>
      <c r="AK5" s="18" t="s">
        <v>41</v>
      </c>
      <c r="AM5" s="18" t="s">
        <v>41</v>
      </c>
      <c r="AO5" s="2"/>
      <c r="AP5" s="50">
        <v>3000000</v>
      </c>
      <c r="AQ5" s="50">
        <v>106.58</v>
      </c>
      <c r="AR5" s="50">
        <v>99.3</v>
      </c>
      <c r="AS5" s="72">
        <f>+AP5*(AQ5/AR5)</f>
        <v>3219939.5770392749</v>
      </c>
      <c r="AT5" s="68"/>
      <c r="AU5" s="2"/>
      <c r="AV5" s="49">
        <v>106.58</v>
      </c>
      <c r="AW5" s="49">
        <v>103.43</v>
      </c>
      <c r="AX5" s="65"/>
      <c r="AY5" s="68"/>
      <c r="AZ5" s="50">
        <v>106.58</v>
      </c>
      <c r="BA5" s="50">
        <v>103.43</v>
      </c>
      <c r="BB5" s="72"/>
      <c r="BC5" s="68"/>
      <c r="BD5" s="68"/>
      <c r="BE5" s="68"/>
      <c r="BF5" s="50">
        <v>6500000</v>
      </c>
      <c r="BG5" s="50">
        <v>106.58</v>
      </c>
      <c r="BH5" s="50">
        <v>105.23</v>
      </c>
      <c r="BI5" s="72">
        <f>+BF5*(BG5/BH5)</f>
        <v>6583388.7674617497</v>
      </c>
      <c r="BJ5" s="50">
        <f>+BI5</f>
        <v>6583388.7674617497</v>
      </c>
      <c r="BK5" s="70">
        <f>+MIN(S5,AC5,AG5,BJ5)</f>
        <v>6583388.7674617497</v>
      </c>
      <c r="BL5" s="70">
        <f>+AVERAGE(S5,AC5,AG5,BJ5)</f>
        <v>11301652.191865437</v>
      </c>
      <c r="BM5" s="70">
        <f>+GEOMEAN(S5,AC5,AG5,BJ5)</f>
        <v>10418476.272098808</v>
      </c>
      <c r="BN5" s="70">
        <f>+AVERAGE(BK5,BM5)</f>
        <v>8500932.5197802782</v>
      </c>
      <c r="BO5" s="70">
        <f>+MEDIAN(S5,AC5,AG5,BJ5)</f>
        <v>11436610</v>
      </c>
      <c r="BP5" s="70">
        <f>+_xlfn.STDEV.S(S5,AC5,AG5,BJ5)</f>
        <v>5047164.1069797529</v>
      </c>
      <c r="BQ5" s="52">
        <f>+BP5/BO5</f>
        <v>0.44131644840383233</v>
      </c>
      <c r="BR5" s="70">
        <f>+BK5</f>
        <v>6583388.7674617497</v>
      </c>
      <c r="BS5" s="2" t="s">
        <v>77</v>
      </c>
      <c r="BT5" s="51">
        <f>+BR5*19%</f>
        <v>1250843.8658177324</v>
      </c>
      <c r="BU5" s="70">
        <f>+BR5</f>
        <v>6583388.7674617497</v>
      </c>
    </row>
    <row r="6" spans="2:74" ht="33.75" x14ac:dyDescent="0.2">
      <c r="B6" s="10">
        <v>2</v>
      </c>
      <c r="C6" s="10">
        <v>8714500</v>
      </c>
      <c r="D6" s="11" t="s">
        <v>21</v>
      </c>
      <c r="E6" s="10" t="s">
        <v>22</v>
      </c>
      <c r="F6" s="10" t="s">
        <v>0</v>
      </c>
      <c r="G6" s="13" t="s">
        <v>23</v>
      </c>
      <c r="H6" s="10" t="s">
        <v>24</v>
      </c>
      <c r="I6" s="10">
        <v>1</v>
      </c>
      <c r="K6" s="10"/>
      <c r="L6" s="10" t="s">
        <v>41</v>
      </c>
      <c r="M6" s="10"/>
      <c r="N6" s="10"/>
      <c r="O6" s="10"/>
      <c r="P6" s="10">
        <v>3646.61</v>
      </c>
      <c r="Q6" s="10" t="s">
        <v>41</v>
      </c>
      <c r="S6" s="53">
        <v>6000000</v>
      </c>
      <c r="T6" s="10"/>
      <c r="U6" s="30">
        <f>+S6</f>
        <v>6000000</v>
      </c>
      <c r="V6" s="10"/>
      <c r="X6" s="41">
        <v>3650</v>
      </c>
      <c r="Y6" s="10" t="s">
        <v>12</v>
      </c>
      <c r="Z6" s="38">
        <v>3650</v>
      </c>
      <c r="AA6" s="38">
        <v>3650</v>
      </c>
      <c r="AB6" s="42">
        <v>3646.61</v>
      </c>
      <c r="AC6" s="54">
        <f>+X6*AB6</f>
        <v>13310126.5</v>
      </c>
      <c r="AE6" s="10" t="s">
        <v>41</v>
      </c>
      <c r="AG6" s="55">
        <v>790000</v>
      </c>
      <c r="AI6" s="10" t="s">
        <v>41</v>
      </c>
      <c r="AK6" s="18" t="s">
        <v>41</v>
      </c>
      <c r="AM6" s="18" t="s">
        <v>41</v>
      </c>
      <c r="AO6" s="20"/>
      <c r="AP6" s="50">
        <v>2200000</v>
      </c>
      <c r="AQ6" s="50">
        <v>106.58</v>
      </c>
      <c r="AR6" s="50">
        <v>99.3</v>
      </c>
      <c r="AS6" s="72">
        <f>+AP6*(AQ6/AR6)</f>
        <v>2361289.0231621349</v>
      </c>
      <c r="AT6" s="69"/>
      <c r="AU6" s="20"/>
      <c r="AV6" s="20"/>
      <c r="AW6" s="20"/>
      <c r="AX6" s="69"/>
      <c r="AY6" s="65">
        <v>1776000</v>
      </c>
      <c r="AZ6" s="50">
        <v>106.58</v>
      </c>
      <c r="BA6" s="50">
        <v>103.43</v>
      </c>
      <c r="BB6" s="72">
        <f>+AY6*(AZ6/BA6)</f>
        <v>1830088.7556801699</v>
      </c>
      <c r="BC6" s="69"/>
      <c r="BD6" s="69"/>
      <c r="BE6" s="69"/>
      <c r="BF6" s="50">
        <v>823600</v>
      </c>
      <c r="BG6" s="50">
        <v>106.58</v>
      </c>
      <c r="BH6" s="50">
        <v>105.23</v>
      </c>
      <c r="BI6" s="72">
        <f>+BF6*(BG6/BH6)</f>
        <v>834165.99828946101</v>
      </c>
      <c r="BJ6" s="50">
        <f>+BI6</f>
        <v>834165.99828946101</v>
      </c>
      <c r="BK6" s="70">
        <f>+MIN(S6,AC6,AG6,BJ6)</f>
        <v>790000</v>
      </c>
      <c r="BL6" s="70">
        <f>+AVERAGE(AG6,BJ6)</f>
        <v>812082.99914473051</v>
      </c>
      <c r="BM6" s="70">
        <f>+GEOMEAN(AG6,BJ6)</f>
        <v>811782.69176465832</v>
      </c>
      <c r="BN6" s="70">
        <f>+AVERAGE(BK6,BM6)</f>
        <v>800891.34588232916</v>
      </c>
      <c r="BO6" s="70">
        <f>+MEDIAN(AG6,BJ6)</f>
        <v>812082.99914473051</v>
      </c>
      <c r="BP6" s="70">
        <f>+_xlfn.STDEV.S(AG6,BJ6)</f>
        <v>31230.076888351341</v>
      </c>
      <c r="BQ6" s="52">
        <f>+BP6/BO6</f>
        <v>3.845675493914074E-2</v>
      </c>
      <c r="BR6" s="68">
        <f>+BJ6</f>
        <v>834165.99828946101</v>
      </c>
      <c r="BS6" s="2" t="s">
        <v>81</v>
      </c>
      <c r="BT6" s="51">
        <f>+BR6*19%</f>
        <v>158491.53967499759</v>
      </c>
      <c r="BU6" s="70">
        <f>+BR6</f>
        <v>834165.99828946101</v>
      </c>
      <c r="BV6" s="1" t="s">
        <v>80</v>
      </c>
    </row>
    <row r="7" spans="2:74" x14ac:dyDescent="0.2">
      <c r="B7" s="108" t="s">
        <v>14</v>
      </c>
      <c r="C7" s="109"/>
      <c r="D7" s="109"/>
      <c r="E7" s="109"/>
      <c r="F7" s="109"/>
      <c r="G7" s="109"/>
      <c r="H7" s="109"/>
      <c r="I7" s="109"/>
      <c r="P7" s="10"/>
      <c r="X7" s="39"/>
      <c r="Z7" s="39"/>
      <c r="AA7" s="39"/>
      <c r="AB7" s="10"/>
      <c r="AC7" s="39"/>
      <c r="AE7" s="1"/>
      <c r="AG7" s="43"/>
      <c r="BF7" s="67"/>
      <c r="BG7" s="71"/>
      <c r="BH7" s="71"/>
      <c r="BI7" s="71"/>
      <c r="BR7" s="1"/>
      <c r="BS7" s="1"/>
    </row>
    <row r="8" spans="2:74" ht="56.25" x14ac:dyDescent="0.2">
      <c r="B8" s="10">
        <v>1</v>
      </c>
      <c r="C8" s="10">
        <v>8714500</v>
      </c>
      <c r="D8" s="11" t="s">
        <v>25</v>
      </c>
      <c r="E8" s="10" t="s">
        <v>9</v>
      </c>
      <c r="F8" s="10" t="s">
        <v>0</v>
      </c>
      <c r="G8" s="14" t="s">
        <v>26</v>
      </c>
      <c r="H8" s="10" t="s">
        <v>24</v>
      </c>
      <c r="I8" s="10">
        <v>1</v>
      </c>
      <c r="K8" s="10"/>
      <c r="L8" s="10" t="s">
        <v>41</v>
      </c>
      <c r="M8" s="10"/>
      <c r="N8" s="10"/>
      <c r="O8" s="10"/>
      <c r="P8" s="10">
        <v>3646.61</v>
      </c>
      <c r="Q8" s="10" t="s">
        <v>41</v>
      </c>
      <c r="S8" s="53">
        <v>6000000</v>
      </c>
      <c r="T8" s="10"/>
      <c r="U8" s="30">
        <f>+S8</f>
        <v>6000000</v>
      </c>
      <c r="V8" s="10"/>
      <c r="X8" s="41">
        <v>3500</v>
      </c>
      <c r="Y8" s="10" t="s">
        <v>12</v>
      </c>
      <c r="Z8" s="38">
        <v>3500</v>
      </c>
      <c r="AA8" s="38">
        <v>3500</v>
      </c>
      <c r="AB8" s="42">
        <v>3646.61</v>
      </c>
      <c r="AC8" s="54">
        <f>+X8*AB8</f>
        <v>12763135</v>
      </c>
      <c r="AE8" s="10" t="s">
        <v>41</v>
      </c>
      <c r="AG8" s="56">
        <v>790000</v>
      </c>
      <c r="AI8" s="10" t="s">
        <v>41</v>
      </c>
      <c r="AK8" s="18" t="s">
        <v>41</v>
      </c>
      <c r="AM8" s="18" t="s">
        <v>41</v>
      </c>
      <c r="AO8" s="20"/>
      <c r="AP8" s="69"/>
      <c r="AQ8" s="50">
        <v>106.58</v>
      </c>
      <c r="AR8" s="50">
        <v>99.3</v>
      </c>
      <c r="AS8" s="72"/>
      <c r="AT8" s="69"/>
      <c r="AU8" s="20"/>
      <c r="AV8" s="20"/>
      <c r="AW8" s="20"/>
      <c r="AX8" s="69"/>
      <c r="AY8" s="69"/>
      <c r="AZ8" s="50">
        <v>106.58</v>
      </c>
      <c r="BA8" s="50">
        <v>103.43</v>
      </c>
      <c r="BB8" s="72"/>
      <c r="BC8" s="69"/>
      <c r="BD8" s="69"/>
      <c r="BE8" s="69"/>
      <c r="BF8" s="50"/>
      <c r="BG8" s="50">
        <v>106.58</v>
      </c>
      <c r="BH8" s="50">
        <v>105.23</v>
      </c>
      <c r="BI8" s="72"/>
      <c r="BJ8" s="69"/>
      <c r="BK8" s="70">
        <f>+MIN(S8,AG8)</f>
        <v>790000</v>
      </c>
      <c r="BL8" s="70">
        <f>+AVERAGE(S8,AG8)</f>
        <v>3395000</v>
      </c>
      <c r="BM8" s="70">
        <f>+GEOMEAN(S8,AG8)</f>
        <v>2177154.1057077241</v>
      </c>
      <c r="BN8" s="70">
        <f>+AVERAGE(BK8,BM8)</f>
        <v>1483577.0528538621</v>
      </c>
      <c r="BO8" s="70">
        <f>+MEDIAN(S8,AG8)</f>
        <v>3395000</v>
      </c>
      <c r="BP8" s="70">
        <f>+_xlfn.STDEV.S(S8,AG8)</f>
        <v>3684026.3299819124</v>
      </c>
      <c r="BQ8" s="52">
        <f>+BP8/BO8</f>
        <v>1.0851329396117562</v>
      </c>
      <c r="BR8" s="68">
        <f>+BN8</f>
        <v>1483577.0528538621</v>
      </c>
      <c r="BS8" s="74" t="s">
        <v>82</v>
      </c>
      <c r="BT8" s="51">
        <f>+BR8*19%</f>
        <v>281879.6400422338</v>
      </c>
      <c r="BU8" s="70">
        <f>+BR8</f>
        <v>1483577.0528538621</v>
      </c>
    </row>
    <row r="9" spans="2:74" x14ac:dyDescent="0.2">
      <c r="B9" s="110" t="s">
        <v>15</v>
      </c>
      <c r="C9" s="111"/>
      <c r="D9" s="111"/>
      <c r="E9" s="111"/>
      <c r="F9" s="111"/>
      <c r="G9" s="111"/>
      <c r="H9" s="111"/>
      <c r="I9" s="111"/>
      <c r="P9" s="10"/>
      <c r="X9" s="39"/>
      <c r="Z9" s="39"/>
      <c r="AA9" s="39"/>
      <c r="AB9" s="10"/>
      <c r="AC9" s="39"/>
      <c r="AE9" s="1"/>
      <c r="AG9" s="43"/>
      <c r="BF9" s="67"/>
      <c r="BG9" s="71"/>
      <c r="BH9" s="71"/>
      <c r="BI9" s="71"/>
      <c r="BR9" s="1"/>
      <c r="BS9" s="1"/>
    </row>
    <row r="10" spans="2:74" ht="56.25" x14ac:dyDescent="0.2">
      <c r="B10" s="10">
        <v>1</v>
      </c>
      <c r="C10" s="15">
        <v>8714500</v>
      </c>
      <c r="D10" s="11" t="s">
        <v>25</v>
      </c>
      <c r="E10" s="10" t="s">
        <v>9</v>
      </c>
      <c r="F10" s="10" t="s">
        <v>0</v>
      </c>
      <c r="G10" s="14" t="s">
        <v>27</v>
      </c>
      <c r="H10" s="10" t="s">
        <v>24</v>
      </c>
      <c r="I10" s="10">
        <v>1</v>
      </c>
      <c r="K10" s="10"/>
      <c r="L10" s="10" t="s">
        <v>41</v>
      </c>
      <c r="M10" s="10"/>
      <c r="N10" s="10"/>
      <c r="O10" s="10"/>
      <c r="P10" s="10">
        <v>3646.61</v>
      </c>
      <c r="Q10" s="10" t="s">
        <v>41</v>
      </c>
      <c r="S10" s="53">
        <v>6000000</v>
      </c>
      <c r="T10" s="10"/>
      <c r="U10" s="30">
        <f>+S10</f>
        <v>6000000</v>
      </c>
      <c r="V10" s="10"/>
      <c r="X10" s="41">
        <v>3500</v>
      </c>
      <c r="Y10" s="10" t="s">
        <v>12</v>
      </c>
      <c r="Z10" s="38">
        <v>3500</v>
      </c>
      <c r="AA10" s="38">
        <v>3500</v>
      </c>
      <c r="AB10" s="42">
        <v>3646.61</v>
      </c>
      <c r="AC10" s="54">
        <f t="shared" ref="AC10:AC12" si="0">+X10*AB10</f>
        <v>12763135</v>
      </c>
      <c r="AE10" s="10" t="s">
        <v>41</v>
      </c>
      <c r="AG10" s="56">
        <v>790000</v>
      </c>
      <c r="AI10" s="10" t="s">
        <v>41</v>
      </c>
      <c r="AK10" s="18" t="s">
        <v>41</v>
      </c>
      <c r="AM10" s="18" t="s">
        <v>41</v>
      </c>
      <c r="AO10" s="20"/>
      <c r="AP10" s="69"/>
      <c r="AQ10" s="50">
        <v>106.58</v>
      </c>
      <c r="AR10" s="50">
        <v>99.3</v>
      </c>
      <c r="AS10" s="72"/>
      <c r="AT10" s="69"/>
      <c r="AU10" s="20"/>
      <c r="AV10" s="20"/>
      <c r="AW10" s="20"/>
      <c r="AX10" s="69"/>
      <c r="AY10" s="69"/>
      <c r="AZ10" s="50">
        <v>106.58</v>
      </c>
      <c r="BA10" s="50">
        <v>103.43</v>
      </c>
      <c r="BB10" s="72"/>
      <c r="BC10" s="69"/>
      <c r="BD10" s="69"/>
      <c r="BE10" s="69"/>
      <c r="BF10" s="50"/>
      <c r="BG10" s="50">
        <v>106.58</v>
      </c>
      <c r="BH10" s="50">
        <v>105.23</v>
      </c>
      <c r="BI10" s="72"/>
      <c r="BJ10" s="69"/>
      <c r="BK10" s="70">
        <f>+MIN(S10,AG10)</f>
        <v>790000</v>
      </c>
      <c r="BL10" s="70">
        <f>+AVERAGE(S10,AG10)</f>
        <v>3395000</v>
      </c>
      <c r="BM10" s="70">
        <f>+GEOMEAN(S10,AG10)</f>
        <v>2177154.1057077241</v>
      </c>
      <c r="BN10" s="70">
        <f t="shared" ref="BN10:BN12" si="1">+AVERAGE(BK10,BM10)</f>
        <v>1483577.0528538621</v>
      </c>
      <c r="BO10" s="70">
        <f>+MEDIAN(S10,AG10)</f>
        <v>3395000</v>
      </c>
      <c r="BP10" s="70">
        <f>+_xlfn.STDEV.S(S10,AG10)</f>
        <v>3684026.3299819124</v>
      </c>
      <c r="BQ10" s="52">
        <f>+BP10/BO10</f>
        <v>1.0851329396117562</v>
      </c>
      <c r="BR10" s="68">
        <f>+BN10</f>
        <v>1483577.0528538621</v>
      </c>
      <c r="BS10" s="74" t="s">
        <v>82</v>
      </c>
      <c r="BT10" s="51">
        <f t="shared" ref="BT10:BT12" si="2">+BR10*19%</f>
        <v>281879.6400422338</v>
      </c>
      <c r="BU10" s="70">
        <f t="shared" ref="BU10:BU12" si="3">+BR10</f>
        <v>1483577.0528538621</v>
      </c>
    </row>
    <row r="11" spans="2:74" ht="56.25" x14ac:dyDescent="0.2">
      <c r="B11" s="10">
        <v>2</v>
      </c>
      <c r="C11" s="15">
        <v>8714500</v>
      </c>
      <c r="D11" s="11" t="s">
        <v>21</v>
      </c>
      <c r="E11" s="10" t="s">
        <v>8</v>
      </c>
      <c r="F11" s="10" t="s">
        <v>0</v>
      </c>
      <c r="G11" s="14" t="s">
        <v>28</v>
      </c>
      <c r="H11" s="10" t="s">
        <v>29</v>
      </c>
      <c r="I11" s="10">
        <v>1</v>
      </c>
      <c r="K11" s="10"/>
      <c r="L11" s="10" t="s">
        <v>41</v>
      </c>
      <c r="M11" s="10"/>
      <c r="N11" s="10"/>
      <c r="O11" s="10"/>
      <c r="P11" s="10">
        <v>3646.61</v>
      </c>
      <c r="Q11" s="10" t="s">
        <v>41</v>
      </c>
      <c r="S11" s="53">
        <v>15750000</v>
      </c>
      <c r="T11" s="10"/>
      <c r="U11" s="30">
        <f>+S11</f>
        <v>15750000</v>
      </c>
      <c r="V11" s="10"/>
      <c r="X11" s="41">
        <v>3500</v>
      </c>
      <c r="Y11" s="10" t="s">
        <v>12</v>
      </c>
      <c r="Z11" s="38">
        <v>3500</v>
      </c>
      <c r="AA11" s="38">
        <v>3500</v>
      </c>
      <c r="AB11" s="42">
        <v>3646.61</v>
      </c>
      <c r="AC11" s="54">
        <f t="shared" si="0"/>
        <v>12763135</v>
      </c>
      <c r="AE11" s="10" t="s">
        <v>41</v>
      </c>
      <c r="AG11" s="56">
        <v>16180000</v>
      </c>
      <c r="AI11" s="10" t="s">
        <v>41</v>
      </c>
      <c r="AK11" s="18" t="s">
        <v>41</v>
      </c>
      <c r="AM11" s="18" t="s">
        <v>41</v>
      </c>
      <c r="AO11" s="20"/>
      <c r="AP11" s="69"/>
      <c r="AQ11" s="50">
        <v>106.58</v>
      </c>
      <c r="AR11" s="50">
        <v>99.3</v>
      </c>
      <c r="AS11" s="72"/>
      <c r="AT11" s="69"/>
      <c r="AU11" s="20"/>
      <c r="AV11" s="20"/>
      <c r="AW11" s="20"/>
      <c r="AX11" s="69"/>
      <c r="AY11" s="69"/>
      <c r="AZ11" s="50">
        <v>106.58</v>
      </c>
      <c r="BA11" s="50">
        <v>103.43</v>
      </c>
      <c r="BB11" s="72"/>
      <c r="BC11" s="69"/>
      <c r="BD11" s="69"/>
      <c r="BE11" s="69"/>
      <c r="BF11" s="50"/>
      <c r="BG11" s="50">
        <v>106.58</v>
      </c>
      <c r="BH11" s="50">
        <v>105.23</v>
      </c>
      <c r="BI11" s="72"/>
      <c r="BJ11" s="69"/>
      <c r="BK11" s="70">
        <f t="shared" ref="BK11:BK12" si="4">+MIN(S11,AC11,AG11,BJ11)</f>
        <v>12763135</v>
      </c>
      <c r="BL11" s="70">
        <f t="shared" ref="BL11:BL12" si="5">+AVERAGE(S11,AC11,AG11,BJ11)</f>
        <v>14897711.666666666</v>
      </c>
      <c r="BM11" s="70">
        <f t="shared" ref="BM11:BM12" si="6">+GEOMEAN(S11,AC11,AG11,BJ11)</f>
        <v>14816267.582268232</v>
      </c>
      <c r="BN11" s="70">
        <f t="shared" si="1"/>
        <v>13789701.291134115</v>
      </c>
      <c r="BO11" s="70">
        <f>+MEDIAN(S11,AC11,AG11,BJ11)</f>
        <v>15750000</v>
      </c>
      <c r="BP11" s="70">
        <f>+_xlfn.STDEV.S(S11,AC11,AG11,BJ11)</f>
        <v>1861058.343902284</v>
      </c>
      <c r="BQ11" s="52">
        <f t="shared" ref="BQ11:BQ12" si="7">+BP11/BO11</f>
        <v>0.11816243453347836</v>
      </c>
      <c r="BR11" s="70">
        <f>+BK11</f>
        <v>12763135</v>
      </c>
      <c r="BS11" s="2" t="s">
        <v>77</v>
      </c>
      <c r="BT11" s="51">
        <f>+BR11*19%</f>
        <v>2424995.65</v>
      </c>
      <c r="BU11" s="70">
        <f t="shared" si="3"/>
        <v>12763135</v>
      </c>
    </row>
    <row r="12" spans="2:74" ht="33.75" x14ac:dyDescent="0.2">
      <c r="B12" s="10">
        <v>3</v>
      </c>
      <c r="C12" s="15">
        <v>8714500</v>
      </c>
      <c r="D12" s="11" t="s">
        <v>30</v>
      </c>
      <c r="E12" s="10" t="s">
        <v>7</v>
      </c>
      <c r="F12" s="10" t="s">
        <v>0</v>
      </c>
      <c r="G12" s="14" t="s">
        <v>31</v>
      </c>
      <c r="H12" s="10" t="s">
        <v>20</v>
      </c>
      <c r="I12" s="10">
        <v>1</v>
      </c>
      <c r="K12" s="10"/>
      <c r="L12" s="10" t="s">
        <v>41</v>
      </c>
      <c r="M12" s="10"/>
      <c r="N12" s="10"/>
      <c r="O12" s="10"/>
      <c r="P12" s="10">
        <v>3646.61</v>
      </c>
      <c r="Q12" s="10" t="s">
        <v>41</v>
      </c>
      <c r="S12" s="53">
        <v>15750000</v>
      </c>
      <c r="T12" s="10"/>
      <c r="U12" s="30">
        <f>+S12</f>
        <v>15750000</v>
      </c>
      <c r="V12" s="10"/>
      <c r="X12" s="41">
        <v>3500</v>
      </c>
      <c r="Y12" s="10" t="s">
        <v>12</v>
      </c>
      <c r="Z12" s="38">
        <v>3500</v>
      </c>
      <c r="AA12" s="38">
        <v>3500</v>
      </c>
      <c r="AB12" s="42">
        <v>3646.61</v>
      </c>
      <c r="AC12" s="54">
        <f t="shared" si="0"/>
        <v>12763135</v>
      </c>
      <c r="AE12" s="10" t="s">
        <v>41</v>
      </c>
      <c r="AG12" s="55">
        <v>15580000</v>
      </c>
      <c r="AI12" s="10" t="s">
        <v>41</v>
      </c>
      <c r="AK12" s="18" t="s">
        <v>41</v>
      </c>
      <c r="AM12" s="18" t="s">
        <v>41</v>
      </c>
      <c r="AO12" s="20"/>
      <c r="AP12" s="50">
        <v>3000000</v>
      </c>
      <c r="AQ12" s="50">
        <v>106.58</v>
      </c>
      <c r="AR12" s="50">
        <v>99.3</v>
      </c>
      <c r="AS12" s="72">
        <f t="shared" ref="AS12" si="8">+AP12*(AQ12/AR12)</f>
        <v>3219939.5770392749</v>
      </c>
      <c r="AT12" s="69"/>
      <c r="AU12" s="20"/>
      <c r="AV12" s="20"/>
      <c r="AW12" s="20"/>
      <c r="AX12" s="69"/>
      <c r="AY12" s="69"/>
      <c r="AZ12" s="50">
        <v>106.58</v>
      </c>
      <c r="BA12" s="50">
        <v>103.43</v>
      </c>
      <c r="BB12" s="72"/>
      <c r="BC12" s="69"/>
      <c r="BD12" s="69"/>
      <c r="BE12" s="69"/>
      <c r="BF12" s="50">
        <v>6500000</v>
      </c>
      <c r="BG12" s="50">
        <v>106.58</v>
      </c>
      <c r="BH12" s="50">
        <v>105.23</v>
      </c>
      <c r="BI12" s="72">
        <f t="shared" ref="BI12" si="9">+BF12*(BG12/BH12)</f>
        <v>6583388.7674617497</v>
      </c>
      <c r="BJ12" s="50">
        <f>+BI12</f>
        <v>6583388.7674617497</v>
      </c>
      <c r="BK12" s="70">
        <f t="shared" si="4"/>
        <v>6583388.7674617497</v>
      </c>
      <c r="BL12" s="70">
        <f t="shared" si="5"/>
        <v>12669130.941865437</v>
      </c>
      <c r="BM12" s="70">
        <f t="shared" si="6"/>
        <v>11982949.226115301</v>
      </c>
      <c r="BN12" s="70">
        <f t="shared" si="1"/>
        <v>9283168.996788526</v>
      </c>
      <c r="BO12" s="70">
        <f>+MEDIAN(S12,AC12,AG12,BJ12)</f>
        <v>14171567.5</v>
      </c>
      <c r="BP12" s="70">
        <f>+_xlfn.STDEV.S(S12,AC12,AG12,BJ12)</f>
        <v>4282133.7128133383</v>
      </c>
      <c r="BQ12" s="52">
        <f t="shared" si="7"/>
        <v>0.30216373120428197</v>
      </c>
      <c r="BR12" s="70">
        <f>+BK12</f>
        <v>6583388.7674617497</v>
      </c>
      <c r="BS12" s="2" t="s">
        <v>77</v>
      </c>
      <c r="BT12" s="51">
        <f t="shared" si="2"/>
        <v>1250843.8658177324</v>
      </c>
      <c r="BU12" s="70">
        <f t="shared" si="3"/>
        <v>6583388.7674617497</v>
      </c>
    </row>
    <row r="13" spans="2:74" x14ac:dyDescent="0.2">
      <c r="B13" s="16"/>
      <c r="C13" s="16"/>
      <c r="D13" s="26"/>
      <c r="E13" s="16"/>
      <c r="F13" s="16"/>
      <c r="G13" s="17"/>
      <c r="H13" s="16"/>
      <c r="I13" s="16"/>
      <c r="K13" s="16"/>
      <c r="L13" s="16"/>
      <c r="M13" s="16"/>
      <c r="N13" s="16"/>
      <c r="O13" s="16"/>
      <c r="P13" s="10"/>
      <c r="Q13" s="16"/>
      <c r="S13" s="35"/>
      <c r="T13" s="16"/>
      <c r="U13" s="16"/>
      <c r="V13" s="16"/>
      <c r="X13" s="40"/>
      <c r="Y13" s="16"/>
      <c r="Z13" s="40"/>
      <c r="AA13" s="40"/>
      <c r="AB13" s="10"/>
      <c r="AC13" s="40"/>
      <c r="AE13" s="16"/>
      <c r="AG13" s="44"/>
      <c r="AI13" s="16"/>
      <c r="AK13" s="16"/>
      <c r="AM13" s="16"/>
      <c r="BR13" s="1"/>
      <c r="BS13" s="1"/>
    </row>
    <row r="14" spans="2:74" x14ac:dyDescent="0.2">
      <c r="B14" s="102" t="s">
        <v>35</v>
      </c>
      <c r="C14" s="103"/>
      <c r="D14" s="103"/>
      <c r="E14" s="103"/>
      <c r="F14" s="103"/>
      <c r="G14" s="103"/>
      <c r="H14" s="103"/>
      <c r="I14" s="103"/>
      <c r="P14" s="10"/>
      <c r="X14" s="39"/>
      <c r="Z14" s="39"/>
      <c r="AA14" s="39"/>
      <c r="AB14" s="10"/>
      <c r="AC14" s="39"/>
      <c r="AE14" s="1"/>
      <c r="AG14" s="43"/>
      <c r="BR14" s="1"/>
      <c r="BS14" s="1"/>
    </row>
    <row r="15" spans="2:74" ht="45" x14ac:dyDescent="0.2">
      <c r="B15" s="3" t="s">
        <v>3</v>
      </c>
      <c r="C15" s="4" t="s">
        <v>4</v>
      </c>
      <c r="D15" s="4" t="s">
        <v>5</v>
      </c>
      <c r="E15" s="5" t="s">
        <v>1</v>
      </c>
      <c r="F15" s="6" t="s">
        <v>2</v>
      </c>
      <c r="G15" s="6" t="s">
        <v>11</v>
      </c>
      <c r="H15" s="7" t="s">
        <v>18</v>
      </c>
      <c r="I15" s="8" t="s">
        <v>16</v>
      </c>
      <c r="K15" s="9" t="s">
        <v>17</v>
      </c>
      <c r="L15" s="9" t="s">
        <v>10</v>
      </c>
      <c r="M15" s="9" t="s">
        <v>36</v>
      </c>
      <c r="N15" s="9" t="s">
        <v>37</v>
      </c>
      <c r="O15" s="9" t="s">
        <v>38</v>
      </c>
      <c r="P15" s="10"/>
      <c r="Q15" s="9"/>
      <c r="S15" s="36" t="s">
        <v>10</v>
      </c>
      <c r="T15" s="9" t="s">
        <v>36</v>
      </c>
      <c r="U15" s="9" t="s">
        <v>37</v>
      </c>
      <c r="V15" s="9" t="s">
        <v>38</v>
      </c>
      <c r="X15" s="37" t="s">
        <v>10</v>
      </c>
      <c r="Y15" s="9" t="s">
        <v>36</v>
      </c>
      <c r="Z15" s="37" t="s">
        <v>37</v>
      </c>
      <c r="AA15" s="37" t="s">
        <v>38</v>
      </c>
      <c r="AB15" s="10"/>
      <c r="AC15" s="37"/>
      <c r="AE15" s="9" t="s">
        <v>10</v>
      </c>
      <c r="AG15" s="45" t="s">
        <v>10</v>
      </c>
      <c r="AI15" s="9"/>
      <c r="AK15" s="9"/>
      <c r="AM15" s="9"/>
      <c r="BR15" s="1"/>
      <c r="BS15" s="1"/>
    </row>
    <row r="16" spans="2:74" ht="56.25" x14ac:dyDescent="0.2">
      <c r="B16" s="18">
        <v>1</v>
      </c>
      <c r="C16" s="18">
        <v>8714500</v>
      </c>
      <c r="D16" s="19" t="s">
        <v>32</v>
      </c>
      <c r="E16" s="18" t="s">
        <v>33</v>
      </c>
      <c r="F16" s="18" t="s">
        <v>0</v>
      </c>
      <c r="G16" s="18" t="s">
        <v>34</v>
      </c>
      <c r="H16" s="18" t="s">
        <v>29</v>
      </c>
      <c r="I16" s="18">
        <v>1</v>
      </c>
      <c r="K16" s="18"/>
      <c r="L16" s="10" t="s">
        <v>41</v>
      </c>
      <c r="M16" s="18"/>
      <c r="N16" s="18"/>
      <c r="O16" s="18"/>
      <c r="P16" s="10">
        <v>3646.61</v>
      </c>
      <c r="Q16" s="10" t="s">
        <v>41</v>
      </c>
      <c r="S16" s="53">
        <v>15750000</v>
      </c>
      <c r="T16" s="18"/>
      <c r="U16" s="30">
        <f>+S16</f>
        <v>15750000</v>
      </c>
      <c r="V16" s="18"/>
      <c r="X16" s="41">
        <v>3650</v>
      </c>
      <c r="Y16" s="10" t="s">
        <v>12</v>
      </c>
      <c r="Z16" s="38">
        <v>3650</v>
      </c>
      <c r="AA16" s="38">
        <v>3650</v>
      </c>
      <c r="AB16" s="42">
        <v>3646.61</v>
      </c>
      <c r="AC16" s="54">
        <f>+X16*AB16</f>
        <v>13310126.5</v>
      </c>
      <c r="AE16" s="10" t="s">
        <v>41</v>
      </c>
      <c r="AG16" s="55">
        <v>15580000</v>
      </c>
      <c r="AI16" s="10" t="s">
        <v>41</v>
      </c>
      <c r="AK16" s="10" t="s">
        <v>41</v>
      </c>
      <c r="AM16" s="10" t="s">
        <v>41</v>
      </c>
      <c r="AO16" s="20"/>
      <c r="AP16" s="50"/>
      <c r="AQ16" s="50">
        <v>106.58</v>
      </c>
      <c r="AR16" s="50">
        <v>99.3</v>
      </c>
      <c r="AS16" s="72"/>
      <c r="AT16" s="69"/>
      <c r="AU16" s="20"/>
      <c r="AV16" s="20"/>
      <c r="AW16" s="20"/>
      <c r="AX16" s="69"/>
      <c r="AY16" s="69"/>
      <c r="AZ16" s="50">
        <v>106.58</v>
      </c>
      <c r="BA16" s="50">
        <v>103.43</v>
      </c>
      <c r="BB16" s="72"/>
      <c r="BC16" s="69"/>
      <c r="BD16" s="69"/>
      <c r="BE16" s="69"/>
      <c r="BF16" s="69"/>
      <c r="BG16" s="50">
        <v>106.58</v>
      </c>
      <c r="BH16" s="50">
        <v>105.23</v>
      </c>
      <c r="BI16" s="72"/>
      <c r="BJ16" s="50"/>
      <c r="BK16" s="70">
        <f>+MIN(S16,AC16,AG16,BJ16)</f>
        <v>13310126.5</v>
      </c>
      <c r="BL16" s="70">
        <f>+AVERAGE(S16,AC16,AG16,BJ16)</f>
        <v>14880042.166666666</v>
      </c>
      <c r="BM16" s="70">
        <f>+GEOMEAN(S16,AC16,AG16,BJ16)</f>
        <v>14836907.809609465</v>
      </c>
      <c r="BN16" s="70">
        <f>+AVERAGE(BK16,BM16)</f>
        <v>14073517.154804733</v>
      </c>
      <c r="BO16" s="70">
        <f>+MEDIAN(S16,AC16,AG16,BJ16)</f>
        <v>15580000</v>
      </c>
      <c r="BP16" s="70">
        <f>+_xlfn.STDEV.S(S16,AC16,AG16,BJ16)</f>
        <v>1362241.3150151053</v>
      </c>
      <c r="BQ16" s="52">
        <f>+BP16/BO16</f>
        <v>8.7435257703151817E-2</v>
      </c>
      <c r="BR16" s="70">
        <f>+BK16</f>
        <v>13310126.5</v>
      </c>
      <c r="BS16" s="2" t="s">
        <v>77</v>
      </c>
      <c r="BT16" s="51">
        <f>+BR16*19%</f>
        <v>2528924.0350000001</v>
      </c>
      <c r="BU16" s="70">
        <f>+BR16</f>
        <v>13310126.5</v>
      </c>
    </row>
    <row r="17" spans="51:71" x14ac:dyDescent="0.2">
      <c r="BR17" s="1"/>
      <c r="BS17" s="1"/>
    </row>
    <row r="18" spans="51:71" x14ac:dyDescent="0.2">
      <c r="BR18" s="1"/>
      <c r="BS18" s="1"/>
    </row>
    <row r="19" spans="51:71" x14ac:dyDescent="0.2">
      <c r="BR19" s="1"/>
      <c r="BS19" s="1"/>
    </row>
    <row r="20" spans="51:71" x14ac:dyDescent="0.2">
      <c r="AY20" s="23"/>
      <c r="AZ20" s="23"/>
      <c r="BA20" s="23"/>
      <c r="BB20" s="23"/>
      <c r="BR20" s="1"/>
      <c r="BS20" s="1"/>
    </row>
    <row r="21" spans="51:71" x14ac:dyDescent="0.2">
      <c r="BR21" s="1"/>
      <c r="BS21" s="1"/>
    </row>
    <row r="22" spans="51:71" x14ac:dyDescent="0.2">
      <c r="BO22" s="32"/>
      <c r="BR22" s="1"/>
      <c r="BS22" s="1"/>
    </row>
  </sheetData>
  <sheetProtection algorithmName="SHA-512" hashValue="KiNQT686S7jOGHAykJb7saeK8HjXmNMRRhIZXFNS0JgxO1mH+XaCNCQw+zlapdo/MHdNIQm6rzjt9f+Ai4cqBw==" saltValue="QWCHl6rjTM4fzC4B+XPSNg==" spinCount="100000" sheet="1" objects="1" scenarios="1" selectLockedCells="1" selectUnlockedCells="1"/>
  <mergeCells count="7">
    <mergeCell ref="B14:I14"/>
    <mergeCell ref="B1:I1"/>
    <mergeCell ref="K1:O1"/>
    <mergeCell ref="B2:I2"/>
    <mergeCell ref="B3:I3"/>
    <mergeCell ref="B7:I7"/>
    <mergeCell ref="B9:I9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V21"/>
  <sheetViews>
    <sheetView topLeftCell="AL2" zoomScale="80" zoomScaleNormal="80" workbookViewId="0">
      <selection activeCell="E8" sqref="E8"/>
    </sheetView>
  </sheetViews>
  <sheetFormatPr baseColWidth="10" defaultRowHeight="11.25" x14ac:dyDescent="0.2"/>
  <cols>
    <col min="1" max="1" width="11.42578125" style="1"/>
    <col min="2" max="2" width="5.28515625" style="1" customWidth="1"/>
    <col min="3" max="8" width="11.42578125" style="1"/>
    <col min="9" max="9" width="11.42578125" style="1" customWidth="1"/>
    <col min="10" max="10" width="4.42578125" style="1" customWidth="1"/>
    <col min="11" max="11" width="11.42578125" style="1" hidden="1" customWidth="1"/>
    <col min="12" max="12" width="11.42578125" style="1" customWidth="1"/>
    <col min="13" max="14" width="11.42578125" style="1" hidden="1" customWidth="1"/>
    <col min="15" max="15" width="0" style="1" hidden="1" customWidth="1"/>
    <col min="16" max="17" width="11.42578125" style="1"/>
    <col min="18" max="18" width="2.140625" style="1" customWidth="1"/>
    <col min="19" max="19" width="12.140625" style="32" bestFit="1" customWidth="1"/>
    <col min="20" max="22" width="0" style="1" hidden="1" customWidth="1"/>
    <col min="23" max="23" width="5.140625" style="1" customWidth="1"/>
    <col min="24" max="24" width="11.42578125" style="32"/>
    <col min="25" max="27" width="0" style="1" hidden="1" customWidth="1"/>
    <col min="28" max="28" width="11.42578125" style="32"/>
    <col min="29" max="29" width="12.140625" style="32" bestFit="1" customWidth="1"/>
    <col min="30" max="30" width="3" style="1" customWidth="1"/>
    <col min="31" max="31" width="12.140625" style="32" bestFit="1" customWidth="1"/>
    <col min="32" max="32" width="4.85546875" style="1" customWidth="1"/>
    <col min="33" max="33" width="12.140625" style="1" bestFit="1" customWidth="1"/>
    <col min="34" max="34" width="5.42578125" style="1" customWidth="1"/>
    <col min="35" max="35" width="11.42578125" style="1"/>
    <col min="36" max="36" width="5.85546875" style="1" customWidth="1"/>
    <col min="37" max="37" width="11.42578125" style="1"/>
    <col min="38" max="38" width="5.85546875" style="1" customWidth="1"/>
    <col min="39" max="39" width="11.42578125" style="1"/>
    <col min="40" max="40" width="6.85546875" style="1" customWidth="1"/>
    <col min="41" max="44" width="0" style="1" hidden="1" customWidth="1"/>
    <col min="45" max="45" width="16.5703125" style="1" hidden="1" customWidth="1"/>
    <col min="46" max="53" width="0" style="1" hidden="1" customWidth="1"/>
    <col min="54" max="54" width="14" style="1" hidden="1" customWidth="1"/>
    <col min="55" max="61" width="0" style="1" hidden="1" customWidth="1"/>
    <col min="62" max="62" width="11.42578125" style="1"/>
    <col min="63" max="63" width="13.5703125" style="1" customWidth="1"/>
    <col min="64" max="65" width="12.140625" style="1" bestFit="1" customWidth="1"/>
    <col min="66" max="66" width="12.140625" style="1" customWidth="1"/>
    <col min="67" max="67" width="12.140625" style="1" bestFit="1" customWidth="1"/>
    <col min="68" max="69" width="11.42578125" style="1"/>
    <col min="70" max="70" width="12.140625" style="73" bestFit="1" customWidth="1"/>
    <col min="71" max="71" width="11.42578125" style="27"/>
    <col min="72" max="72" width="0" style="1" hidden="1" customWidth="1"/>
    <col min="73" max="73" width="12.85546875" style="1" hidden="1" customWidth="1"/>
    <col min="74" max="74" width="0" style="1" hidden="1" customWidth="1"/>
    <col min="75" max="16384" width="11.42578125" style="1"/>
  </cols>
  <sheetData>
    <row r="1" spans="2:74" ht="83.25" customHeight="1" x14ac:dyDescent="0.25">
      <c r="B1" s="112" t="s">
        <v>40</v>
      </c>
      <c r="C1" s="112"/>
      <c r="D1" s="112"/>
      <c r="E1" s="112"/>
      <c r="F1" s="112"/>
      <c r="G1" s="112"/>
      <c r="H1" s="112"/>
      <c r="I1" s="112"/>
      <c r="J1" s="21"/>
      <c r="K1" s="113" t="s">
        <v>39</v>
      </c>
      <c r="L1" s="114"/>
      <c r="M1" s="114"/>
      <c r="N1" s="114"/>
      <c r="O1" s="114"/>
      <c r="P1" s="25"/>
      <c r="Q1" s="25"/>
    </row>
    <row r="2" spans="2:74" ht="15" x14ac:dyDescent="0.25">
      <c r="B2" s="107" t="s">
        <v>90</v>
      </c>
      <c r="C2" s="107"/>
      <c r="D2" s="107"/>
      <c r="E2" s="107"/>
      <c r="F2" s="107"/>
      <c r="G2" s="107"/>
      <c r="H2" s="107"/>
      <c r="I2" s="107"/>
      <c r="X2" s="1"/>
      <c r="AB2" s="1"/>
      <c r="AC2" s="1"/>
      <c r="AE2" s="1"/>
      <c r="AP2" s="66"/>
      <c r="AQ2" s="23"/>
      <c r="BR2" s="1"/>
      <c r="BS2" s="1"/>
    </row>
    <row r="3" spans="2:74" ht="15.75" x14ac:dyDescent="0.25">
      <c r="B3" s="108" t="s">
        <v>13</v>
      </c>
      <c r="C3" s="109"/>
      <c r="D3" s="109"/>
      <c r="E3" s="109"/>
      <c r="F3" s="109"/>
      <c r="G3" s="109"/>
      <c r="H3" s="109"/>
      <c r="I3" s="109"/>
      <c r="K3" s="28"/>
      <c r="L3" s="27"/>
      <c r="M3" s="27"/>
      <c r="N3" s="27"/>
      <c r="O3" s="27"/>
      <c r="P3" s="27"/>
      <c r="Q3" s="27"/>
      <c r="X3" s="1"/>
      <c r="AB3" s="1"/>
      <c r="AC3" s="1"/>
      <c r="AE3" s="1"/>
      <c r="BR3" s="1"/>
      <c r="BS3" s="1"/>
    </row>
    <row r="4" spans="2:74" ht="67.5" x14ac:dyDescent="0.2">
      <c r="B4" s="3" t="s">
        <v>3</v>
      </c>
      <c r="C4" s="4" t="s">
        <v>4</v>
      </c>
      <c r="D4" s="4" t="s">
        <v>5</v>
      </c>
      <c r="E4" s="5" t="s">
        <v>1</v>
      </c>
      <c r="F4" s="6" t="s">
        <v>2</v>
      </c>
      <c r="G4" s="6" t="s">
        <v>11</v>
      </c>
      <c r="H4" s="7" t="s">
        <v>18</v>
      </c>
      <c r="I4" s="8" t="s">
        <v>16</v>
      </c>
      <c r="K4" s="9" t="s">
        <v>17</v>
      </c>
      <c r="L4" s="9" t="s">
        <v>42</v>
      </c>
      <c r="M4" s="9" t="s">
        <v>36</v>
      </c>
      <c r="N4" s="9" t="s">
        <v>37</v>
      </c>
      <c r="O4" s="9" t="s">
        <v>38</v>
      </c>
      <c r="P4" s="9" t="s">
        <v>44</v>
      </c>
      <c r="Q4" s="9" t="s">
        <v>43</v>
      </c>
      <c r="S4" s="33" t="s">
        <v>45</v>
      </c>
      <c r="T4" s="9" t="s">
        <v>36</v>
      </c>
      <c r="U4" s="9" t="s">
        <v>37</v>
      </c>
      <c r="V4" s="9" t="s">
        <v>38</v>
      </c>
      <c r="X4" s="9" t="s">
        <v>46</v>
      </c>
      <c r="Y4" s="9" t="s">
        <v>36</v>
      </c>
      <c r="Z4" s="37" t="s">
        <v>37</v>
      </c>
      <c r="AA4" s="37" t="s">
        <v>38</v>
      </c>
      <c r="AB4" s="9" t="s">
        <v>44</v>
      </c>
      <c r="AC4" s="9" t="s">
        <v>47</v>
      </c>
      <c r="AE4" s="31" t="s">
        <v>48</v>
      </c>
      <c r="AG4" s="9" t="s">
        <v>49</v>
      </c>
      <c r="AI4" s="46" t="s">
        <v>50</v>
      </c>
      <c r="AK4" s="9" t="s">
        <v>51</v>
      </c>
      <c r="AL4" s="47"/>
      <c r="AM4" s="46" t="s">
        <v>52</v>
      </c>
      <c r="AO4" s="57" t="s">
        <v>53</v>
      </c>
      <c r="AP4" s="58" t="s">
        <v>54</v>
      </c>
      <c r="AQ4" s="58" t="s">
        <v>55</v>
      </c>
      <c r="AR4" s="58" t="s">
        <v>56</v>
      </c>
      <c r="AS4" s="58" t="s">
        <v>57</v>
      </c>
      <c r="AT4" s="57" t="s">
        <v>58</v>
      </c>
      <c r="AU4" s="59" t="s">
        <v>59</v>
      </c>
      <c r="AV4" s="58" t="s">
        <v>55</v>
      </c>
      <c r="AW4" s="58" t="s">
        <v>60</v>
      </c>
      <c r="AX4" s="58" t="s">
        <v>61</v>
      </c>
      <c r="AY4" s="57" t="s">
        <v>62</v>
      </c>
      <c r="AZ4" s="58" t="s">
        <v>55</v>
      </c>
      <c r="BA4" s="58" t="s">
        <v>56</v>
      </c>
      <c r="BB4" s="58" t="s">
        <v>78</v>
      </c>
      <c r="BC4" s="57" t="s">
        <v>63</v>
      </c>
      <c r="BD4" s="57" t="s">
        <v>64</v>
      </c>
      <c r="BE4" s="57" t="s">
        <v>65</v>
      </c>
      <c r="BF4" s="60" t="s">
        <v>66</v>
      </c>
      <c r="BG4" s="58" t="s">
        <v>55</v>
      </c>
      <c r="BH4" s="58" t="s">
        <v>56</v>
      </c>
      <c r="BI4" s="58" t="s">
        <v>79</v>
      </c>
      <c r="BJ4" s="61" t="s">
        <v>67</v>
      </c>
      <c r="BK4" s="62" t="s">
        <v>68</v>
      </c>
      <c r="BL4" s="62" t="s">
        <v>69</v>
      </c>
      <c r="BM4" s="62" t="s">
        <v>70</v>
      </c>
      <c r="BN4" s="62" t="s">
        <v>82</v>
      </c>
      <c r="BO4" s="62" t="s">
        <v>71</v>
      </c>
      <c r="BP4" s="62" t="s">
        <v>72</v>
      </c>
      <c r="BQ4" s="60" t="s">
        <v>73</v>
      </c>
      <c r="BR4" s="63" t="s">
        <v>74</v>
      </c>
      <c r="BS4" s="60" t="s">
        <v>75</v>
      </c>
      <c r="BT4" s="63" t="s">
        <v>76</v>
      </c>
      <c r="BU4" s="63" t="s">
        <v>83</v>
      </c>
    </row>
    <row r="5" spans="2:74" s="27" customFormat="1" ht="33.75" x14ac:dyDescent="0.2">
      <c r="B5" s="10">
        <v>1</v>
      </c>
      <c r="C5" s="10">
        <v>8714500</v>
      </c>
      <c r="D5" s="11" t="s">
        <v>19</v>
      </c>
      <c r="E5" s="12" t="s">
        <v>6</v>
      </c>
      <c r="F5" s="10" t="s">
        <v>0</v>
      </c>
      <c r="G5" s="13">
        <v>4721</v>
      </c>
      <c r="H5" s="10" t="s">
        <v>20</v>
      </c>
      <c r="I5" s="10">
        <v>1</v>
      </c>
      <c r="K5" s="10"/>
      <c r="L5" s="10" t="s">
        <v>41</v>
      </c>
      <c r="M5" s="10"/>
      <c r="N5" s="10"/>
      <c r="O5" s="10"/>
      <c r="P5" s="10">
        <v>3646.61</v>
      </c>
      <c r="Q5" s="10" t="s">
        <v>41</v>
      </c>
      <c r="S5" s="34">
        <v>15750000</v>
      </c>
      <c r="T5" s="10"/>
      <c r="U5" s="30">
        <f>+S5</f>
        <v>15750000</v>
      </c>
      <c r="V5" s="10"/>
      <c r="X5" s="41">
        <v>2000</v>
      </c>
      <c r="Y5" s="10" t="s">
        <v>12</v>
      </c>
      <c r="Z5" s="38">
        <v>2000</v>
      </c>
      <c r="AA5" s="38">
        <v>2000</v>
      </c>
      <c r="AB5" s="42">
        <v>3646.61</v>
      </c>
      <c r="AC5" s="41">
        <f>+X5*AB5</f>
        <v>7293220</v>
      </c>
      <c r="AE5" s="10" t="s">
        <v>41</v>
      </c>
      <c r="AG5" s="87">
        <v>15580000</v>
      </c>
      <c r="AI5" s="10" t="s">
        <v>41</v>
      </c>
      <c r="AK5" s="18" t="s">
        <v>41</v>
      </c>
      <c r="AM5" s="18" t="s">
        <v>41</v>
      </c>
      <c r="AO5" s="18"/>
      <c r="AP5" s="88">
        <v>3000000</v>
      </c>
      <c r="AQ5" s="88">
        <v>106.58</v>
      </c>
      <c r="AR5" s="88">
        <v>99.3</v>
      </c>
      <c r="AS5" s="88">
        <f>+AP5*(AQ5/AR5)</f>
        <v>3219939.5770392749</v>
      </c>
      <c r="AT5" s="34"/>
      <c r="AU5" s="18"/>
      <c r="AV5" s="89">
        <v>106.58</v>
      </c>
      <c r="AW5" s="89">
        <v>103.43</v>
      </c>
      <c r="AX5" s="90"/>
      <c r="AY5" s="34"/>
      <c r="AZ5" s="88">
        <v>106.58</v>
      </c>
      <c r="BA5" s="88">
        <v>103.43</v>
      </c>
      <c r="BB5" s="88"/>
      <c r="BC5" s="34"/>
      <c r="BD5" s="34"/>
      <c r="BE5" s="34"/>
      <c r="BF5" s="88">
        <v>6500000</v>
      </c>
      <c r="BG5" s="88">
        <v>106.58</v>
      </c>
      <c r="BH5" s="88">
        <v>105.23</v>
      </c>
      <c r="BI5" s="88">
        <f>+BF5*(BG5/BH5)</f>
        <v>6583388.7674617497</v>
      </c>
      <c r="BJ5" s="88">
        <f>+BI5</f>
        <v>6583388.7674617497</v>
      </c>
      <c r="BK5" s="91">
        <f>+MIN(S5,AC5,AG5,BJ5)</f>
        <v>6583388.7674617497</v>
      </c>
      <c r="BL5" s="91">
        <f>+AVERAGE(S5,AC5,AG5,BJ5)</f>
        <v>11301652.191865437</v>
      </c>
      <c r="BM5" s="91">
        <f>+GEOMEAN(S5,AC5,AG5,BJ5)</f>
        <v>10418476.272098808</v>
      </c>
      <c r="BN5" s="91">
        <f>+AVERAGE(BK5,BM5)</f>
        <v>8500932.5197802782</v>
      </c>
      <c r="BO5" s="91">
        <f>+MEDIAN(S5,AC5,AG5,BJ5)</f>
        <v>11436610</v>
      </c>
      <c r="BP5" s="91">
        <f>+_xlfn.STDEV.S(S5,AC5,AG5,BJ5)</f>
        <v>5047164.1069797529</v>
      </c>
      <c r="BQ5" s="92">
        <f>+BP5/BO5</f>
        <v>0.44131644840383233</v>
      </c>
      <c r="BR5" s="91">
        <f>+BK5</f>
        <v>6583388.7674617497</v>
      </c>
      <c r="BS5" s="18" t="s">
        <v>77</v>
      </c>
      <c r="BT5" s="93">
        <f>+BR5*19%</f>
        <v>1250843.8658177324</v>
      </c>
      <c r="BU5" s="91">
        <f>+BR5</f>
        <v>6583388.7674617497</v>
      </c>
    </row>
    <row r="6" spans="2:74" s="27" customFormat="1" ht="33.75" x14ac:dyDescent="0.2">
      <c r="B6" s="10">
        <v>2</v>
      </c>
      <c r="C6" s="10">
        <v>8714500</v>
      </c>
      <c r="D6" s="11" t="s">
        <v>21</v>
      </c>
      <c r="E6" s="10" t="s">
        <v>22</v>
      </c>
      <c r="F6" s="10" t="s">
        <v>0</v>
      </c>
      <c r="G6" s="13" t="s">
        <v>23</v>
      </c>
      <c r="H6" s="10" t="s">
        <v>24</v>
      </c>
      <c r="I6" s="10">
        <v>1</v>
      </c>
      <c r="K6" s="10"/>
      <c r="L6" s="10" t="s">
        <v>41</v>
      </c>
      <c r="M6" s="10"/>
      <c r="N6" s="10"/>
      <c r="O6" s="10"/>
      <c r="P6" s="10">
        <v>3646.61</v>
      </c>
      <c r="Q6" s="10" t="s">
        <v>41</v>
      </c>
      <c r="S6" s="34">
        <v>6000000</v>
      </c>
      <c r="T6" s="10"/>
      <c r="U6" s="30">
        <f>+S6</f>
        <v>6000000</v>
      </c>
      <c r="V6" s="10"/>
      <c r="X6" s="41">
        <v>3650</v>
      </c>
      <c r="Y6" s="10" t="s">
        <v>12</v>
      </c>
      <c r="Z6" s="38">
        <v>3650</v>
      </c>
      <c r="AA6" s="38">
        <v>3650</v>
      </c>
      <c r="AB6" s="42">
        <v>3646.61</v>
      </c>
      <c r="AC6" s="41">
        <f>+X6*AB6</f>
        <v>13310126.5</v>
      </c>
      <c r="AE6" s="10" t="s">
        <v>41</v>
      </c>
      <c r="AG6" s="87">
        <v>790000</v>
      </c>
      <c r="AI6" s="10" t="s">
        <v>41</v>
      </c>
      <c r="AK6" s="18" t="s">
        <v>41</v>
      </c>
      <c r="AM6" s="18" t="s">
        <v>41</v>
      </c>
      <c r="AO6" s="94"/>
      <c r="AP6" s="88">
        <v>2200000</v>
      </c>
      <c r="AQ6" s="88">
        <v>106.58</v>
      </c>
      <c r="AR6" s="88">
        <v>99.3</v>
      </c>
      <c r="AS6" s="88">
        <f>+AP6*(AQ6/AR6)</f>
        <v>2361289.0231621349</v>
      </c>
      <c r="AT6" s="95"/>
      <c r="AU6" s="94"/>
      <c r="AV6" s="94"/>
      <c r="AW6" s="94"/>
      <c r="AX6" s="95"/>
      <c r="AY6" s="90">
        <v>1776000</v>
      </c>
      <c r="AZ6" s="88">
        <v>106.58</v>
      </c>
      <c r="BA6" s="88">
        <v>103.43</v>
      </c>
      <c r="BB6" s="88">
        <f>+AY6*(AZ6/BA6)</f>
        <v>1830088.7556801699</v>
      </c>
      <c r="BC6" s="95"/>
      <c r="BD6" s="95"/>
      <c r="BE6" s="95"/>
      <c r="BF6" s="88">
        <v>823600</v>
      </c>
      <c r="BG6" s="88">
        <v>106.58</v>
      </c>
      <c r="BH6" s="88">
        <v>105.23</v>
      </c>
      <c r="BI6" s="88">
        <f>+BF6*(BG6/BH6)</f>
        <v>834165.99828946101</v>
      </c>
      <c r="BJ6" s="88">
        <f>+BI6</f>
        <v>834165.99828946101</v>
      </c>
      <c r="BK6" s="91">
        <f>+MIN(S6,AC6,AG6,BJ6)</f>
        <v>790000</v>
      </c>
      <c r="BL6" s="91">
        <f>+AVERAGE(AG6,BJ6)</f>
        <v>812082.99914473051</v>
      </c>
      <c r="BM6" s="91">
        <f>+GEOMEAN(AG6,BJ6)</f>
        <v>811782.69176465832</v>
      </c>
      <c r="BN6" s="91">
        <f>+AVERAGE(BK6,BM6)</f>
        <v>800891.34588232916</v>
      </c>
      <c r="BO6" s="91">
        <f>+MEDIAN(AG6,BJ6)</f>
        <v>812082.99914473051</v>
      </c>
      <c r="BP6" s="91">
        <f>+_xlfn.STDEV.S(AG6,BJ6)</f>
        <v>31230.076888351341</v>
      </c>
      <c r="BQ6" s="92">
        <f>+BP6/BO6</f>
        <v>3.845675493914074E-2</v>
      </c>
      <c r="BR6" s="34">
        <f>+BJ6</f>
        <v>834165.99828946101</v>
      </c>
      <c r="BS6" s="18" t="s">
        <v>81</v>
      </c>
      <c r="BT6" s="93">
        <f>+BR6*19%</f>
        <v>158491.53967499759</v>
      </c>
      <c r="BU6" s="91">
        <f>+BR6</f>
        <v>834165.99828946101</v>
      </c>
      <c r="BV6" s="27" t="s">
        <v>80</v>
      </c>
    </row>
    <row r="7" spans="2:74" s="27" customFormat="1" x14ac:dyDescent="0.2">
      <c r="B7" s="102" t="s">
        <v>14</v>
      </c>
      <c r="C7" s="103"/>
      <c r="D7" s="103"/>
      <c r="E7" s="103"/>
      <c r="F7" s="103"/>
      <c r="G7" s="103"/>
      <c r="H7" s="103"/>
      <c r="I7" s="103"/>
      <c r="P7" s="10"/>
      <c r="S7" s="85"/>
      <c r="X7" s="96"/>
      <c r="Z7" s="96"/>
      <c r="AA7" s="96"/>
      <c r="AB7" s="10"/>
      <c r="AC7" s="96"/>
      <c r="AG7" s="97"/>
      <c r="BF7" s="98"/>
      <c r="BG7" s="99"/>
      <c r="BH7" s="99"/>
      <c r="BI7" s="99"/>
    </row>
    <row r="8" spans="2:74" s="27" customFormat="1" ht="56.25" x14ac:dyDescent="0.2">
      <c r="B8" s="10">
        <v>1</v>
      </c>
      <c r="C8" s="10">
        <v>8714500</v>
      </c>
      <c r="D8" s="11" t="s">
        <v>25</v>
      </c>
      <c r="E8" s="10" t="s">
        <v>9</v>
      </c>
      <c r="F8" s="10" t="s">
        <v>0</v>
      </c>
      <c r="G8" s="14" t="s">
        <v>26</v>
      </c>
      <c r="H8" s="10" t="s">
        <v>24</v>
      </c>
      <c r="I8" s="10">
        <v>1</v>
      </c>
      <c r="K8" s="10"/>
      <c r="L8" s="10" t="s">
        <v>41</v>
      </c>
      <c r="M8" s="10"/>
      <c r="N8" s="10"/>
      <c r="O8" s="10"/>
      <c r="P8" s="10">
        <v>3646.61</v>
      </c>
      <c r="Q8" s="10" t="s">
        <v>41</v>
      </c>
      <c r="S8" s="34">
        <v>6000000</v>
      </c>
      <c r="T8" s="10"/>
      <c r="U8" s="30">
        <f>+S8</f>
        <v>6000000</v>
      </c>
      <c r="V8" s="10"/>
      <c r="X8" s="41">
        <v>3500</v>
      </c>
      <c r="Y8" s="10" t="s">
        <v>12</v>
      </c>
      <c r="Z8" s="38">
        <v>3500</v>
      </c>
      <c r="AA8" s="38">
        <v>3500</v>
      </c>
      <c r="AB8" s="42">
        <v>3646.61</v>
      </c>
      <c r="AC8" s="41">
        <f>+X8*AB8</f>
        <v>12763135</v>
      </c>
      <c r="AE8" s="10" t="s">
        <v>41</v>
      </c>
      <c r="AG8" s="100">
        <v>790000</v>
      </c>
      <c r="AI8" s="10" t="s">
        <v>41</v>
      </c>
      <c r="AK8" s="18" t="s">
        <v>41</v>
      </c>
      <c r="AM8" s="18" t="s">
        <v>41</v>
      </c>
      <c r="AO8" s="94"/>
      <c r="AP8" s="95"/>
      <c r="AQ8" s="88">
        <v>106.58</v>
      </c>
      <c r="AR8" s="88">
        <v>99.3</v>
      </c>
      <c r="AS8" s="88"/>
      <c r="AT8" s="95"/>
      <c r="AU8" s="94"/>
      <c r="AV8" s="94"/>
      <c r="AW8" s="94"/>
      <c r="AX8" s="95"/>
      <c r="AY8" s="95"/>
      <c r="AZ8" s="88">
        <v>106.58</v>
      </c>
      <c r="BA8" s="88">
        <v>103.43</v>
      </c>
      <c r="BB8" s="88"/>
      <c r="BC8" s="95"/>
      <c r="BD8" s="95"/>
      <c r="BE8" s="95"/>
      <c r="BF8" s="88"/>
      <c r="BG8" s="88">
        <v>106.58</v>
      </c>
      <c r="BH8" s="88">
        <v>105.23</v>
      </c>
      <c r="BI8" s="88"/>
      <c r="BJ8" s="95"/>
      <c r="BK8" s="91">
        <f>+MIN(S8,AG8)</f>
        <v>790000</v>
      </c>
      <c r="BL8" s="91">
        <f>+AVERAGE(S8,AG8)</f>
        <v>3395000</v>
      </c>
      <c r="BM8" s="91">
        <f>+GEOMEAN(S8,AG8)</f>
        <v>2177154.1057077241</v>
      </c>
      <c r="BN8" s="91">
        <f>+AVERAGE(BK8,BM8)</f>
        <v>1483577.0528538621</v>
      </c>
      <c r="BO8" s="91">
        <f>+MEDIAN(S8,AG8)</f>
        <v>3395000</v>
      </c>
      <c r="BP8" s="91">
        <f>+_xlfn.STDEV.S(S8,AG8)</f>
        <v>3684026.3299819124</v>
      </c>
      <c r="BQ8" s="92">
        <f>+BP8/BO8</f>
        <v>1.0851329396117562</v>
      </c>
      <c r="BR8" s="34">
        <f>+BN8</f>
        <v>1483577.0528538621</v>
      </c>
      <c r="BS8" s="74" t="s">
        <v>82</v>
      </c>
      <c r="BT8" s="93">
        <f>+BR8*19%</f>
        <v>281879.6400422338</v>
      </c>
      <c r="BU8" s="91">
        <f>+BR8</f>
        <v>1483577.0528538621</v>
      </c>
    </row>
    <row r="9" spans="2:74" s="27" customFormat="1" x14ac:dyDescent="0.2">
      <c r="B9" s="115" t="s">
        <v>15</v>
      </c>
      <c r="C9" s="116"/>
      <c r="D9" s="116"/>
      <c r="E9" s="116"/>
      <c r="F9" s="116"/>
      <c r="G9" s="116"/>
      <c r="H9" s="116"/>
      <c r="I9" s="116"/>
      <c r="P9" s="10"/>
      <c r="S9" s="85"/>
      <c r="X9" s="96"/>
      <c r="Z9" s="96"/>
      <c r="AA9" s="96"/>
      <c r="AB9" s="10"/>
      <c r="AC9" s="96"/>
      <c r="AG9" s="97"/>
      <c r="BF9" s="98"/>
      <c r="BG9" s="99"/>
      <c r="BH9" s="99"/>
      <c r="BI9" s="99"/>
    </row>
    <row r="10" spans="2:74" s="27" customFormat="1" ht="56.25" x14ac:dyDescent="0.2">
      <c r="B10" s="10">
        <v>1</v>
      </c>
      <c r="C10" s="15">
        <v>8714500</v>
      </c>
      <c r="D10" s="11" t="s">
        <v>25</v>
      </c>
      <c r="E10" s="10" t="s">
        <v>9</v>
      </c>
      <c r="F10" s="10" t="s">
        <v>0</v>
      </c>
      <c r="G10" s="14" t="s">
        <v>27</v>
      </c>
      <c r="H10" s="10" t="s">
        <v>24</v>
      </c>
      <c r="I10" s="10">
        <v>1</v>
      </c>
      <c r="K10" s="10"/>
      <c r="L10" s="10" t="s">
        <v>41</v>
      </c>
      <c r="M10" s="10"/>
      <c r="N10" s="10"/>
      <c r="O10" s="10"/>
      <c r="P10" s="10">
        <v>3646.61</v>
      </c>
      <c r="Q10" s="10" t="s">
        <v>41</v>
      </c>
      <c r="S10" s="34">
        <v>6000000</v>
      </c>
      <c r="T10" s="10"/>
      <c r="U10" s="30">
        <f>+S10</f>
        <v>6000000</v>
      </c>
      <c r="V10" s="10"/>
      <c r="X10" s="41">
        <v>3500</v>
      </c>
      <c r="Y10" s="10" t="s">
        <v>12</v>
      </c>
      <c r="Z10" s="38">
        <v>3500</v>
      </c>
      <c r="AA10" s="38">
        <v>3500</v>
      </c>
      <c r="AB10" s="42">
        <v>3646.61</v>
      </c>
      <c r="AC10" s="41">
        <f t="shared" ref="AC10:AC12" si="0">+X10*AB10</f>
        <v>12763135</v>
      </c>
      <c r="AE10" s="10" t="s">
        <v>41</v>
      </c>
      <c r="AG10" s="100">
        <v>790000</v>
      </c>
      <c r="AI10" s="10" t="s">
        <v>41</v>
      </c>
      <c r="AK10" s="18" t="s">
        <v>41</v>
      </c>
      <c r="AM10" s="18" t="s">
        <v>41</v>
      </c>
      <c r="AO10" s="94"/>
      <c r="AP10" s="95"/>
      <c r="AQ10" s="88">
        <v>106.58</v>
      </c>
      <c r="AR10" s="88">
        <v>99.3</v>
      </c>
      <c r="AS10" s="88"/>
      <c r="AT10" s="95"/>
      <c r="AU10" s="94"/>
      <c r="AV10" s="94"/>
      <c r="AW10" s="94"/>
      <c r="AX10" s="95"/>
      <c r="AY10" s="95"/>
      <c r="AZ10" s="88">
        <v>106.58</v>
      </c>
      <c r="BA10" s="88">
        <v>103.43</v>
      </c>
      <c r="BB10" s="88"/>
      <c r="BC10" s="95"/>
      <c r="BD10" s="95"/>
      <c r="BE10" s="95"/>
      <c r="BF10" s="88"/>
      <c r="BG10" s="88">
        <v>106.58</v>
      </c>
      <c r="BH10" s="88">
        <v>105.23</v>
      </c>
      <c r="BI10" s="88"/>
      <c r="BJ10" s="95"/>
      <c r="BK10" s="91">
        <f>+MIN(S10,AG10)</f>
        <v>790000</v>
      </c>
      <c r="BL10" s="91">
        <f>+AVERAGE(S10,AG10)</f>
        <v>3395000</v>
      </c>
      <c r="BM10" s="91">
        <f>+GEOMEAN(S10,AG10)</f>
        <v>2177154.1057077241</v>
      </c>
      <c r="BN10" s="91">
        <f t="shared" ref="BN10:BN12" si="1">+AVERAGE(BK10,BM10)</f>
        <v>1483577.0528538621</v>
      </c>
      <c r="BO10" s="91">
        <f>+MEDIAN(S10,AG10)</f>
        <v>3395000</v>
      </c>
      <c r="BP10" s="91">
        <f>+_xlfn.STDEV.S(S10,AG10)</f>
        <v>3684026.3299819124</v>
      </c>
      <c r="BQ10" s="92">
        <f>+BP10/BO10</f>
        <v>1.0851329396117562</v>
      </c>
      <c r="BR10" s="34">
        <f>+BN10</f>
        <v>1483577.0528538621</v>
      </c>
      <c r="BS10" s="74" t="s">
        <v>82</v>
      </c>
      <c r="BT10" s="93">
        <f t="shared" ref="BT10:BT12" si="2">+BR10*19%</f>
        <v>281879.6400422338</v>
      </c>
      <c r="BU10" s="91">
        <f t="shared" ref="BU10:BU12" si="3">+BR10</f>
        <v>1483577.0528538621</v>
      </c>
    </row>
    <row r="11" spans="2:74" s="27" customFormat="1" ht="56.25" x14ac:dyDescent="0.2">
      <c r="B11" s="10">
        <v>2</v>
      </c>
      <c r="C11" s="15">
        <v>8714500</v>
      </c>
      <c r="D11" s="11" t="s">
        <v>21</v>
      </c>
      <c r="E11" s="10" t="s">
        <v>8</v>
      </c>
      <c r="F11" s="10" t="s">
        <v>0</v>
      </c>
      <c r="G11" s="14" t="s">
        <v>28</v>
      </c>
      <c r="H11" s="10" t="s">
        <v>29</v>
      </c>
      <c r="I11" s="10">
        <v>1</v>
      </c>
      <c r="K11" s="10"/>
      <c r="L11" s="10" t="s">
        <v>41</v>
      </c>
      <c r="M11" s="10"/>
      <c r="N11" s="10"/>
      <c r="O11" s="10"/>
      <c r="P11" s="10">
        <v>3646.61</v>
      </c>
      <c r="Q11" s="10" t="s">
        <v>41</v>
      </c>
      <c r="S11" s="34">
        <v>15750000</v>
      </c>
      <c r="T11" s="10"/>
      <c r="U11" s="30">
        <f>+S11</f>
        <v>15750000</v>
      </c>
      <c r="V11" s="10"/>
      <c r="X11" s="41">
        <v>3500</v>
      </c>
      <c r="Y11" s="10" t="s">
        <v>12</v>
      </c>
      <c r="Z11" s="38">
        <v>3500</v>
      </c>
      <c r="AA11" s="38">
        <v>3500</v>
      </c>
      <c r="AB11" s="42">
        <v>3646.61</v>
      </c>
      <c r="AC11" s="41">
        <f t="shared" si="0"/>
        <v>12763135</v>
      </c>
      <c r="AE11" s="10" t="s">
        <v>41</v>
      </c>
      <c r="AG11" s="100">
        <v>16180000</v>
      </c>
      <c r="AI11" s="10" t="s">
        <v>41</v>
      </c>
      <c r="AK11" s="18" t="s">
        <v>41</v>
      </c>
      <c r="AM11" s="18" t="s">
        <v>41</v>
      </c>
      <c r="AO11" s="94"/>
      <c r="AP11" s="95"/>
      <c r="AQ11" s="88">
        <v>106.58</v>
      </c>
      <c r="AR11" s="88">
        <v>99.3</v>
      </c>
      <c r="AS11" s="88"/>
      <c r="AT11" s="95"/>
      <c r="AU11" s="94"/>
      <c r="AV11" s="94"/>
      <c r="AW11" s="94"/>
      <c r="AX11" s="95"/>
      <c r="AY11" s="95"/>
      <c r="AZ11" s="88">
        <v>106.58</v>
      </c>
      <c r="BA11" s="88">
        <v>103.43</v>
      </c>
      <c r="BB11" s="88"/>
      <c r="BC11" s="95"/>
      <c r="BD11" s="95"/>
      <c r="BE11" s="95"/>
      <c r="BF11" s="88"/>
      <c r="BG11" s="88">
        <v>106.58</v>
      </c>
      <c r="BH11" s="88">
        <v>105.23</v>
      </c>
      <c r="BI11" s="88"/>
      <c r="BJ11" s="95"/>
      <c r="BK11" s="91">
        <f t="shared" ref="BK11:BK12" si="4">+MIN(S11,AC11,AG11,BJ11)</f>
        <v>12763135</v>
      </c>
      <c r="BL11" s="91">
        <f t="shared" ref="BL11:BL12" si="5">+AVERAGE(S11,AC11,AG11,BJ11)</f>
        <v>14897711.666666666</v>
      </c>
      <c r="BM11" s="91">
        <f t="shared" ref="BM11:BM12" si="6">+GEOMEAN(S11,AC11,AG11,BJ11)</f>
        <v>14816267.582268232</v>
      </c>
      <c r="BN11" s="91">
        <f t="shared" si="1"/>
        <v>13789701.291134115</v>
      </c>
      <c r="BO11" s="91">
        <f>+MEDIAN(S11,AC11,AG11,BJ11)</f>
        <v>15750000</v>
      </c>
      <c r="BP11" s="91">
        <f>+_xlfn.STDEV.S(S11,AC11,AG11,BJ11)</f>
        <v>1861058.343902284</v>
      </c>
      <c r="BQ11" s="92">
        <f t="shared" ref="BQ11:BQ12" si="7">+BP11/BO11</f>
        <v>0.11816243453347836</v>
      </c>
      <c r="BR11" s="91">
        <f>+BK11</f>
        <v>12763135</v>
      </c>
      <c r="BS11" s="18" t="s">
        <v>77</v>
      </c>
      <c r="BT11" s="93">
        <f>+BR11*19%</f>
        <v>2424995.65</v>
      </c>
      <c r="BU11" s="91">
        <f t="shared" si="3"/>
        <v>12763135</v>
      </c>
    </row>
    <row r="12" spans="2:74" s="27" customFormat="1" ht="33.75" x14ac:dyDescent="0.2">
      <c r="B12" s="10">
        <v>3</v>
      </c>
      <c r="C12" s="15">
        <v>8714500</v>
      </c>
      <c r="D12" s="11" t="s">
        <v>30</v>
      </c>
      <c r="E12" s="10" t="s">
        <v>7</v>
      </c>
      <c r="F12" s="10" t="s">
        <v>0</v>
      </c>
      <c r="G12" s="14" t="s">
        <v>31</v>
      </c>
      <c r="H12" s="10" t="s">
        <v>20</v>
      </c>
      <c r="I12" s="10">
        <v>1</v>
      </c>
      <c r="K12" s="10"/>
      <c r="L12" s="10" t="s">
        <v>41</v>
      </c>
      <c r="M12" s="10"/>
      <c r="N12" s="10"/>
      <c r="O12" s="10"/>
      <c r="P12" s="10">
        <v>3646.61</v>
      </c>
      <c r="Q12" s="10" t="s">
        <v>41</v>
      </c>
      <c r="S12" s="34">
        <v>15750000</v>
      </c>
      <c r="T12" s="10"/>
      <c r="U12" s="30">
        <f>+S12</f>
        <v>15750000</v>
      </c>
      <c r="V12" s="10"/>
      <c r="X12" s="41">
        <v>3500</v>
      </c>
      <c r="Y12" s="10" t="s">
        <v>12</v>
      </c>
      <c r="Z12" s="38">
        <v>3500</v>
      </c>
      <c r="AA12" s="38">
        <v>3500</v>
      </c>
      <c r="AB12" s="42">
        <v>3646.61</v>
      </c>
      <c r="AC12" s="41">
        <f t="shared" si="0"/>
        <v>12763135</v>
      </c>
      <c r="AE12" s="10" t="s">
        <v>41</v>
      </c>
      <c r="AG12" s="87">
        <v>15580000</v>
      </c>
      <c r="AI12" s="10" t="s">
        <v>41</v>
      </c>
      <c r="AK12" s="18" t="s">
        <v>41</v>
      </c>
      <c r="AM12" s="18" t="s">
        <v>41</v>
      </c>
      <c r="AO12" s="94"/>
      <c r="AP12" s="88">
        <v>3000000</v>
      </c>
      <c r="AQ12" s="88">
        <v>106.58</v>
      </c>
      <c r="AR12" s="88">
        <v>99.3</v>
      </c>
      <c r="AS12" s="88">
        <f t="shared" ref="AS12" si="8">+AP12*(AQ12/AR12)</f>
        <v>3219939.5770392749</v>
      </c>
      <c r="AT12" s="95"/>
      <c r="AU12" s="94"/>
      <c r="AV12" s="94"/>
      <c r="AW12" s="94"/>
      <c r="AX12" s="95"/>
      <c r="AY12" s="95"/>
      <c r="AZ12" s="88">
        <v>106.58</v>
      </c>
      <c r="BA12" s="88">
        <v>103.43</v>
      </c>
      <c r="BB12" s="88"/>
      <c r="BC12" s="95"/>
      <c r="BD12" s="95"/>
      <c r="BE12" s="95"/>
      <c r="BF12" s="88">
        <v>6500000</v>
      </c>
      <c r="BG12" s="88">
        <v>106.58</v>
      </c>
      <c r="BH12" s="88">
        <v>105.23</v>
      </c>
      <c r="BI12" s="88">
        <f t="shared" ref="BI12" si="9">+BF12*(BG12/BH12)</f>
        <v>6583388.7674617497</v>
      </c>
      <c r="BJ12" s="88">
        <f>+BI12</f>
        <v>6583388.7674617497</v>
      </c>
      <c r="BK12" s="91">
        <f t="shared" si="4"/>
        <v>6583388.7674617497</v>
      </c>
      <c r="BL12" s="91">
        <f t="shared" si="5"/>
        <v>12669130.941865437</v>
      </c>
      <c r="BM12" s="91">
        <f t="shared" si="6"/>
        <v>11982949.226115301</v>
      </c>
      <c r="BN12" s="91">
        <f t="shared" si="1"/>
        <v>9283168.996788526</v>
      </c>
      <c r="BO12" s="91">
        <f>+MEDIAN(S12,AC12,AG12,BJ12)</f>
        <v>14171567.5</v>
      </c>
      <c r="BP12" s="91">
        <f>+_xlfn.STDEV.S(S12,AC12,AG12,BJ12)</f>
        <v>4282133.7128133383</v>
      </c>
      <c r="BQ12" s="92">
        <f t="shared" si="7"/>
        <v>0.30216373120428197</v>
      </c>
      <c r="BR12" s="91">
        <f>+BK12</f>
        <v>6583388.7674617497</v>
      </c>
      <c r="BS12" s="18" t="s">
        <v>77</v>
      </c>
      <c r="BT12" s="93">
        <f t="shared" si="2"/>
        <v>1250843.8658177324</v>
      </c>
      <c r="BU12" s="91">
        <f t="shared" si="3"/>
        <v>6583388.7674617497</v>
      </c>
    </row>
    <row r="13" spans="2:74" s="27" customFormat="1" x14ac:dyDescent="0.2">
      <c r="B13" s="16"/>
      <c r="C13" s="16"/>
      <c r="D13" s="26"/>
      <c r="E13" s="16"/>
      <c r="F13" s="16"/>
      <c r="G13" s="17"/>
      <c r="H13" s="16"/>
      <c r="I13" s="16"/>
      <c r="K13" s="16"/>
      <c r="L13" s="16"/>
      <c r="M13" s="16"/>
      <c r="N13" s="16"/>
      <c r="O13" s="16"/>
      <c r="P13" s="10"/>
      <c r="Q13" s="16"/>
      <c r="S13" s="35"/>
      <c r="T13" s="16"/>
      <c r="U13" s="16"/>
      <c r="V13" s="16"/>
      <c r="X13" s="40"/>
      <c r="Y13" s="16"/>
      <c r="Z13" s="40"/>
      <c r="AA13" s="40"/>
      <c r="AB13" s="10"/>
      <c r="AC13" s="40"/>
      <c r="AE13" s="16"/>
      <c r="AG13" s="44"/>
      <c r="AI13" s="16"/>
      <c r="AK13" s="16"/>
      <c r="AM13" s="16"/>
    </row>
    <row r="14" spans="2:74" s="27" customFormat="1" x14ac:dyDescent="0.2">
      <c r="B14" s="102" t="s">
        <v>35</v>
      </c>
      <c r="C14" s="103"/>
      <c r="D14" s="103"/>
      <c r="E14" s="103"/>
      <c r="F14" s="103"/>
      <c r="G14" s="103"/>
      <c r="H14" s="103"/>
      <c r="I14" s="103"/>
      <c r="P14" s="10"/>
      <c r="S14" s="85"/>
      <c r="X14" s="96"/>
      <c r="Z14" s="96"/>
      <c r="AA14" s="96"/>
      <c r="AB14" s="10"/>
      <c r="AC14" s="96"/>
      <c r="AG14" s="97"/>
    </row>
    <row r="15" spans="2:74" s="27" customFormat="1" ht="56.25" x14ac:dyDescent="0.2">
      <c r="B15" s="18">
        <v>1</v>
      </c>
      <c r="C15" s="18">
        <v>8714500</v>
      </c>
      <c r="D15" s="19" t="s">
        <v>32</v>
      </c>
      <c r="E15" s="18" t="s">
        <v>33</v>
      </c>
      <c r="F15" s="18" t="s">
        <v>0</v>
      </c>
      <c r="G15" s="18" t="s">
        <v>34</v>
      </c>
      <c r="H15" s="18" t="s">
        <v>29</v>
      </c>
      <c r="I15" s="18">
        <v>1</v>
      </c>
      <c r="K15" s="18"/>
      <c r="L15" s="10" t="s">
        <v>41</v>
      </c>
      <c r="M15" s="18"/>
      <c r="N15" s="18"/>
      <c r="O15" s="18"/>
      <c r="P15" s="10">
        <v>3646.61</v>
      </c>
      <c r="Q15" s="10" t="s">
        <v>41</v>
      </c>
      <c r="S15" s="34">
        <v>15750000</v>
      </c>
      <c r="T15" s="18"/>
      <c r="U15" s="30">
        <f>+S15</f>
        <v>15750000</v>
      </c>
      <c r="V15" s="18"/>
      <c r="X15" s="41">
        <v>3650</v>
      </c>
      <c r="Y15" s="10" t="s">
        <v>12</v>
      </c>
      <c r="Z15" s="38">
        <v>3650</v>
      </c>
      <c r="AA15" s="38">
        <v>3650</v>
      </c>
      <c r="AB15" s="42">
        <v>3646.61</v>
      </c>
      <c r="AC15" s="41">
        <f>+X15*AB15</f>
        <v>13310126.5</v>
      </c>
      <c r="AE15" s="10" t="s">
        <v>41</v>
      </c>
      <c r="AG15" s="87">
        <v>15580000</v>
      </c>
      <c r="AI15" s="10" t="s">
        <v>41</v>
      </c>
      <c r="AK15" s="10" t="s">
        <v>41</v>
      </c>
      <c r="AM15" s="10" t="s">
        <v>41</v>
      </c>
      <c r="AO15" s="94"/>
      <c r="AP15" s="88"/>
      <c r="AQ15" s="88">
        <v>106.58</v>
      </c>
      <c r="AR15" s="88">
        <v>99.3</v>
      </c>
      <c r="AS15" s="88"/>
      <c r="AT15" s="95"/>
      <c r="AU15" s="94"/>
      <c r="AV15" s="94"/>
      <c r="AW15" s="94"/>
      <c r="AX15" s="95"/>
      <c r="AY15" s="95"/>
      <c r="AZ15" s="88">
        <v>106.58</v>
      </c>
      <c r="BA15" s="88">
        <v>103.43</v>
      </c>
      <c r="BB15" s="88"/>
      <c r="BC15" s="95"/>
      <c r="BD15" s="95"/>
      <c r="BE15" s="95"/>
      <c r="BF15" s="95"/>
      <c r="BG15" s="88">
        <v>106.58</v>
      </c>
      <c r="BH15" s="88">
        <v>105.23</v>
      </c>
      <c r="BI15" s="88"/>
      <c r="BJ15" s="88"/>
      <c r="BK15" s="91">
        <f>+MIN(S15,AC15,AG15,BJ15)</f>
        <v>13310126.5</v>
      </c>
      <c r="BL15" s="91">
        <f>+AVERAGE(S15,AC15,AG15,BJ15)</f>
        <v>14880042.166666666</v>
      </c>
      <c r="BM15" s="91">
        <f>+GEOMEAN(S15,AC15,AG15,BJ15)</f>
        <v>14836907.809609465</v>
      </c>
      <c r="BN15" s="91">
        <f>+AVERAGE(BK15,BM15)</f>
        <v>14073517.154804733</v>
      </c>
      <c r="BO15" s="91">
        <f>+MEDIAN(S15,AC15,AG15,BJ15)</f>
        <v>15580000</v>
      </c>
      <c r="BP15" s="91">
        <f>+_xlfn.STDEV.S(S15,AC15,AG15,BJ15)</f>
        <v>1362241.3150151053</v>
      </c>
      <c r="BQ15" s="92">
        <f>+BP15/BO15</f>
        <v>8.7435257703151817E-2</v>
      </c>
      <c r="BR15" s="91">
        <f>+BK15</f>
        <v>13310126.5</v>
      </c>
      <c r="BS15" s="18" t="s">
        <v>77</v>
      </c>
      <c r="BT15" s="93">
        <f>+BR15*19%</f>
        <v>2528924.0350000001</v>
      </c>
      <c r="BU15" s="91">
        <f>+BR15</f>
        <v>13310126.5</v>
      </c>
    </row>
    <row r="16" spans="2:74" s="27" customFormat="1" x14ac:dyDescent="0.2">
      <c r="S16" s="85"/>
      <c r="X16" s="85"/>
      <c r="AB16" s="85"/>
      <c r="AC16" s="85"/>
      <c r="AE16" s="85"/>
    </row>
    <row r="17" spans="51:71" x14ac:dyDescent="0.2">
      <c r="BR17" s="1"/>
      <c r="BS17" s="1"/>
    </row>
    <row r="18" spans="51:71" x14ac:dyDescent="0.2">
      <c r="AY18" s="1">
        <v>2113440</v>
      </c>
      <c r="BR18" s="1"/>
      <c r="BS18" s="1"/>
    </row>
    <row r="19" spans="51:71" x14ac:dyDescent="0.2">
      <c r="AY19" s="23">
        <f>+AY18/1.19</f>
        <v>1776000</v>
      </c>
      <c r="AZ19" s="23"/>
      <c r="BA19" s="23"/>
      <c r="BB19" s="23"/>
      <c r="BR19" s="1"/>
      <c r="BS19" s="1"/>
    </row>
    <row r="20" spans="51:71" x14ac:dyDescent="0.2">
      <c r="BR20" s="1"/>
      <c r="BS20" s="1"/>
    </row>
    <row r="21" spans="51:71" x14ac:dyDescent="0.2">
      <c r="BO21" s="32"/>
      <c r="BR21" s="1"/>
      <c r="BS21" s="1"/>
    </row>
  </sheetData>
  <sheetProtection algorithmName="SHA-512" hashValue="x2cPdlfbF0+vHEpyaV7JL75CDJzaJOdmY2pna+aopG005UbAgE9sw68HGBuTr5bdgl82yqPR26H4in63JOu50w==" saltValue="/K2fYGezhpDZSjvm1IC3Tw==" spinCount="100000" sheet="1" objects="1" scenarios="1" selectLockedCells="1" selectUnlockedCells="1"/>
  <mergeCells count="7">
    <mergeCell ref="B1:I1"/>
    <mergeCell ref="K1:O1"/>
    <mergeCell ref="B9:I9"/>
    <mergeCell ref="B14:I14"/>
    <mergeCell ref="B2:I2"/>
    <mergeCell ref="B3:I3"/>
    <mergeCell ref="B7:I7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Z21"/>
  <sheetViews>
    <sheetView tabSelected="1" zoomScale="80" zoomScaleNormal="80" workbookViewId="0">
      <selection activeCell="BW19" sqref="BW19"/>
    </sheetView>
  </sheetViews>
  <sheetFormatPr baseColWidth="10" defaultRowHeight="11.25" x14ac:dyDescent="0.2"/>
  <cols>
    <col min="1" max="1" width="11.42578125" style="1"/>
    <col min="2" max="2" width="5.28515625" style="1" customWidth="1"/>
    <col min="3" max="8" width="11.42578125" style="1"/>
    <col min="9" max="9" width="11.42578125" style="1" customWidth="1"/>
    <col min="10" max="10" width="4.42578125" style="1" customWidth="1"/>
    <col min="11" max="14" width="11.42578125" style="1" hidden="1" customWidth="1"/>
    <col min="15" max="17" width="0" style="1" hidden="1" customWidth="1"/>
    <col min="18" max="18" width="2.140625" style="1" hidden="1" customWidth="1"/>
    <col min="19" max="19" width="12.140625" style="32" hidden="1" customWidth="1"/>
    <col min="20" max="22" width="0" style="1" hidden="1" customWidth="1"/>
    <col min="23" max="23" width="5.140625" style="1" hidden="1" customWidth="1"/>
    <col min="24" max="24" width="0" style="32" hidden="1" customWidth="1"/>
    <col min="25" max="27" width="0" style="1" hidden="1" customWidth="1"/>
    <col min="28" max="28" width="0" style="32" hidden="1" customWidth="1"/>
    <col min="29" max="29" width="12.140625" style="32" hidden="1" customWidth="1"/>
    <col min="30" max="30" width="3" style="1" hidden="1" customWidth="1"/>
    <col min="31" max="31" width="12.140625" style="32" hidden="1" customWidth="1"/>
    <col min="32" max="32" width="4.85546875" style="1" hidden="1" customWidth="1"/>
    <col min="33" max="33" width="12.140625" style="1" hidden="1" customWidth="1"/>
    <col min="34" max="34" width="5.42578125" style="1" hidden="1" customWidth="1"/>
    <col min="35" max="35" width="0" style="1" hidden="1" customWidth="1"/>
    <col min="36" max="36" width="5.85546875" style="1" hidden="1" customWidth="1"/>
    <col min="37" max="37" width="0" style="1" hidden="1" customWidth="1"/>
    <col min="38" max="38" width="5.85546875" style="1" hidden="1" customWidth="1"/>
    <col min="39" max="39" width="0" style="1" hidden="1" customWidth="1"/>
    <col min="40" max="40" width="6.85546875" style="1" hidden="1" customWidth="1"/>
    <col min="41" max="44" width="0" style="1" hidden="1" customWidth="1"/>
    <col min="45" max="45" width="16.5703125" style="1" hidden="1" customWidth="1"/>
    <col min="46" max="53" width="0" style="1" hidden="1" customWidth="1"/>
    <col min="54" max="54" width="14" style="1" hidden="1" customWidth="1"/>
    <col min="55" max="62" width="0" style="1" hidden="1" customWidth="1"/>
    <col min="63" max="63" width="13.5703125" style="1" hidden="1" customWidth="1"/>
    <col min="64" max="67" width="12.140625" style="1" hidden="1" customWidth="1"/>
    <col min="68" max="69" width="0" style="1" hidden="1" customWidth="1"/>
    <col min="70" max="70" width="12.140625" style="73" bestFit="1" customWidth="1"/>
    <col min="71" max="71" width="0" style="27" hidden="1" customWidth="1"/>
    <col min="72" max="72" width="11.42578125" style="1"/>
    <col min="73" max="73" width="12.85546875" style="1" customWidth="1"/>
    <col min="74" max="74" width="11.42578125" style="1" hidden="1" customWidth="1"/>
    <col min="75" max="77" width="11.42578125" style="1"/>
    <col min="78" max="78" width="12" style="1" bestFit="1" customWidth="1"/>
    <col min="79" max="16384" width="11.42578125" style="1"/>
  </cols>
  <sheetData>
    <row r="1" spans="2:78" s="27" customFormat="1" ht="24.75" customHeight="1" x14ac:dyDescent="0.25">
      <c r="B1" s="104"/>
      <c r="C1" s="104"/>
      <c r="D1" s="104"/>
      <c r="E1" s="104"/>
      <c r="F1" s="104"/>
      <c r="G1" s="104"/>
      <c r="H1" s="104"/>
      <c r="I1" s="104"/>
      <c r="J1" s="83"/>
      <c r="K1" s="105" t="s">
        <v>39</v>
      </c>
      <c r="L1" s="106"/>
      <c r="M1" s="106"/>
      <c r="N1" s="106"/>
      <c r="O1" s="106"/>
      <c r="P1" s="84"/>
      <c r="Q1" s="84"/>
      <c r="S1" s="85"/>
      <c r="X1" s="85"/>
      <c r="AB1" s="85"/>
      <c r="AC1" s="85"/>
      <c r="AE1" s="85"/>
      <c r="BR1" s="86"/>
    </row>
    <row r="2" spans="2:78" ht="39.75" customHeight="1" x14ac:dyDescent="0.25">
      <c r="B2" s="107" t="s">
        <v>89</v>
      </c>
      <c r="C2" s="107"/>
      <c r="D2" s="107"/>
      <c r="E2" s="107"/>
      <c r="F2" s="107"/>
      <c r="G2" s="107"/>
      <c r="H2" s="107"/>
      <c r="I2" s="107"/>
      <c r="X2" s="1"/>
      <c r="AB2" s="1"/>
      <c r="AC2" s="1"/>
      <c r="AE2" s="1"/>
      <c r="AP2" s="66">
        <v>3570000</v>
      </c>
      <c r="AQ2" s="23">
        <f>+AP2/1.19</f>
        <v>3000000</v>
      </c>
      <c r="BR2" s="117" t="s">
        <v>84</v>
      </c>
      <c r="BS2" s="117"/>
      <c r="BT2" s="117"/>
      <c r="BU2" s="117"/>
      <c r="BV2" s="75"/>
      <c r="BW2" s="22"/>
      <c r="BX2" s="117" t="s">
        <v>85</v>
      </c>
      <c r="BY2" s="117"/>
      <c r="BZ2" s="117"/>
    </row>
    <row r="3" spans="2:78" ht="48" customHeight="1" x14ac:dyDescent="0.25">
      <c r="B3" s="108" t="s">
        <v>13</v>
      </c>
      <c r="C3" s="109"/>
      <c r="D3" s="109"/>
      <c r="E3" s="109"/>
      <c r="F3" s="109"/>
      <c r="G3" s="109"/>
      <c r="H3" s="109"/>
      <c r="I3" s="109"/>
      <c r="K3" s="28"/>
      <c r="L3" s="27"/>
      <c r="M3" s="27"/>
      <c r="N3" s="27"/>
      <c r="O3" s="27"/>
      <c r="P3" s="27"/>
      <c r="Q3" s="27"/>
      <c r="X3" s="1"/>
      <c r="AB3" s="1"/>
      <c r="AC3" s="1"/>
      <c r="AE3" s="1"/>
      <c r="BR3" s="75"/>
      <c r="BS3" s="1"/>
      <c r="BV3" s="75"/>
      <c r="BW3" s="22"/>
      <c r="BX3" s="75"/>
    </row>
    <row r="4" spans="2:78" ht="67.5" x14ac:dyDescent="0.2">
      <c r="B4" s="3" t="s">
        <v>3</v>
      </c>
      <c r="C4" s="4" t="s">
        <v>4</v>
      </c>
      <c r="D4" s="4" t="s">
        <v>5</v>
      </c>
      <c r="E4" s="5" t="s">
        <v>1</v>
      </c>
      <c r="F4" s="6" t="s">
        <v>2</v>
      </c>
      <c r="G4" s="6" t="s">
        <v>11</v>
      </c>
      <c r="H4" s="7" t="s">
        <v>18</v>
      </c>
      <c r="I4" s="8" t="s">
        <v>16</v>
      </c>
      <c r="K4" s="9" t="s">
        <v>17</v>
      </c>
      <c r="L4" s="9" t="s">
        <v>42</v>
      </c>
      <c r="M4" s="9" t="s">
        <v>36</v>
      </c>
      <c r="N4" s="9" t="s">
        <v>37</v>
      </c>
      <c r="O4" s="9" t="s">
        <v>38</v>
      </c>
      <c r="P4" s="9" t="s">
        <v>44</v>
      </c>
      <c r="Q4" s="9" t="s">
        <v>43</v>
      </c>
      <c r="S4" s="33" t="s">
        <v>45</v>
      </c>
      <c r="T4" s="9" t="s">
        <v>36</v>
      </c>
      <c r="U4" s="9" t="s">
        <v>37</v>
      </c>
      <c r="V4" s="9" t="s">
        <v>38</v>
      </c>
      <c r="X4" s="9" t="s">
        <v>46</v>
      </c>
      <c r="Y4" s="9" t="s">
        <v>36</v>
      </c>
      <c r="Z4" s="37" t="s">
        <v>37</v>
      </c>
      <c r="AA4" s="37" t="s">
        <v>38</v>
      </c>
      <c r="AB4" s="9" t="s">
        <v>44</v>
      </c>
      <c r="AC4" s="9" t="s">
        <v>47</v>
      </c>
      <c r="AE4" s="31" t="s">
        <v>48</v>
      </c>
      <c r="AG4" s="9" t="s">
        <v>49</v>
      </c>
      <c r="AI4" s="46" t="s">
        <v>50</v>
      </c>
      <c r="AK4" s="9" t="s">
        <v>51</v>
      </c>
      <c r="AL4" s="47"/>
      <c r="AM4" s="46" t="s">
        <v>52</v>
      </c>
      <c r="AO4" s="57" t="s">
        <v>53</v>
      </c>
      <c r="AP4" s="58" t="s">
        <v>54</v>
      </c>
      <c r="AQ4" s="58" t="s">
        <v>55</v>
      </c>
      <c r="AR4" s="58" t="s">
        <v>56</v>
      </c>
      <c r="AS4" s="58" t="s">
        <v>57</v>
      </c>
      <c r="AT4" s="57" t="s">
        <v>58</v>
      </c>
      <c r="AU4" s="59" t="s">
        <v>59</v>
      </c>
      <c r="AV4" s="58" t="s">
        <v>55</v>
      </c>
      <c r="AW4" s="58" t="s">
        <v>60</v>
      </c>
      <c r="AX4" s="58" t="s">
        <v>61</v>
      </c>
      <c r="AY4" s="57" t="s">
        <v>62</v>
      </c>
      <c r="AZ4" s="58" t="s">
        <v>55</v>
      </c>
      <c r="BA4" s="58" t="s">
        <v>56</v>
      </c>
      <c r="BB4" s="58" t="s">
        <v>78</v>
      </c>
      <c r="BC4" s="57" t="s">
        <v>63</v>
      </c>
      <c r="BD4" s="57" t="s">
        <v>64</v>
      </c>
      <c r="BE4" s="57" t="s">
        <v>65</v>
      </c>
      <c r="BF4" s="60" t="s">
        <v>66</v>
      </c>
      <c r="BG4" s="58" t="s">
        <v>55</v>
      </c>
      <c r="BH4" s="58" t="s">
        <v>56</v>
      </c>
      <c r="BI4" s="58" t="s">
        <v>79</v>
      </c>
      <c r="BJ4" s="61" t="s">
        <v>67</v>
      </c>
      <c r="BK4" s="62" t="s">
        <v>68</v>
      </c>
      <c r="BL4" s="62" t="s">
        <v>69</v>
      </c>
      <c r="BM4" s="62" t="s">
        <v>70</v>
      </c>
      <c r="BN4" s="62" t="s">
        <v>82</v>
      </c>
      <c r="BO4" s="62" t="s">
        <v>71</v>
      </c>
      <c r="BP4" s="62" t="s">
        <v>72</v>
      </c>
      <c r="BQ4" s="60" t="s">
        <v>73</v>
      </c>
      <c r="BR4" s="48" t="s">
        <v>74</v>
      </c>
      <c r="BS4" s="48" t="s">
        <v>75</v>
      </c>
      <c r="BT4" s="48" t="s">
        <v>76</v>
      </c>
      <c r="BU4" s="48" t="s">
        <v>86</v>
      </c>
      <c r="BV4" s="24" t="s">
        <v>44</v>
      </c>
      <c r="BW4" s="76"/>
      <c r="BX4" s="59" t="s">
        <v>87</v>
      </c>
      <c r="BY4" s="59" t="s">
        <v>76</v>
      </c>
      <c r="BZ4" s="59" t="s">
        <v>88</v>
      </c>
    </row>
    <row r="5" spans="2:78" ht="33.75" x14ac:dyDescent="0.2">
      <c r="B5" s="10">
        <v>1</v>
      </c>
      <c r="C5" s="10">
        <v>8714500</v>
      </c>
      <c r="D5" s="11" t="s">
        <v>19</v>
      </c>
      <c r="E5" s="12" t="s">
        <v>6</v>
      </c>
      <c r="F5" s="10" t="s">
        <v>0</v>
      </c>
      <c r="G5" s="13">
        <v>4721</v>
      </c>
      <c r="H5" s="10" t="s">
        <v>20</v>
      </c>
      <c r="I5" s="10">
        <v>1</v>
      </c>
      <c r="K5" s="10"/>
      <c r="L5" s="10" t="s">
        <v>41</v>
      </c>
      <c r="M5" s="10"/>
      <c r="N5" s="10"/>
      <c r="O5" s="10"/>
      <c r="P5" s="10">
        <v>3646.61</v>
      </c>
      <c r="Q5" s="10" t="s">
        <v>41</v>
      </c>
      <c r="S5" s="53">
        <v>15750000</v>
      </c>
      <c r="T5" s="10"/>
      <c r="U5" s="30">
        <f>+S5</f>
        <v>15750000</v>
      </c>
      <c r="V5" s="10"/>
      <c r="X5" s="41">
        <v>2000</v>
      </c>
      <c r="Y5" s="10" t="s">
        <v>12</v>
      </c>
      <c r="Z5" s="38">
        <v>2000</v>
      </c>
      <c r="AA5" s="38">
        <v>2000</v>
      </c>
      <c r="AB5" s="42">
        <v>3646.61</v>
      </c>
      <c r="AC5" s="54">
        <f>+X5*AB5</f>
        <v>7293220</v>
      </c>
      <c r="AE5" s="10" t="s">
        <v>41</v>
      </c>
      <c r="AG5" s="55">
        <v>15580000</v>
      </c>
      <c r="AI5" s="10" t="s">
        <v>41</v>
      </c>
      <c r="AK5" s="18" t="s">
        <v>41</v>
      </c>
      <c r="AM5" s="18" t="s">
        <v>41</v>
      </c>
      <c r="AO5" s="2"/>
      <c r="AP5" s="50">
        <v>3000000</v>
      </c>
      <c r="AQ5" s="50">
        <v>106.58</v>
      </c>
      <c r="AR5" s="50">
        <v>99.3</v>
      </c>
      <c r="AS5" s="72">
        <f>+AP5*(AQ5/AR5)</f>
        <v>3219939.5770392749</v>
      </c>
      <c r="AT5" s="68"/>
      <c r="AU5" s="2"/>
      <c r="AV5" s="49">
        <v>106.58</v>
      </c>
      <c r="AW5" s="49">
        <v>103.43</v>
      </c>
      <c r="AX5" s="65"/>
      <c r="AY5" s="68"/>
      <c r="AZ5" s="50">
        <v>106.58</v>
      </c>
      <c r="BA5" s="50">
        <v>103.43</v>
      </c>
      <c r="BB5" s="72"/>
      <c r="BC5" s="68"/>
      <c r="BD5" s="68"/>
      <c r="BE5" s="68"/>
      <c r="BF5" s="50">
        <v>6500000</v>
      </c>
      <c r="BG5" s="50">
        <v>106.58</v>
      </c>
      <c r="BH5" s="50">
        <v>105.23</v>
      </c>
      <c r="BI5" s="72">
        <f>+BF5*(BG5/BH5)</f>
        <v>6583388.7674617497</v>
      </c>
      <c r="BJ5" s="50">
        <f>+BI5</f>
        <v>6583388.7674617497</v>
      </c>
      <c r="BK5" s="70">
        <f>+MIN(S5,AC5,AG5,BJ5)</f>
        <v>6583388.7674617497</v>
      </c>
      <c r="BL5" s="70">
        <f>+AVERAGE(S5,AC5,AG5,BJ5)</f>
        <v>11301652.191865437</v>
      </c>
      <c r="BM5" s="70">
        <f>+GEOMEAN(S5,AC5,AG5,BJ5)</f>
        <v>10418476.272098808</v>
      </c>
      <c r="BN5" s="70">
        <f>+AVERAGE(BK5,BM5)</f>
        <v>8500932.5197802782</v>
      </c>
      <c r="BO5" s="70">
        <f>+MEDIAN(S5,AC5,AG5,BJ5)</f>
        <v>11436610</v>
      </c>
      <c r="BP5" s="70">
        <f>+_xlfn.STDEV.S(S5,AC5,AG5,BJ5)</f>
        <v>5047164.1069797529</v>
      </c>
      <c r="BQ5" s="52">
        <f>+BP5/BO5</f>
        <v>0.44131644840383233</v>
      </c>
      <c r="BR5" s="70">
        <f>+BK5</f>
        <v>6583388.7674617497</v>
      </c>
      <c r="BS5" s="2" t="s">
        <v>77</v>
      </c>
      <c r="BT5" s="51">
        <f>+BR5*19%</f>
        <v>1250843.8658177324</v>
      </c>
      <c r="BU5" s="70">
        <f>+BR5+BT5</f>
        <v>7834232.6332794819</v>
      </c>
      <c r="BV5" s="51">
        <v>3646.61</v>
      </c>
      <c r="BX5" s="81">
        <f>+BR5/BV5</f>
        <v>1805.3449004587135</v>
      </c>
      <c r="BY5" s="64">
        <f>+BX5*19%</f>
        <v>343.01553108715558</v>
      </c>
      <c r="BZ5" s="81">
        <f>+BX5+BY5</f>
        <v>2148.3604315458692</v>
      </c>
    </row>
    <row r="6" spans="2:78" ht="33.75" x14ac:dyDescent="0.2">
      <c r="B6" s="10">
        <v>2</v>
      </c>
      <c r="C6" s="10">
        <v>8714500</v>
      </c>
      <c r="D6" s="11" t="s">
        <v>21</v>
      </c>
      <c r="E6" s="10" t="s">
        <v>22</v>
      </c>
      <c r="F6" s="10" t="s">
        <v>0</v>
      </c>
      <c r="G6" s="13" t="s">
        <v>23</v>
      </c>
      <c r="H6" s="10" t="s">
        <v>24</v>
      </c>
      <c r="I6" s="10">
        <v>1</v>
      </c>
      <c r="K6" s="10"/>
      <c r="L6" s="10" t="s">
        <v>41</v>
      </c>
      <c r="M6" s="10"/>
      <c r="N6" s="10"/>
      <c r="O6" s="10"/>
      <c r="P6" s="10">
        <v>3646.61</v>
      </c>
      <c r="Q6" s="10" t="s">
        <v>41</v>
      </c>
      <c r="S6" s="53">
        <v>6000000</v>
      </c>
      <c r="T6" s="10"/>
      <c r="U6" s="30">
        <f>+S6</f>
        <v>6000000</v>
      </c>
      <c r="V6" s="10"/>
      <c r="X6" s="41">
        <v>3650</v>
      </c>
      <c r="Y6" s="10" t="s">
        <v>12</v>
      </c>
      <c r="Z6" s="38">
        <v>3650</v>
      </c>
      <c r="AA6" s="38">
        <v>3650</v>
      </c>
      <c r="AB6" s="42">
        <v>3646.61</v>
      </c>
      <c r="AC6" s="54">
        <f>+X6*AB6</f>
        <v>13310126.5</v>
      </c>
      <c r="AE6" s="10" t="s">
        <v>41</v>
      </c>
      <c r="AG6" s="55">
        <v>790000</v>
      </c>
      <c r="AI6" s="10" t="s">
        <v>41</v>
      </c>
      <c r="AK6" s="18" t="s">
        <v>41</v>
      </c>
      <c r="AM6" s="18" t="s">
        <v>41</v>
      </c>
      <c r="AO6" s="20"/>
      <c r="AP6" s="50">
        <v>2200000</v>
      </c>
      <c r="AQ6" s="50">
        <v>106.58</v>
      </c>
      <c r="AR6" s="50">
        <v>99.3</v>
      </c>
      <c r="AS6" s="72">
        <f>+AP6*(AQ6/AR6)</f>
        <v>2361289.0231621349</v>
      </c>
      <c r="AT6" s="69"/>
      <c r="AU6" s="20"/>
      <c r="AV6" s="20"/>
      <c r="AW6" s="20"/>
      <c r="AX6" s="69"/>
      <c r="AY6" s="65">
        <v>1776000</v>
      </c>
      <c r="AZ6" s="50">
        <v>106.58</v>
      </c>
      <c r="BA6" s="50">
        <v>103.43</v>
      </c>
      <c r="BB6" s="72">
        <f>+AY6*(AZ6/BA6)</f>
        <v>1830088.7556801699</v>
      </c>
      <c r="BC6" s="69"/>
      <c r="BD6" s="69"/>
      <c r="BE6" s="69"/>
      <c r="BF6" s="50">
        <v>823600</v>
      </c>
      <c r="BG6" s="50">
        <v>106.58</v>
      </c>
      <c r="BH6" s="50">
        <v>105.23</v>
      </c>
      <c r="BI6" s="72">
        <f>+BF6*(BG6/BH6)</f>
        <v>834165.99828946101</v>
      </c>
      <c r="BJ6" s="50">
        <f>+BI6</f>
        <v>834165.99828946101</v>
      </c>
      <c r="BK6" s="70">
        <f>+MIN(S6,AC6,AG6,BJ6)</f>
        <v>790000</v>
      </c>
      <c r="BL6" s="70">
        <f>+AVERAGE(AG6,BJ6)</f>
        <v>812082.99914473051</v>
      </c>
      <c r="BM6" s="70">
        <f>+GEOMEAN(AG6,BJ6)</f>
        <v>811782.69176465832</v>
      </c>
      <c r="BN6" s="70">
        <f>+AVERAGE(BK6,BM6)</f>
        <v>800891.34588232916</v>
      </c>
      <c r="BO6" s="70">
        <f>+MEDIAN(AG6,BJ6)</f>
        <v>812082.99914473051</v>
      </c>
      <c r="BP6" s="70">
        <f>+_xlfn.STDEV.S(AG6,BJ6)</f>
        <v>31230.076888351341</v>
      </c>
      <c r="BQ6" s="52">
        <f>+BP6/BO6</f>
        <v>3.845675493914074E-2</v>
      </c>
      <c r="BR6" s="68">
        <f>+BJ6</f>
        <v>834165.99828946101</v>
      </c>
      <c r="BS6" s="2" t="s">
        <v>81</v>
      </c>
      <c r="BT6" s="51">
        <f>+BR6*19%</f>
        <v>158491.53967499759</v>
      </c>
      <c r="BU6" s="70">
        <f t="shared" ref="BU6:BU15" si="0">+BR6+BT6</f>
        <v>992657.53796445858</v>
      </c>
      <c r="BV6" s="51">
        <v>3646.61</v>
      </c>
      <c r="BX6" s="81">
        <f t="shared" ref="BX6:BX15" si="1">+BR6/BV6</f>
        <v>228.75108615658405</v>
      </c>
      <c r="BY6" s="64">
        <f t="shared" ref="BY6:BY15" si="2">+BX6*19%</f>
        <v>43.462706369750968</v>
      </c>
      <c r="BZ6" s="81">
        <f t="shared" ref="BZ6:BZ15" si="3">+BX6+BY6</f>
        <v>272.213792526335</v>
      </c>
    </row>
    <row r="7" spans="2:78" x14ac:dyDescent="0.2">
      <c r="B7" s="108" t="s">
        <v>14</v>
      </c>
      <c r="C7" s="109"/>
      <c r="D7" s="109"/>
      <c r="E7" s="109"/>
      <c r="F7" s="109"/>
      <c r="G7" s="109"/>
      <c r="H7" s="109"/>
      <c r="I7" s="109"/>
      <c r="P7" s="10"/>
      <c r="X7" s="39"/>
      <c r="Z7" s="39"/>
      <c r="AA7" s="39"/>
      <c r="AB7" s="10"/>
      <c r="AC7" s="39"/>
      <c r="AE7" s="1"/>
      <c r="AG7" s="43"/>
      <c r="BF7" s="67"/>
      <c r="BG7" s="71"/>
      <c r="BH7" s="71"/>
      <c r="BI7" s="71"/>
      <c r="BR7" s="75"/>
      <c r="BS7" s="1"/>
      <c r="BT7" s="75"/>
      <c r="BU7" s="70"/>
      <c r="BV7" s="29"/>
      <c r="BW7" s="75"/>
      <c r="BX7" s="79"/>
      <c r="BY7" s="80"/>
      <c r="BZ7" s="79"/>
    </row>
    <row r="8" spans="2:78" ht="56.25" x14ac:dyDescent="0.2">
      <c r="B8" s="10">
        <v>1</v>
      </c>
      <c r="C8" s="10">
        <v>8714500</v>
      </c>
      <c r="D8" s="11" t="s">
        <v>25</v>
      </c>
      <c r="E8" s="10" t="s">
        <v>9</v>
      </c>
      <c r="F8" s="10" t="s">
        <v>0</v>
      </c>
      <c r="G8" s="14" t="s">
        <v>26</v>
      </c>
      <c r="H8" s="10" t="s">
        <v>24</v>
      </c>
      <c r="I8" s="10">
        <v>1</v>
      </c>
      <c r="K8" s="10"/>
      <c r="L8" s="10" t="s">
        <v>41</v>
      </c>
      <c r="M8" s="10"/>
      <c r="N8" s="10"/>
      <c r="O8" s="10"/>
      <c r="P8" s="10">
        <v>3646.61</v>
      </c>
      <c r="Q8" s="10" t="s">
        <v>41</v>
      </c>
      <c r="S8" s="53">
        <v>6000000</v>
      </c>
      <c r="T8" s="10"/>
      <c r="U8" s="30">
        <f>+S8</f>
        <v>6000000</v>
      </c>
      <c r="V8" s="10"/>
      <c r="X8" s="41">
        <v>3500</v>
      </c>
      <c r="Y8" s="10" t="s">
        <v>12</v>
      </c>
      <c r="Z8" s="38">
        <v>3500</v>
      </c>
      <c r="AA8" s="38">
        <v>3500</v>
      </c>
      <c r="AB8" s="42">
        <v>3646.61</v>
      </c>
      <c r="AC8" s="54">
        <f>+X8*AB8</f>
        <v>12763135</v>
      </c>
      <c r="AE8" s="10" t="s">
        <v>41</v>
      </c>
      <c r="AG8" s="56">
        <v>790000</v>
      </c>
      <c r="AI8" s="10" t="s">
        <v>41</v>
      </c>
      <c r="AK8" s="18" t="s">
        <v>41</v>
      </c>
      <c r="AM8" s="18" t="s">
        <v>41</v>
      </c>
      <c r="AO8" s="20"/>
      <c r="AP8" s="69"/>
      <c r="AQ8" s="50">
        <v>106.58</v>
      </c>
      <c r="AR8" s="50">
        <v>99.3</v>
      </c>
      <c r="AS8" s="72"/>
      <c r="AT8" s="69"/>
      <c r="AU8" s="20"/>
      <c r="AV8" s="20"/>
      <c r="AW8" s="20"/>
      <c r="AX8" s="69"/>
      <c r="AY8" s="69"/>
      <c r="AZ8" s="50">
        <v>106.58</v>
      </c>
      <c r="BA8" s="50">
        <v>103.43</v>
      </c>
      <c r="BB8" s="72"/>
      <c r="BC8" s="69"/>
      <c r="BD8" s="69"/>
      <c r="BE8" s="69"/>
      <c r="BF8" s="50"/>
      <c r="BG8" s="50">
        <v>106.58</v>
      </c>
      <c r="BH8" s="50">
        <v>105.23</v>
      </c>
      <c r="BI8" s="72"/>
      <c r="BJ8" s="69"/>
      <c r="BK8" s="70">
        <f>+MIN(S8,AG8)</f>
        <v>790000</v>
      </c>
      <c r="BL8" s="70">
        <f>+AVERAGE(S8,AG8)</f>
        <v>3395000</v>
      </c>
      <c r="BM8" s="70">
        <f>+GEOMEAN(S8,AG8)</f>
        <v>2177154.1057077241</v>
      </c>
      <c r="BN8" s="70">
        <f>+AVERAGE(BK8,BM8)</f>
        <v>1483577.0528538621</v>
      </c>
      <c r="BO8" s="70">
        <f>+MEDIAN(S8,AG8)</f>
        <v>3395000</v>
      </c>
      <c r="BP8" s="70">
        <f>+_xlfn.STDEV.S(S8,AG8)</f>
        <v>3684026.3299819124</v>
      </c>
      <c r="BQ8" s="52">
        <f>+BP8/BO8</f>
        <v>1.0851329396117562</v>
      </c>
      <c r="BR8" s="68">
        <f>+BN8</f>
        <v>1483577.0528538621</v>
      </c>
      <c r="BS8" s="34" t="s">
        <v>82</v>
      </c>
      <c r="BT8" s="51">
        <f>+BR8*19%</f>
        <v>281879.6400422338</v>
      </c>
      <c r="BU8" s="70">
        <f t="shared" si="0"/>
        <v>1765456.6928960958</v>
      </c>
      <c r="BV8" s="51">
        <v>3646.61</v>
      </c>
      <c r="BX8" s="81">
        <f t="shared" si="1"/>
        <v>406.83732366605204</v>
      </c>
      <c r="BY8" s="64">
        <f t="shared" si="2"/>
        <v>77.299091496549892</v>
      </c>
      <c r="BZ8" s="81">
        <f t="shared" si="3"/>
        <v>484.13641516260191</v>
      </c>
    </row>
    <row r="9" spans="2:78" x14ac:dyDescent="0.2">
      <c r="B9" s="110" t="s">
        <v>15</v>
      </c>
      <c r="C9" s="111"/>
      <c r="D9" s="111"/>
      <c r="E9" s="111"/>
      <c r="F9" s="111"/>
      <c r="G9" s="111"/>
      <c r="H9" s="111"/>
      <c r="I9" s="111"/>
      <c r="P9" s="10"/>
      <c r="X9" s="39"/>
      <c r="Z9" s="39"/>
      <c r="AA9" s="39"/>
      <c r="AB9" s="10"/>
      <c r="AC9" s="39"/>
      <c r="AE9" s="1"/>
      <c r="AG9" s="43"/>
      <c r="BF9" s="67"/>
      <c r="BG9" s="71"/>
      <c r="BH9" s="71"/>
      <c r="BI9" s="71"/>
      <c r="BR9" s="75"/>
      <c r="BS9" s="1"/>
      <c r="BT9" s="75"/>
      <c r="BU9" s="70"/>
      <c r="BV9" s="29"/>
      <c r="BW9" s="75"/>
      <c r="BX9" s="79"/>
      <c r="BY9" s="80"/>
      <c r="BZ9" s="79"/>
    </row>
    <row r="10" spans="2:78" ht="56.25" x14ac:dyDescent="0.2">
      <c r="B10" s="10">
        <v>1</v>
      </c>
      <c r="C10" s="15">
        <v>8714500</v>
      </c>
      <c r="D10" s="11" t="s">
        <v>25</v>
      </c>
      <c r="E10" s="10" t="s">
        <v>9</v>
      </c>
      <c r="F10" s="10" t="s">
        <v>0</v>
      </c>
      <c r="G10" s="14" t="s">
        <v>27</v>
      </c>
      <c r="H10" s="10" t="s">
        <v>24</v>
      </c>
      <c r="I10" s="10">
        <v>1</v>
      </c>
      <c r="K10" s="10"/>
      <c r="L10" s="10" t="s">
        <v>41</v>
      </c>
      <c r="M10" s="10"/>
      <c r="N10" s="10"/>
      <c r="O10" s="10"/>
      <c r="P10" s="10">
        <v>3646.61</v>
      </c>
      <c r="Q10" s="10" t="s">
        <v>41</v>
      </c>
      <c r="S10" s="53">
        <v>6000000</v>
      </c>
      <c r="T10" s="10"/>
      <c r="U10" s="30">
        <f>+S10</f>
        <v>6000000</v>
      </c>
      <c r="V10" s="10"/>
      <c r="X10" s="41">
        <v>3500</v>
      </c>
      <c r="Y10" s="10" t="s">
        <v>12</v>
      </c>
      <c r="Z10" s="38">
        <v>3500</v>
      </c>
      <c r="AA10" s="38">
        <v>3500</v>
      </c>
      <c r="AB10" s="42">
        <v>3646.61</v>
      </c>
      <c r="AC10" s="54">
        <f t="shared" ref="AC10:AC12" si="4">+X10*AB10</f>
        <v>12763135</v>
      </c>
      <c r="AE10" s="10" t="s">
        <v>41</v>
      </c>
      <c r="AG10" s="56">
        <v>790000</v>
      </c>
      <c r="AI10" s="10" t="s">
        <v>41</v>
      </c>
      <c r="AK10" s="18" t="s">
        <v>41</v>
      </c>
      <c r="AM10" s="18" t="s">
        <v>41</v>
      </c>
      <c r="AO10" s="20"/>
      <c r="AP10" s="69"/>
      <c r="AQ10" s="50">
        <v>106.58</v>
      </c>
      <c r="AR10" s="50">
        <v>99.3</v>
      </c>
      <c r="AS10" s="72"/>
      <c r="AT10" s="69"/>
      <c r="AU10" s="20"/>
      <c r="AV10" s="20"/>
      <c r="AW10" s="20"/>
      <c r="AX10" s="69"/>
      <c r="AY10" s="69"/>
      <c r="AZ10" s="50">
        <v>106.58</v>
      </c>
      <c r="BA10" s="50">
        <v>103.43</v>
      </c>
      <c r="BB10" s="72"/>
      <c r="BC10" s="69"/>
      <c r="BD10" s="69"/>
      <c r="BE10" s="69"/>
      <c r="BF10" s="50"/>
      <c r="BG10" s="50">
        <v>106.58</v>
      </c>
      <c r="BH10" s="50">
        <v>105.23</v>
      </c>
      <c r="BI10" s="72"/>
      <c r="BJ10" s="69"/>
      <c r="BK10" s="70">
        <f>+MIN(S10,AG10)</f>
        <v>790000</v>
      </c>
      <c r="BL10" s="70">
        <f>+AVERAGE(S10,AG10)</f>
        <v>3395000</v>
      </c>
      <c r="BM10" s="70">
        <f>+GEOMEAN(S10,AG10)</f>
        <v>2177154.1057077241</v>
      </c>
      <c r="BN10" s="70">
        <f t="shared" ref="BN10:BN12" si="5">+AVERAGE(BK10,BM10)</f>
        <v>1483577.0528538621</v>
      </c>
      <c r="BO10" s="70">
        <f>+MEDIAN(S10,AG10)</f>
        <v>3395000</v>
      </c>
      <c r="BP10" s="70">
        <f>+_xlfn.STDEV.S(S10,AG10)</f>
        <v>3684026.3299819124</v>
      </c>
      <c r="BQ10" s="52">
        <f>+BP10/BO10</f>
        <v>1.0851329396117562</v>
      </c>
      <c r="BR10" s="68">
        <f>+BN10</f>
        <v>1483577.0528538621</v>
      </c>
      <c r="BS10" s="34" t="s">
        <v>82</v>
      </c>
      <c r="BT10" s="51">
        <f t="shared" ref="BT10:BT12" si="6">+BR10*19%</f>
        <v>281879.6400422338</v>
      </c>
      <c r="BU10" s="70">
        <f t="shared" si="0"/>
        <v>1765456.6928960958</v>
      </c>
      <c r="BV10" s="51">
        <v>3646.61</v>
      </c>
      <c r="BX10" s="81">
        <f t="shared" si="1"/>
        <v>406.83732366605204</v>
      </c>
      <c r="BY10" s="64">
        <f t="shared" si="2"/>
        <v>77.299091496549892</v>
      </c>
      <c r="BZ10" s="81">
        <f t="shared" si="3"/>
        <v>484.13641516260191</v>
      </c>
    </row>
    <row r="11" spans="2:78" ht="56.25" x14ac:dyDescent="0.2">
      <c r="B11" s="10">
        <v>2</v>
      </c>
      <c r="C11" s="15">
        <v>8714500</v>
      </c>
      <c r="D11" s="11" t="s">
        <v>21</v>
      </c>
      <c r="E11" s="10" t="s">
        <v>8</v>
      </c>
      <c r="F11" s="10" t="s">
        <v>0</v>
      </c>
      <c r="G11" s="14" t="s">
        <v>28</v>
      </c>
      <c r="H11" s="10" t="s">
        <v>29</v>
      </c>
      <c r="I11" s="10">
        <v>1</v>
      </c>
      <c r="K11" s="10"/>
      <c r="L11" s="10" t="s">
        <v>41</v>
      </c>
      <c r="M11" s="10"/>
      <c r="N11" s="10"/>
      <c r="O11" s="10"/>
      <c r="P11" s="10">
        <v>3646.61</v>
      </c>
      <c r="Q11" s="10" t="s">
        <v>41</v>
      </c>
      <c r="S11" s="53">
        <v>15750000</v>
      </c>
      <c r="T11" s="10"/>
      <c r="U11" s="30">
        <f>+S11</f>
        <v>15750000</v>
      </c>
      <c r="V11" s="10"/>
      <c r="X11" s="41">
        <v>3500</v>
      </c>
      <c r="Y11" s="10" t="s">
        <v>12</v>
      </c>
      <c r="Z11" s="38">
        <v>3500</v>
      </c>
      <c r="AA11" s="38">
        <v>3500</v>
      </c>
      <c r="AB11" s="42">
        <v>3646.61</v>
      </c>
      <c r="AC11" s="54">
        <f t="shared" si="4"/>
        <v>12763135</v>
      </c>
      <c r="AE11" s="10" t="s">
        <v>41</v>
      </c>
      <c r="AG11" s="56">
        <v>16180000</v>
      </c>
      <c r="AI11" s="10" t="s">
        <v>41</v>
      </c>
      <c r="AK11" s="18" t="s">
        <v>41</v>
      </c>
      <c r="AM11" s="18" t="s">
        <v>41</v>
      </c>
      <c r="AO11" s="20"/>
      <c r="AP11" s="69"/>
      <c r="AQ11" s="50">
        <v>106.58</v>
      </c>
      <c r="AR11" s="50">
        <v>99.3</v>
      </c>
      <c r="AS11" s="72"/>
      <c r="AT11" s="69"/>
      <c r="AU11" s="20"/>
      <c r="AV11" s="20"/>
      <c r="AW11" s="20"/>
      <c r="AX11" s="69"/>
      <c r="AY11" s="69"/>
      <c r="AZ11" s="50">
        <v>106.58</v>
      </c>
      <c r="BA11" s="50">
        <v>103.43</v>
      </c>
      <c r="BB11" s="72"/>
      <c r="BC11" s="69"/>
      <c r="BD11" s="69"/>
      <c r="BE11" s="69"/>
      <c r="BF11" s="50"/>
      <c r="BG11" s="50">
        <v>106.58</v>
      </c>
      <c r="BH11" s="50">
        <v>105.23</v>
      </c>
      <c r="BI11" s="72"/>
      <c r="BJ11" s="69"/>
      <c r="BK11" s="70">
        <f t="shared" ref="BK11:BK12" si="7">+MIN(S11,AC11,AG11,BJ11)</f>
        <v>12763135</v>
      </c>
      <c r="BL11" s="70">
        <f t="shared" ref="BL11:BL12" si="8">+AVERAGE(S11,AC11,AG11,BJ11)</f>
        <v>14897711.666666666</v>
      </c>
      <c r="BM11" s="70">
        <f t="shared" ref="BM11:BM12" si="9">+GEOMEAN(S11,AC11,AG11,BJ11)</f>
        <v>14816267.582268232</v>
      </c>
      <c r="BN11" s="70">
        <f t="shared" si="5"/>
        <v>13789701.291134115</v>
      </c>
      <c r="BO11" s="70">
        <f>+MEDIAN(S11,AC11,AG11,BJ11)</f>
        <v>15750000</v>
      </c>
      <c r="BP11" s="70">
        <f>+_xlfn.STDEV.S(S11,AC11,AG11,BJ11)</f>
        <v>1861058.343902284</v>
      </c>
      <c r="BQ11" s="52">
        <f t="shared" ref="BQ11:BQ12" si="10">+BP11/BO11</f>
        <v>0.11816243453347836</v>
      </c>
      <c r="BR11" s="70">
        <f>+BK11</f>
        <v>12763135</v>
      </c>
      <c r="BS11" s="2" t="s">
        <v>77</v>
      </c>
      <c r="BT11" s="51">
        <f>+BR11*19%</f>
        <v>2424995.65</v>
      </c>
      <c r="BU11" s="70">
        <f t="shared" si="0"/>
        <v>15188130.65</v>
      </c>
      <c r="BV11" s="51">
        <v>3646.61</v>
      </c>
      <c r="BX11" s="81">
        <f t="shared" si="1"/>
        <v>3500</v>
      </c>
      <c r="BY11" s="64">
        <f t="shared" si="2"/>
        <v>665</v>
      </c>
      <c r="BZ11" s="81">
        <f t="shared" si="3"/>
        <v>4165</v>
      </c>
    </row>
    <row r="12" spans="2:78" ht="33.75" x14ac:dyDescent="0.2">
      <c r="B12" s="10">
        <v>3</v>
      </c>
      <c r="C12" s="15">
        <v>8714500</v>
      </c>
      <c r="D12" s="11" t="s">
        <v>30</v>
      </c>
      <c r="E12" s="10" t="s">
        <v>7</v>
      </c>
      <c r="F12" s="10" t="s">
        <v>0</v>
      </c>
      <c r="G12" s="14" t="s">
        <v>31</v>
      </c>
      <c r="H12" s="10" t="s">
        <v>20</v>
      </c>
      <c r="I12" s="10">
        <v>1</v>
      </c>
      <c r="K12" s="10"/>
      <c r="L12" s="10" t="s">
        <v>41</v>
      </c>
      <c r="M12" s="10"/>
      <c r="N12" s="10"/>
      <c r="O12" s="10"/>
      <c r="P12" s="10">
        <v>3646.61</v>
      </c>
      <c r="Q12" s="10" t="s">
        <v>41</v>
      </c>
      <c r="S12" s="53">
        <v>15750000</v>
      </c>
      <c r="T12" s="10"/>
      <c r="U12" s="30">
        <f>+S12</f>
        <v>15750000</v>
      </c>
      <c r="V12" s="10"/>
      <c r="X12" s="41">
        <v>3500</v>
      </c>
      <c r="Y12" s="10" t="s">
        <v>12</v>
      </c>
      <c r="Z12" s="38">
        <v>3500</v>
      </c>
      <c r="AA12" s="38">
        <v>3500</v>
      </c>
      <c r="AB12" s="42">
        <v>3646.61</v>
      </c>
      <c r="AC12" s="54">
        <f t="shared" si="4"/>
        <v>12763135</v>
      </c>
      <c r="AE12" s="10" t="s">
        <v>41</v>
      </c>
      <c r="AG12" s="55">
        <v>15580000</v>
      </c>
      <c r="AI12" s="10" t="s">
        <v>41</v>
      </c>
      <c r="AK12" s="18" t="s">
        <v>41</v>
      </c>
      <c r="AM12" s="18" t="s">
        <v>41</v>
      </c>
      <c r="AO12" s="20"/>
      <c r="AP12" s="50">
        <v>3000000</v>
      </c>
      <c r="AQ12" s="50">
        <v>106.58</v>
      </c>
      <c r="AR12" s="50">
        <v>99.3</v>
      </c>
      <c r="AS12" s="72">
        <f t="shared" ref="AS12" si="11">+AP12*(AQ12/AR12)</f>
        <v>3219939.5770392749</v>
      </c>
      <c r="AT12" s="69"/>
      <c r="AU12" s="20"/>
      <c r="AV12" s="20"/>
      <c r="AW12" s="20"/>
      <c r="AX12" s="69"/>
      <c r="AY12" s="69"/>
      <c r="AZ12" s="50">
        <v>106.58</v>
      </c>
      <c r="BA12" s="50">
        <v>103.43</v>
      </c>
      <c r="BB12" s="72"/>
      <c r="BC12" s="69"/>
      <c r="BD12" s="69"/>
      <c r="BE12" s="69"/>
      <c r="BF12" s="50">
        <v>6500000</v>
      </c>
      <c r="BG12" s="50">
        <v>106.58</v>
      </c>
      <c r="BH12" s="50">
        <v>105.23</v>
      </c>
      <c r="BI12" s="72">
        <f t="shared" ref="BI12" si="12">+BF12*(BG12/BH12)</f>
        <v>6583388.7674617497</v>
      </c>
      <c r="BJ12" s="50">
        <f>+BI12</f>
        <v>6583388.7674617497</v>
      </c>
      <c r="BK12" s="70">
        <f t="shared" si="7"/>
        <v>6583388.7674617497</v>
      </c>
      <c r="BL12" s="70">
        <f t="shared" si="8"/>
        <v>12669130.941865437</v>
      </c>
      <c r="BM12" s="70">
        <f t="shared" si="9"/>
        <v>11982949.226115301</v>
      </c>
      <c r="BN12" s="70">
        <f t="shared" si="5"/>
        <v>9283168.996788526</v>
      </c>
      <c r="BO12" s="70">
        <f>+MEDIAN(S12,AC12,AG12,BJ12)</f>
        <v>14171567.5</v>
      </c>
      <c r="BP12" s="70">
        <f>+_xlfn.STDEV.S(S12,AC12,AG12,BJ12)</f>
        <v>4282133.7128133383</v>
      </c>
      <c r="BQ12" s="52">
        <f t="shared" si="10"/>
        <v>0.30216373120428197</v>
      </c>
      <c r="BR12" s="70">
        <f>+BK12</f>
        <v>6583388.7674617497</v>
      </c>
      <c r="BS12" s="2" t="s">
        <v>77</v>
      </c>
      <c r="BT12" s="51">
        <f t="shared" si="6"/>
        <v>1250843.8658177324</v>
      </c>
      <c r="BU12" s="70">
        <f t="shared" si="0"/>
        <v>7834232.6332794819</v>
      </c>
      <c r="BV12" s="51">
        <v>3646.61</v>
      </c>
      <c r="BX12" s="81">
        <f t="shared" si="1"/>
        <v>1805.3449004587135</v>
      </c>
      <c r="BY12" s="64">
        <f t="shared" si="2"/>
        <v>343.01553108715558</v>
      </c>
      <c r="BZ12" s="81">
        <f t="shared" si="3"/>
        <v>2148.3604315458692</v>
      </c>
    </row>
    <row r="13" spans="2:78" x14ac:dyDescent="0.2">
      <c r="B13" s="16"/>
      <c r="C13" s="16"/>
      <c r="D13" s="26"/>
      <c r="E13" s="16"/>
      <c r="F13" s="16"/>
      <c r="G13" s="17"/>
      <c r="H13" s="16"/>
      <c r="I13" s="16"/>
      <c r="K13" s="16"/>
      <c r="L13" s="16"/>
      <c r="M13" s="16"/>
      <c r="N13" s="16"/>
      <c r="O13" s="16"/>
      <c r="P13" s="10"/>
      <c r="Q13" s="16"/>
      <c r="S13" s="35"/>
      <c r="T13" s="16"/>
      <c r="U13" s="16"/>
      <c r="V13" s="16"/>
      <c r="X13" s="40"/>
      <c r="Y13" s="16"/>
      <c r="Z13" s="40"/>
      <c r="AA13" s="40"/>
      <c r="AB13" s="10"/>
      <c r="AC13" s="40"/>
      <c r="AE13" s="16"/>
      <c r="AG13" s="44"/>
      <c r="AI13" s="16"/>
      <c r="AK13" s="16"/>
      <c r="AM13" s="16"/>
      <c r="BR13" s="75"/>
      <c r="BS13" s="1"/>
      <c r="BT13" s="75"/>
      <c r="BU13" s="70"/>
      <c r="BV13" s="29"/>
      <c r="BW13" s="75"/>
      <c r="BX13" s="79"/>
      <c r="BY13" s="80"/>
      <c r="BZ13" s="79"/>
    </row>
    <row r="14" spans="2:78" x14ac:dyDescent="0.2">
      <c r="B14" s="102" t="s">
        <v>35</v>
      </c>
      <c r="C14" s="103"/>
      <c r="D14" s="103"/>
      <c r="E14" s="103"/>
      <c r="F14" s="103"/>
      <c r="G14" s="103"/>
      <c r="H14" s="103"/>
      <c r="I14" s="103"/>
      <c r="P14" s="10"/>
      <c r="X14" s="39"/>
      <c r="Z14" s="39"/>
      <c r="AA14" s="39"/>
      <c r="AB14" s="10"/>
      <c r="AC14" s="39"/>
      <c r="AE14" s="1"/>
      <c r="AG14" s="43"/>
      <c r="BR14" s="75"/>
      <c r="BS14" s="1"/>
      <c r="BT14" s="75"/>
      <c r="BU14" s="70"/>
      <c r="BV14" s="29"/>
      <c r="BW14" s="75"/>
      <c r="BX14" s="79"/>
      <c r="BY14" s="80"/>
      <c r="BZ14" s="79"/>
    </row>
    <row r="15" spans="2:78" ht="56.25" x14ac:dyDescent="0.2">
      <c r="B15" s="18">
        <v>1</v>
      </c>
      <c r="C15" s="18">
        <v>8714500</v>
      </c>
      <c r="D15" s="19" t="s">
        <v>32</v>
      </c>
      <c r="E15" s="18" t="s">
        <v>33</v>
      </c>
      <c r="F15" s="18" t="s">
        <v>0</v>
      </c>
      <c r="G15" s="18" t="s">
        <v>34</v>
      </c>
      <c r="H15" s="18" t="s">
        <v>29</v>
      </c>
      <c r="I15" s="18">
        <v>1</v>
      </c>
      <c r="K15" s="18"/>
      <c r="L15" s="10" t="s">
        <v>41</v>
      </c>
      <c r="M15" s="18"/>
      <c r="N15" s="18"/>
      <c r="O15" s="18"/>
      <c r="P15" s="10">
        <v>3646.61</v>
      </c>
      <c r="Q15" s="10" t="s">
        <v>41</v>
      </c>
      <c r="S15" s="53">
        <v>15750000</v>
      </c>
      <c r="T15" s="18"/>
      <c r="U15" s="30">
        <f>+S15</f>
        <v>15750000</v>
      </c>
      <c r="V15" s="18"/>
      <c r="X15" s="41">
        <v>3650</v>
      </c>
      <c r="Y15" s="10" t="s">
        <v>12</v>
      </c>
      <c r="Z15" s="38">
        <v>3650</v>
      </c>
      <c r="AA15" s="38">
        <v>3650</v>
      </c>
      <c r="AB15" s="42">
        <v>3646.61</v>
      </c>
      <c r="AC15" s="54">
        <f>+X15*AB15</f>
        <v>13310126.5</v>
      </c>
      <c r="AE15" s="10" t="s">
        <v>41</v>
      </c>
      <c r="AG15" s="55">
        <v>15580000</v>
      </c>
      <c r="AI15" s="10" t="s">
        <v>41</v>
      </c>
      <c r="AK15" s="10" t="s">
        <v>41</v>
      </c>
      <c r="AM15" s="10" t="s">
        <v>41</v>
      </c>
      <c r="AO15" s="20"/>
      <c r="AP15" s="50"/>
      <c r="AQ15" s="50">
        <v>106.58</v>
      </c>
      <c r="AR15" s="50">
        <v>99.3</v>
      </c>
      <c r="AS15" s="72"/>
      <c r="AT15" s="69"/>
      <c r="AU15" s="20"/>
      <c r="AV15" s="20"/>
      <c r="AW15" s="20"/>
      <c r="AX15" s="69"/>
      <c r="AY15" s="69"/>
      <c r="AZ15" s="50">
        <v>106.58</v>
      </c>
      <c r="BA15" s="50">
        <v>103.43</v>
      </c>
      <c r="BB15" s="72"/>
      <c r="BC15" s="69"/>
      <c r="BD15" s="69"/>
      <c r="BE15" s="69"/>
      <c r="BF15" s="69"/>
      <c r="BG15" s="50">
        <v>106.58</v>
      </c>
      <c r="BH15" s="50">
        <v>105.23</v>
      </c>
      <c r="BI15" s="72"/>
      <c r="BJ15" s="50"/>
      <c r="BK15" s="70">
        <f>+MIN(S15,AC15,AG15,BJ15)</f>
        <v>13310126.5</v>
      </c>
      <c r="BL15" s="70">
        <f>+AVERAGE(S15,AC15,AG15,BJ15)</f>
        <v>14880042.166666666</v>
      </c>
      <c r="BM15" s="70">
        <f>+GEOMEAN(S15,AC15,AG15,BJ15)</f>
        <v>14836907.809609465</v>
      </c>
      <c r="BN15" s="70">
        <f>+AVERAGE(BK15,BM15)</f>
        <v>14073517.154804733</v>
      </c>
      <c r="BO15" s="70">
        <f>+MEDIAN(S15,AC15,AG15,BJ15)</f>
        <v>15580000</v>
      </c>
      <c r="BP15" s="70">
        <f>+_xlfn.STDEV.S(S15,AC15,AG15,BJ15)</f>
        <v>1362241.3150151053</v>
      </c>
      <c r="BQ15" s="52">
        <f>+BP15/BO15</f>
        <v>8.7435257703151817E-2</v>
      </c>
      <c r="BR15" s="78">
        <f>+BK15</f>
        <v>13310126.5</v>
      </c>
      <c r="BS15" s="2" t="s">
        <v>77</v>
      </c>
      <c r="BT15" s="77">
        <f>+BR15*19%</f>
        <v>2528924.0350000001</v>
      </c>
      <c r="BU15" s="70">
        <f t="shared" si="0"/>
        <v>15839050.535</v>
      </c>
      <c r="BV15" s="77">
        <v>3646.61</v>
      </c>
      <c r="BX15" s="81">
        <f t="shared" si="1"/>
        <v>3650</v>
      </c>
      <c r="BY15" s="64">
        <f t="shared" si="2"/>
        <v>693.5</v>
      </c>
      <c r="BZ15" s="81">
        <f t="shared" si="3"/>
        <v>4343.5</v>
      </c>
    </row>
    <row r="16" spans="2:78" x14ac:dyDescent="0.2">
      <c r="BR16" s="1"/>
      <c r="BS16" s="1"/>
    </row>
    <row r="17" spans="51:78" x14ac:dyDescent="0.2">
      <c r="BR17" s="1"/>
      <c r="BS17" s="1"/>
      <c r="BZ17" s="82"/>
    </row>
    <row r="18" spans="51:78" x14ac:dyDescent="0.2">
      <c r="BR18" s="1"/>
      <c r="BS18" s="1"/>
      <c r="BZ18" s="23"/>
    </row>
    <row r="19" spans="51:78" x14ac:dyDescent="0.2">
      <c r="AY19" s="23"/>
      <c r="AZ19" s="23"/>
      <c r="BA19" s="23"/>
      <c r="BB19" s="23"/>
      <c r="BR19" s="1"/>
      <c r="BS19" s="1"/>
      <c r="BZ19" s="23"/>
    </row>
    <row r="20" spans="51:78" x14ac:dyDescent="0.2">
      <c r="BR20" s="1"/>
      <c r="BS20" s="1"/>
      <c r="BZ20" s="101"/>
    </row>
    <row r="21" spans="51:78" x14ac:dyDescent="0.2">
      <c r="BO21" s="32"/>
      <c r="BR21" s="1"/>
      <c r="BS21" s="1"/>
    </row>
  </sheetData>
  <sheetProtection algorithmName="SHA-512" hashValue="wcrjQfpVRFMTNjbFDIfhRWIzGFizA5k/eo5Gdke6keogTirWuO/3cdxzw9XsHQJDJHEZkgdOTxUxdOo+MffgKQ==" saltValue="O57yPVmmNqE0m6SvZ6kfIw==" spinCount="100000" sheet="1" objects="1" scenarios="1" selectLockedCells="1" selectUnlockedCells="1"/>
  <mergeCells count="9">
    <mergeCell ref="B14:I14"/>
    <mergeCell ref="BR2:BU2"/>
    <mergeCell ref="BX2:BZ2"/>
    <mergeCell ref="B1:I1"/>
    <mergeCell ref="K1:O1"/>
    <mergeCell ref="B2:I2"/>
    <mergeCell ref="B3:I3"/>
    <mergeCell ref="B7:I7"/>
    <mergeCell ref="B9:I9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HISTORICO </vt:lpstr>
      <vt:lpstr>ANALISIS</vt:lpstr>
      <vt:lpstr>PRECIOS DE REFERENCIA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AS. JENNY GUERRA RIZO</dc:creator>
  <cp:lastModifiedBy>AS. JENNY GUERRA RIZO</cp:lastModifiedBy>
  <dcterms:created xsi:type="dcterms:W3CDTF">2021-02-03T16:47:37Z</dcterms:created>
  <dcterms:modified xsi:type="dcterms:W3CDTF">2021-05-06T16:11:08Z</dcterms:modified>
</cp:coreProperties>
</file>