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drawings/drawing6.xml" ContentType="application/vnd.openxmlformats-officedocument.drawing+xml"/>
  <Override PartName="/xl/ctrlProps/ctrlProp6.xml" ContentType="application/vnd.ms-excel.controlproperties+xml"/>
  <Override PartName="/xl/drawings/drawing7.xml" ContentType="application/vnd.openxmlformats-officedocument.drawing+xml"/>
  <Override PartName="/xl/ctrlProps/ctrlProp7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EsteLibro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bookViews>
    <workbookView xWindow="0" yWindow="0" windowWidth="19200" windowHeight="7310" tabRatio="907" firstSheet="4" activeTab="9"/>
  </bookViews>
  <sheets>
    <sheet name="Verificaciones" sheetId="1" state="hidden" r:id="rId1"/>
    <sheet name="POA" sheetId="6" state="hidden" r:id="rId2"/>
    <sheet name="Puntajes" sheetId="14" state="hidden" r:id="rId3"/>
    <sheet name="Capacidad Financiera" sheetId="4" state="hidden" r:id="rId4"/>
    <sheet name="Puntaje Exp" sheetId="17" r:id="rId5"/>
    <sheet name="Puntaje CT" sheetId="16" r:id="rId6"/>
    <sheet name="Puntaje CF" sheetId="18" r:id="rId7"/>
    <sheet name="Saldo CtosEjecución" sheetId="19" r:id="rId8"/>
    <sheet name="Cap Organización" sheetId="20" r:id="rId9"/>
    <sheet name="Capacidad Residual" sheetId="5" r:id="rId10"/>
    <sheet name="PO" sheetId="7" state="hidden" r:id="rId11"/>
  </sheets>
  <definedNames>
    <definedName name="AnticipoM1">POA!$D$2</definedName>
    <definedName name="AnticipoM2">POA!$D$3</definedName>
    <definedName name="AnticipoM3">POA!$D$4</definedName>
    <definedName name="AnticipoM4">POA!$D$5</definedName>
    <definedName name="_xlnm.Print_Area" localSheetId="3">'Capacidad Financiera'!$B$1:$AD$11</definedName>
    <definedName name="CapFinanciera1">Puntajes!$C$12</definedName>
    <definedName name="CapFinanciera2">Puntajes!$C$13</definedName>
    <definedName name="CapFinanciera3">Puntajes!$C$14</definedName>
    <definedName name="CapFinanciera4">Puntajes!$C$15</definedName>
    <definedName name="CapTecnica1">Puntajes!$G$4</definedName>
    <definedName name="CapTecnica2">Puntajes!$G$5</definedName>
    <definedName name="Experiencia1">Puntajes!$C$4</definedName>
    <definedName name="Experiencia2">Puntajes!$C$5</definedName>
    <definedName name="Experiencia3">Puntajes!$C$6</definedName>
    <definedName name="PlazoM1">POA!$C$2</definedName>
    <definedName name="PlazoM2">POA!$C$3</definedName>
    <definedName name="PlazoM3">POA!$C$4</definedName>
    <definedName name="PlazoM4">POA!$C$5</definedName>
    <definedName name="prueba">#REF!</definedName>
    <definedName name="SALACTUAL">POA!$F$2</definedName>
    <definedName name="Z_7043DB3C_32B3_43B5_9ACE_4B1C78863594_.wvu.PrintArea" localSheetId="3" hidden="1">'Capacidad Financiera'!$B$1:$AD$11</definedName>
  </definedNames>
  <calcPr calcId="191029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12" i="4" l="1"/>
  <c r="AG12" i="4" s="1"/>
  <c r="AB12" i="4"/>
  <c r="S16" i="4"/>
  <c r="AB14" i="4"/>
  <c r="AB16" i="4"/>
  <c r="AB18" i="4"/>
  <c r="AB19" i="4"/>
  <c r="AB21" i="4"/>
  <c r="AB22" i="4"/>
  <c r="AB24" i="4"/>
  <c r="Y25" i="4"/>
  <c r="Y18" i="4"/>
  <c r="Y12" i="4"/>
  <c r="W12" i="4"/>
  <c r="W14" i="4"/>
  <c r="W16" i="4"/>
  <c r="W18" i="4"/>
  <c r="W19" i="4"/>
  <c r="W21" i="4"/>
  <c r="W22" i="4"/>
  <c r="W24" i="4"/>
  <c r="W25" i="4"/>
  <c r="U12" i="4"/>
  <c r="U25" i="4" l="1"/>
  <c r="U16" i="4"/>
  <c r="U18" i="4"/>
  <c r="U19" i="4"/>
  <c r="U21" i="4"/>
  <c r="U22" i="4"/>
  <c r="AI24" i="4"/>
  <c r="AI25" i="4"/>
  <c r="AB25" i="4"/>
  <c r="AI16" i="4"/>
  <c r="Y24" i="4"/>
  <c r="Y16" i="4"/>
  <c r="R16" i="4" l="1"/>
  <c r="X16" i="4" s="1"/>
  <c r="R17" i="4"/>
  <c r="R18" i="4"/>
  <c r="R19" i="4"/>
  <c r="R20" i="4"/>
  <c r="R21" i="4"/>
  <c r="R22" i="4"/>
  <c r="R23" i="4"/>
  <c r="R24" i="4"/>
  <c r="O25" i="4"/>
  <c r="O24" i="4"/>
  <c r="O23" i="4"/>
  <c r="O22" i="4"/>
  <c r="O21" i="4"/>
  <c r="O20" i="4"/>
  <c r="O19" i="4"/>
  <c r="O18" i="4"/>
  <c r="O17" i="4"/>
  <c r="O16" i="4"/>
  <c r="E23" i="4"/>
  <c r="E20" i="4"/>
  <c r="E17" i="4"/>
  <c r="E13" i="4"/>
  <c r="AJ24" i="4" l="1"/>
  <c r="AC24" i="4"/>
  <c r="Z24" i="4"/>
  <c r="V24" i="4"/>
  <c r="AC22" i="4"/>
  <c r="X22" i="4"/>
  <c r="V22" i="4"/>
  <c r="AC18" i="4"/>
  <c r="Z18" i="4"/>
  <c r="AJ16" i="4"/>
  <c r="AC16" i="4"/>
  <c r="Z16" i="4"/>
  <c r="AC21" i="4"/>
  <c r="V21" i="4"/>
  <c r="AC19" i="4"/>
  <c r="T19" i="4"/>
  <c r="V19" i="4"/>
  <c r="F23" i="4"/>
  <c r="G23" i="4"/>
  <c r="W23" i="4" s="1"/>
  <c r="H23" i="4"/>
  <c r="L23" i="4"/>
  <c r="M23" i="4"/>
  <c r="AE22" i="4"/>
  <c r="AF22" i="4" s="1"/>
  <c r="D23" i="4"/>
  <c r="F20" i="4"/>
  <c r="G20" i="4"/>
  <c r="W20" i="4" s="1"/>
  <c r="H20" i="4"/>
  <c r="L20" i="4"/>
  <c r="M20" i="4"/>
  <c r="D20" i="4"/>
  <c r="M17" i="4"/>
  <c r="L17" i="4"/>
  <c r="F17" i="4"/>
  <c r="G17" i="4"/>
  <c r="S17" i="4" s="1"/>
  <c r="T20" i="4" s="1"/>
  <c r="H17" i="4"/>
  <c r="D17" i="4"/>
  <c r="Q17" i="4"/>
  <c r="K16" i="4"/>
  <c r="AG16" i="4" s="1"/>
  <c r="AH16" i="4" s="1"/>
  <c r="J14" i="4"/>
  <c r="I14" i="4"/>
  <c r="J12" i="4"/>
  <c r="I12" i="4"/>
  <c r="J16" i="4"/>
  <c r="I16" i="4"/>
  <c r="U17" i="4" l="1"/>
  <c r="V20" i="4" s="1"/>
  <c r="U20" i="4"/>
  <c r="V23" i="4" s="1"/>
  <c r="AB23" i="4"/>
  <c r="AC23" i="4" s="1"/>
  <c r="W17" i="4"/>
  <c r="X17" i="4" s="1"/>
  <c r="X23" i="4"/>
  <c r="AB17" i="4"/>
  <c r="AC17" i="4" s="1"/>
  <c r="AB20" i="4"/>
  <c r="AC20" i="4" s="1"/>
  <c r="S23" i="4"/>
  <c r="AK16" i="4"/>
  <c r="U23" i="4"/>
  <c r="Y23" i="4"/>
  <c r="Z23" i="4" s="1"/>
  <c r="AI23" i="4"/>
  <c r="AJ23" i="4" s="1"/>
  <c r="Y17" i="4"/>
  <c r="Z17" i="4" s="1"/>
  <c r="AE17" i="4"/>
  <c r="AF17" i="4" s="1"/>
  <c r="AI17" i="4"/>
  <c r="AJ17" i="4" s="1"/>
  <c r="U14" i="4"/>
  <c r="V17" i="4" s="1"/>
  <c r="U15" i="4"/>
  <c r="V18" i="4" s="1"/>
  <c r="U24" i="4"/>
  <c r="S12" i="4"/>
  <c r="S24" i="4"/>
  <c r="S14" i="4"/>
  <c r="T17" i="4" s="1"/>
  <c r="S15" i="4"/>
  <c r="T18" i="4" s="1"/>
  <c r="S18" i="4"/>
  <c r="T21" i="4" s="1"/>
  <c r="S19" i="4"/>
  <c r="T22" i="4" s="1"/>
  <c r="S20" i="4"/>
  <c r="T23" i="4" s="1"/>
  <c r="S22" i="4"/>
  <c r="S25" i="4"/>
  <c r="AD23" i="4" l="1"/>
  <c r="AD17" i="4"/>
  <c r="AI14" i="4" l="1"/>
  <c r="AI15" i="4"/>
  <c r="AI18" i="4"/>
  <c r="AJ18" i="4" s="1"/>
  <c r="AI19" i="4"/>
  <c r="AJ19" i="4" s="1"/>
  <c r="AI20" i="4"/>
  <c r="AJ20" i="4" s="1"/>
  <c r="AI22" i="4"/>
  <c r="AJ22" i="4" s="1"/>
  <c r="Y14" i="4"/>
  <c r="Y19" i="4"/>
  <c r="Z19" i="4" s="1"/>
  <c r="Y20" i="4"/>
  <c r="Z20" i="4" s="1"/>
  <c r="Y22" i="4"/>
  <c r="Z22" i="4" s="1"/>
  <c r="AD22" i="4" s="1"/>
  <c r="X24" i="4"/>
  <c r="F13" i="4"/>
  <c r="G13" i="4"/>
  <c r="W13" i="4" s="1"/>
  <c r="H13" i="4"/>
  <c r="L13" i="4"/>
  <c r="M13" i="4"/>
  <c r="K22" i="4"/>
  <c r="AG22" i="4" s="1"/>
  <c r="AH22" i="4" s="1"/>
  <c r="K24" i="4"/>
  <c r="AG24" i="4" s="1"/>
  <c r="AH24" i="4" s="1"/>
  <c r="AK24" i="4" s="1"/>
  <c r="J22" i="4"/>
  <c r="J24" i="4"/>
  <c r="I22" i="4"/>
  <c r="I24" i="4"/>
  <c r="AK22" i="4" l="1"/>
  <c r="AB13" i="4"/>
  <c r="U13" i="4"/>
  <c r="V16" i="4" s="1"/>
  <c r="S13" i="4"/>
  <c r="T16" i="4" s="1"/>
  <c r="AI13" i="4"/>
  <c r="Y13" i="4"/>
  <c r="AD16" i="4" l="1"/>
  <c r="O12" i="4"/>
  <c r="AE27" i="4"/>
  <c r="AF27" i="4" s="1"/>
  <c r="AE26" i="4"/>
  <c r="AF26" i="4" s="1"/>
  <c r="B3" i="6" l="1"/>
  <c r="K14" i="4" l="1"/>
  <c r="AG14" i="4" s="1"/>
  <c r="I3" i="6"/>
  <c r="I4" i="6"/>
  <c r="I5" i="6"/>
  <c r="I2" i="6"/>
  <c r="H5" i="6"/>
  <c r="H4" i="6"/>
  <c r="H3" i="6"/>
  <c r="H2" i="6"/>
  <c r="R12" i="4"/>
  <c r="Q13" i="4"/>
  <c r="AH12" i="4" l="1"/>
  <c r="AC12" i="4"/>
  <c r="X12" i="4"/>
  <c r="V12" i="4"/>
  <c r="Z12" i="4"/>
  <c r="D2" i="6"/>
  <c r="V9" i="4" l="1"/>
  <c r="R25" i="4" l="1"/>
  <c r="Q25" i="4"/>
  <c r="X21" i="4"/>
  <c r="Q21" i="4"/>
  <c r="X20" i="4"/>
  <c r="AD20" i="4" s="1"/>
  <c r="Q20" i="4"/>
  <c r="X19" i="4"/>
  <c r="AD19" i="4" s="1"/>
  <c r="Q19" i="4"/>
  <c r="X18" i="4"/>
  <c r="AD18" i="4" s="1"/>
  <c r="Q18" i="4"/>
  <c r="R15" i="4"/>
  <c r="Q15" i="4"/>
  <c r="O15" i="4"/>
  <c r="R14" i="4"/>
  <c r="Q14" i="4"/>
  <c r="O14" i="4"/>
  <c r="R13" i="4"/>
  <c r="O13" i="4"/>
  <c r="X13" i="4" l="1"/>
  <c r="AJ13" i="4"/>
  <c r="AC13" i="4"/>
  <c r="Z13" i="4"/>
  <c r="AJ15" i="4"/>
  <c r="AC15" i="4"/>
  <c r="X15" i="4"/>
  <c r="X25" i="4"/>
  <c r="V25" i="4"/>
  <c r="AC25" i="4"/>
  <c r="AH25" i="4"/>
  <c r="AJ25" i="4"/>
  <c r="X14" i="4"/>
  <c r="AH14" i="4"/>
  <c r="Z14" i="4"/>
  <c r="AJ14" i="4"/>
  <c r="AC14" i="4"/>
  <c r="S21" i="4"/>
  <c r="T24" i="4" s="1"/>
  <c r="AD24" i="4" s="1"/>
  <c r="AI21" i="4"/>
  <c r="AJ21" i="4" s="1"/>
  <c r="Y21" i="4"/>
  <c r="Z21" i="4" s="1"/>
  <c r="AD21" i="4" s="1"/>
  <c r="AE21" i="4"/>
  <c r="AF21" i="4" s="1"/>
  <c r="AE18" i="4"/>
  <c r="AF18" i="4" s="1"/>
  <c r="AE15" i="4"/>
  <c r="AF15" i="4" s="1"/>
  <c r="AK25" i="4" l="1"/>
  <c r="AK14" i="4"/>
  <c r="J21" i="4"/>
  <c r="J20" i="4" s="1"/>
  <c r="I25" i="4"/>
  <c r="I23" i="4" s="1"/>
  <c r="AA12" i="4"/>
  <c r="J18" i="4"/>
  <c r="I19" i="4"/>
  <c r="AE20" i="4"/>
  <c r="AF20" i="4" s="1"/>
  <c r="Q12" i="4"/>
  <c r="I15" i="4"/>
  <c r="I13" i="4" s="1"/>
  <c r="K15" i="4"/>
  <c r="AE13" i="4"/>
  <c r="AF13" i="4" s="1"/>
  <c r="AE14" i="4"/>
  <c r="AF14" i="4" s="1"/>
  <c r="I18" i="4"/>
  <c r="AE19" i="4"/>
  <c r="AF19" i="4" s="1"/>
  <c r="K19" i="4"/>
  <c r="AG19" i="4" s="1"/>
  <c r="AH19" i="4" s="1"/>
  <c r="AK19" i="4" s="1"/>
  <c r="J19" i="4"/>
  <c r="I21" i="4"/>
  <c r="I20" i="4" s="1"/>
  <c r="AE25" i="4"/>
  <c r="AF25" i="4" s="1"/>
  <c r="K25" i="4"/>
  <c r="AG25" i="4" s="1"/>
  <c r="J25" i="4"/>
  <c r="J23" i="4" s="1"/>
  <c r="K18" i="4"/>
  <c r="AG18" i="4" s="1"/>
  <c r="AH18" i="4" s="1"/>
  <c r="AK18" i="4" s="1"/>
  <c r="K21" i="4"/>
  <c r="J15" i="4"/>
  <c r="J13" i="4" s="1"/>
  <c r="K20" i="4" l="1"/>
  <c r="AG20" i="4" s="1"/>
  <c r="AH20" i="4" s="1"/>
  <c r="AK20" i="4" s="1"/>
  <c r="AG21" i="4"/>
  <c r="AH21" i="4" s="1"/>
  <c r="AK21" i="4" s="1"/>
  <c r="K13" i="4"/>
  <c r="AG13" i="4" s="1"/>
  <c r="AH13" i="4" s="1"/>
  <c r="AK13" i="4" s="1"/>
  <c r="AG15" i="4"/>
  <c r="AH15" i="4" s="1"/>
  <c r="AK15" i="4" s="1"/>
  <c r="K23" i="4"/>
  <c r="AG23" i="4" s="1"/>
  <c r="AH23" i="4" s="1"/>
  <c r="AK23" i="4" s="1"/>
  <c r="K17" i="4"/>
  <c r="AG17" i="4" s="1"/>
  <c r="AH17" i="4" s="1"/>
  <c r="AK17" i="4" s="1"/>
  <c r="J17" i="4"/>
  <c r="I17" i="4"/>
  <c r="T12" i="4"/>
  <c r="AD12" i="4" s="1"/>
  <c r="AI12" i="4"/>
  <c r="AJ12" i="4" s="1"/>
  <c r="AK12" i="4" s="1"/>
  <c r="T25" i="4" l="1"/>
  <c r="T15" i="4"/>
  <c r="T14" i="4"/>
  <c r="T13" i="4"/>
  <c r="Z25" i="4"/>
  <c r="V15" i="4"/>
  <c r="V13" i="4"/>
  <c r="V14" i="4"/>
  <c r="AD25" i="4" l="1"/>
  <c r="AD13" i="4"/>
  <c r="AD14" i="4"/>
  <c r="AD15" i="4"/>
  <c r="B101" i="7" l="1"/>
  <c r="H8" i="1"/>
  <c r="K8" i="1"/>
  <c r="U8" i="1" s="1"/>
  <c r="W8" i="1"/>
  <c r="H9" i="1"/>
  <c r="T9" i="1" s="1"/>
  <c r="K9" i="1"/>
  <c r="M9" i="1" s="1"/>
  <c r="V9" i="1"/>
  <c r="W9" i="1"/>
  <c r="H10" i="1"/>
  <c r="T10" i="1" s="1"/>
  <c r="K10" i="1"/>
  <c r="M10" i="1" s="1"/>
  <c r="V10" i="1"/>
  <c r="W10" i="1"/>
  <c r="H11" i="1"/>
  <c r="T11" i="1" s="1"/>
  <c r="K11" i="1"/>
  <c r="M11" i="1" s="1"/>
  <c r="V11" i="1"/>
  <c r="W11" i="1"/>
  <c r="H12" i="1"/>
  <c r="T12" i="1" s="1"/>
  <c r="K12" i="1"/>
  <c r="M12" i="1" s="1"/>
  <c r="V12" i="1"/>
  <c r="W12" i="1"/>
  <c r="H13" i="1"/>
  <c r="T13" i="1" s="1"/>
  <c r="K13" i="1"/>
  <c r="M13" i="1" s="1"/>
  <c r="V13" i="1"/>
  <c r="W13" i="1"/>
  <c r="H14" i="1"/>
  <c r="T14" i="1" s="1"/>
  <c r="K14" i="1"/>
  <c r="U14" i="1" s="1"/>
  <c r="V14" i="1"/>
  <c r="W14" i="1"/>
  <c r="H16" i="1"/>
  <c r="T16" i="1" s="1"/>
  <c r="K16" i="1"/>
  <c r="M16" i="1" s="1"/>
  <c r="V16" i="1"/>
  <c r="W16" i="1"/>
  <c r="H17" i="1"/>
  <c r="T17" i="1" s="1"/>
  <c r="K17" i="1"/>
  <c r="U17" i="1" s="1"/>
  <c r="V17" i="1"/>
  <c r="W17" i="1"/>
  <c r="H18" i="1"/>
  <c r="T18" i="1" s="1"/>
  <c r="K18" i="1"/>
  <c r="M18" i="1" s="1"/>
  <c r="V18" i="1"/>
  <c r="W18" i="1"/>
  <c r="H19" i="1"/>
  <c r="T19" i="1" s="1"/>
  <c r="K19" i="1"/>
  <c r="U19" i="1" s="1"/>
  <c r="V19" i="1"/>
  <c r="W19" i="1"/>
  <c r="H20" i="1"/>
  <c r="T20" i="1" s="1"/>
  <c r="K20" i="1"/>
  <c r="M20" i="1" s="1"/>
  <c r="R20" i="1"/>
  <c r="V20" i="1" s="1"/>
  <c r="W20" i="1"/>
  <c r="H21" i="1"/>
  <c r="T21" i="1" s="1"/>
  <c r="K21" i="1"/>
  <c r="M21" i="1" s="1"/>
  <c r="V21" i="1"/>
  <c r="W21" i="1"/>
  <c r="H23" i="1"/>
  <c r="T23" i="1" s="1"/>
  <c r="K23" i="1"/>
  <c r="M23" i="1" s="1"/>
  <c r="V23" i="1"/>
  <c r="W23" i="1"/>
  <c r="H24" i="1"/>
  <c r="T24" i="1" s="1"/>
  <c r="K24" i="1"/>
  <c r="M24" i="1" s="1"/>
  <c r="V24" i="1"/>
  <c r="W24" i="1"/>
  <c r="H25" i="1"/>
  <c r="T25" i="1" s="1"/>
  <c r="K25" i="1"/>
  <c r="M25" i="1" s="1"/>
  <c r="V25" i="1"/>
  <c r="W25" i="1"/>
  <c r="H26" i="1"/>
  <c r="T26" i="1" s="1"/>
  <c r="K26" i="1"/>
  <c r="M26" i="1" s="1"/>
  <c r="R26" i="1"/>
  <c r="V26" i="1" s="1"/>
  <c r="W26" i="1"/>
  <c r="H28" i="1"/>
  <c r="T28" i="1" s="1"/>
  <c r="K28" i="1"/>
  <c r="U28" i="1" s="1"/>
  <c r="V28" i="1"/>
  <c r="W28" i="1"/>
  <c r="H29" i="1"/>
  <c r="T29" i="1" s="1"/>
  <c r="K29" i="1"/>
  <c r="M29" i="1" s="1"/>
  <c r="V29" i="1"/>
  <c r="W29" i="1"/>
  <c r="H30" i="1"/>
  <c r="T30" i="1" s="1"/>
  <c r="K30" i="1"/>
  <c r="U30" i="1" s="1"/>
  <c r="V30" i="1"/>
  <c r="W30" i="1"/>
  <c r="G31" i="1"/>
  <c r="H31" i="1" s="1"/>
  <c r="T31" i="1" s="1"/>
  <c r="K31" i="1"/>
  <c r="M31" i="1" s="1"/>
  <c r="V31" i="1"/>
  <c r="W31" i="1"/>
  <c r="U21" i="1"/>
  <c r="U11" i="1"/>
  <c r="U18" i="1" l="1"/>
  <c r="U9" i="1"/>
  <c r="U25" i="1"/>
  <c r="U10" i="1"/>
  <c r="M19" i="1"/>
  <c r="L8" i="1"/>
  <c r="U12" i="1"/>
  <c r="U31" i="1"/>
  <c r="U20" i="1"/>
  <c r="U16" i="1"/>
  <c r="U24" i="1"/>
  <c r="M17" i="1"/>
  <c r="M14" i="1"/>
  <c r="U23" i="1"/>
  <c r="M30" i="1"/>
  <c r="T8" i="1"/>
  <c r="V8" i="1"/>
  <c r="M8" i="1"/>
  <c r="U29" i="1"/>
  <c r="M28" i="1"/>
  <c r="U13" i="1"/>
  <c r="U26" i="1"/>
</calcChain>
</file>

<file path=xl/sharedStrings.xml><?xml version="1.0" encoding="utf-8"?>
<sst xmlns="http://schemas.openxmlformats.org/spreadsheetml/2006/main" count="406" uniqueCount="284">
  <si>
    <t>N</t>
  </si>
  <si>
    <t>PLAZO</t>
  </si>
  <si>
    <t>(%)</t>
  </si>
  <si>
    <t>En Pesos Colombianos</t>
  </si>
  <si>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</si>
  <si>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</si>
  <si>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</si>
  <si>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</si>
  <si>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</si>
  <si>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</si>
  <si>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</si>
  <si>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</si>
  <si>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</si>
  <si>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</si>
  <si>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</si>
  <si>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</si>
  <si>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</si>
  <si>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</si>
  <si>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</si>
  <si>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</si>
  <si>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</si>
  <si>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</si>
  <si>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</si>
  <si>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</si>
  <si>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</si>
  <si>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</si>
  <si>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</si>
  <si>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</si>
  <si>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</si>
  <si>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</si>
  <si>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</si>
  <si>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</si>
  <si>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</si>
  <si>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</si>
  <si>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</si>
  <si>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</si>
  <si>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</si>
  <si>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</si>
  <si>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</si>
  <si>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</si>
  <si>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</si>
  <si>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</si>
  <si>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</si>
  <si>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</si>
  <si>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</si>
  <si>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</si>
  <si>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</si>
  <si>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</si>
  <si>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</si>
  <si>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</si>
  <si>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</si>
  <si>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</si>
  <si>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</si>
  <si>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</si>
  <si>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</si>
  <si>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</si>
  <si>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</si>
  <si>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</si>
  <si>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</si>
  <si>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</si>
  <si>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</si>
  <si>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</si>
  <si>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</si>
  <si>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</si>
  <si>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</si>
  <si>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</si>
  <si>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</si>
  <si>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</si>
  <si>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</si>
  <si>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</si>
  <si>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</si>
  <si>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</si>
  <si>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</si>
  <si>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</si>
  <si>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</si>
  <si>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</si>
  <si>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</si>
  <si>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</si>
  <si>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</si>
  <si>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</si>
  <si>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</si>
  <si>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</si>
  <si>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</si>
  <si>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</si>
  <si>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</si>
  <si>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</si>
  <si>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</si>
  <si>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</si>
  <si>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</si>
  <si>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</si>
  <si>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</si>
  <si>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</si>
  <si>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</si>
  <si>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</si>
  <si>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</si>
  <si>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</si>
  <si>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</si>
  <si>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</si>
  <si>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</si>
  <si>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</si>
  <si>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</si>
  <si>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</si>
  <si>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</si>
  <si>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</si>
  <si>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</si>
  <si>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</si>
  <si>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</si>
  <si>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</si>
  <si>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</si>
  <si>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</si>
  <si>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</si>
  <si>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</si>
  <si>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Datos Declaración Renta 2003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</si>
  <si>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</si>
  <si>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</si>
  <si>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</si>
  <si>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</si>
  <si>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</si>
  <si>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</si>
  <si>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</si>
  <si>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</si>
  <si>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</si>
  <si>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</si>
  <si>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</si>
  <si>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</si>
  <si>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</si>
  <si>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</si>
  <si>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</si>
  <si>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</si>
  <si>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</si>
  <si>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</si>
  <si>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</si>
  <si>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</si>
  <si>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</si>
  <si>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</si>
  <si>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</si>
  <si>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</si>
  <si>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</si>
  <si>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</si>
  <si>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</si>
  <si>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</si>
  <si>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</si>
  <si>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</si>
  <si>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</si>
  <si>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</si>
  <si>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</si>
  <si>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</si>
  <si>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</si>
  <si>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 xml:space="preserve">CONSORCIO LAS ANIMAS #1,,se subsana integrante 1,2porque no conciliacines  </t>
  </si>
  <si>
    <t>EVALUACIÓN FINANCIERA</t>
  </si>
  <si>
    <t xml:space="preserve">INSTITUTO NACIONAL DE VIAS </t>
  </si>
  <si>
    <t>INDICE-ENDEUDAMIENTO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</si>
  <si>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</si>
  <si>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</si>
  <si>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</si>
  <si>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</si>
  <si>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</si>
  <si>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</si>
  <si>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</si>
  <si>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</si>
  <si>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</si>
  <si>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Req. Min. Solvencia: &gt; =</t>
  </si>
  <si>
    <t>INFORMACIÓN  FINANCIERA - RUP</t>
  </si>
  <si>
    <t>MÓDULO</t>
  </si>
  <si>
    <t>INDICE-LIQUIDEZ</t>
  </si>
  <si>
    <t>Modulo</t>
  </si>
  <si>
    <t>PO</t>
  </si>
  <si>
    <t>VALOR PRESUPUESTO OFICIAL ANUAL(PO)</t>
  </si>
  <si>
    <t>PORCENTAJE DE PARTICIPACION</t>
  </si>
  <si>
    <t>MODULOS ADJUDICADOS</t>
  </si>
  <si>
    <t>VALOR CAPITAL DE TRABAJO DEMANDADO MODULOS ADJUDICADOS</t>
  </si>
  <si>
    <t>VALOR PATRIMONIO REQUERIDO MODULOS ADJUDICADOS</t>
  </si>
  <si>
    <t>CALIDAD DE MIPYME</t>
  </si>
  <si>
    <t>SMMLV 2011</t>
  </si>
  <si>
    <t>SMMLV 2012</t>
  </si>
  <si>
    <t>CALIDAD DE MIPYME EN SMMLV</t>
  </si>
  <si>
    <t>HABIL/NO HABIL</t>
  </si>
  <si>
    <t>HABIL  / NO HABIL</t>
  </si>
  <si>
    <t>UTILIDAD OPERACIONAL</t>
  </si>
  <si>
    <t>GASTOS DE INTERESES</t>
  </si>
  <si>
    <t>RAZON DE COBERTURA DE INTERESES</t>
  </si>
  <si>
    <t>Req. Min. Cobertura Intereses: &gt; =</t>
  </si>
  <si>
    <t>EVALUACIÓN CAPACIDAD FINANCIERA</t>
  </si>
  <si>
    <t>EVALUACIÓN CAPACIDAD ORGANIZACIÓN</t>
  </si>
  <si>
    <t>RENTABILIDAD DEL PATRIMONIO (ROE)</t>
  </si>
  <si>
    <t>Req. Min. ROE: &gt; =</t>
  </si>
  <si>
    <t>RENTABILIDAD DEL ACTIVO (ROA)</t>
  </si>
  <si>
    <t>Req. Min. ROA: &gt; =</t>
  </si>
  <si>
    <t>Req. Min. Endeudamiento: &lt; =</t>
  </si>
  <si>
    <t>PRESUPUESTO OFICIAL ESTIMADO (POE)</t>
  </si>
  <si>
    <t>Anticipo</t>
  </si>
  <si>
    <t>CAPACIDAD RESIDUAL DEL PROCESO DE CONTRATACION</t>
  </si>
  <si>
    <t xml:space="preserve">CAPACIDAD DE ORGANIZACIÓN </t>
  </si>
  <si>
    <t xml:space="preserve">EXPERIENCIA         </t>
  </si>
  <si>
    <t>CAPACIDAD FINANCIERA</t>
  </si>
  <si>
    <t>CAPACIDAD RESIDUAL DEL PROPONENTE</t>
  </si>
  <si>
    <r>
      <t xml:space="preserve">Formula: CO * </t>
    </r>
    <r>
      <rPr>
        <b/>
        <sz val="8"/>
        <rFont val="Calibri"/>
        <family val="2"/>
      </rPr>
      <t>[(E+CT-CF)/100] - SCE</t>
    </r>
  </si>
  <si>
    <t>Formula: Si el plazo es menor a 12 meses (POE - Anticipo), si el plazo es mayor a 12 meses [(POE- Anticipo)/Plazo]x12</t>
  </si>
  <si>
    <t>INSTITUTO NACIONAL DE VIAS</t>
  </si>
  <si>
    <t>CAPACIDAD RESIDUAL</t>
  </si>
  <si>
    <t>EXPERIENCIA</t>
  </si>
  <si>
    <t>PROFESIONALES VINCULADOS</t>
  </si>
  <si>
    <t>Numeros de Socios y Profesionales de la Arquitectura , Ingenierìa y Geologìa vinculados mediante relaciòn laboral o contractual en actividades relacionadas directamente a la construcciòn</t>
  </si>
  <si>
    <t>Porcentaje de Participación para este Proceso</t>
  </si>
  <si>
    <t>Mayor a</t>
  </si>
  <si>
    <t>Puntaje</t>
  </si>
  <si>
    <t>Menor o Igual a</t>
  </si>
  <si>
    <t>Mayores</t>
  </si>
  <si>
    <t>CAPACIDAD TÉCNICA</t>
  </si>
  <si>
    <t>Desde</t>
  </si>
  <si>
    <t>Hasta</t>
  </si>
  <si>
    <t>PUNTAJE POR CAPACIDAD TÉCNICA</t>
  </si>
  <si>
    <t>DIRECCIÓN DE CONTRATACIÓN</t>
  </si>
  <si>
    <t>Rangos: 
Desde 1 hasta 5 = 20 Puntos
Desde 6 hasta 10 = 30 Puntos
Desde 11 hasta mayores = 40 Puntos</t>
  </si>
  <si>
    <t>PUNTAJE POR EXPERIENCIA</t>
  </si>
  <si>
    <t>Porcentaje de Participación para este Proceso
(A)</t>
  </si>
  <si>
    <t>RESULTADO   
B / (C * A)</t>
  </si>
  <si>
    <t>Rangos:
Mayor a 0 y Menor o Igual a 3 = 60 Puntos 
Mayor a 3 y Menor o Igual a 6 = 80 Puntos
Mayor a 6 y Menor o Igual a 10 = 100 Puntos
Mayor a 10 y Mayores = 120 Puntos</t>
  </si>
  <si>
    <t>Módulo</t>
  </si>
  <si>
    <t>PUNTAJE POR CAPACIDAD FINANCIERA</t>
  </si>
  <si>
    <t>ACTIVOS CORRIENTES
(A)</t>
  </si>
  <si>
    <t>PASIVOS CORRIENTES
(B)</t>
  </si>
  <si>
    <t xml:space="preserve">ÍNDICE DE LIQUIDEZ
(A) / (B) = (C) </t>
  </si>
  <si>
    <t>Rangos:
Mayor a 0 y Menor o Igual a 0,5 = 20 Puntos
Mayor a 0,5 y Menor o Igual a 0,75 = 25 Puntos
Mayor a 0,75 y Menor o Igual a 1,00 = 30 Puntos
Mayor a 1,00 y Menor o Igual a 1,5 = 35 Puntos
Mayor a 1,5 y Mayores =  40 Puntos</t>
  </si>
  <si>
    <t>SALDO CONTRATOS EN EJECUCIÓN</t>
  </si>
  <si>
    <t>TOTAL SALDOS CONTRATOS EN EJECUCION</t>
  </si>
  <si>
    <t>CAPACIDAD DE ORGANIZACIÓN</t>
  </si>
  <si>
    <t>CAPACIDAD DE ORGANIZACIÓN (En Pesos)</t>
  </si>
  <si>
    <t>En Pesos</t>
  </si>
  <si>
    <t>SALDOS CONTRATOS EN EJECUCIÓN</t>
  </si>
  <si>
    <t xml:space="preserve">CAPACIDAD RESIDUAL DE CONTRATACIÓN </t>
  </si>
  <si>
    <t xml:space="preserve">Fórmula: 
Cinco (5) años o más: Mayor Ingreso Operacional de los ultimos 5 años 
Entre uno (1) y cinco (5) años: Mayor Ingreso Operacional de los años de vida del Oferente
Menos de un (1) año: USD $ 125.000 </t>
  </si>
  <si>
    <t xml:space="preserve">VALOR TOTAL DE LOS CONTRATOS EJECUTADOS
</t>
  </si>
  <si>
    <t>VALOR TOTAL DE LOS CONTRATOS EJECUTADOS EN SMMLV
(B)</t>
  </si>
  <si>
    <t>PRESUPUESTO OFICIAL ESTIMADO (POE) EN SMMLV
(C)</t>
  </si>
  <si>
    <t>CAPITAL DE TRABAJO
(Activo Corriente - Pasivo Corriente)</t>
  </si>
  <si>
    <t>PATRIMONIO
(Activo Total - Pasivo Total)</t>
  </si>
  <si>
    <t>INDICE-CAPITAL DE TRABAJO DEMANDADO</t>
  </si>
  <si>
    <t>Req. Min. CTd: &gt; =</t>
  </si>
  <si>
    <t>INDICE-PATRIMONIO</t>
  </si>
  <si>
    <t>Req. Min. Patrimonio: &gt; =</t>
  </si>
  <si>
    <t>PLAZO (P)</t>
  </si>
  <si>
    <t>Fórmula: Endeudamiento = Pas.T/Act.Tot. &lt;= 0,70</t>
  </si>
  <si>
    <t>Fórmula: Razón Cobertura Intereses = UO/GI &gt;= 1,00</t>
  </si>
  <si>
    <t>PATRIMONIO ROE
(Activo Total - Pasivo Total)</t>
  </si>
  <si>
    <t/>
  </si>
  <si>
    <t>Fórmula: CT=AC-PC&gt;=(PO/n)</t>
  </si>
  <si>
    <t>(PO/n)</t>
  </si>
  <si>
    <t>Fórmula: P=AT-PT &gt;= (10%*PO)</t>
  </si>
  <si>
    <t>Fórmula:                        ROE=UO/Pat.ROE&gt;=0,00</t>
  </si>
  <si>
    <t>Fórmula:                        ROE=UO/Act.Tot.&gt;=0,00</t>
  </si>
  <si>
    <t>Capital de Trabajo Demandado</t>
  </si>
  <si>
    <t>% Requerido Patrimonio</t>
  </si>
  <si>
    <t>INDET</t>
  </si>
  <si>
    <t>CONSORCIO H&amp;R</t>
  </si>
  <si>
    <t>GUSTAVO ADOLFO CERON ORTEGA</t>
  </si>
  <si>
    <t>ALVARO HERNAN HURTADO BENAVIDES</t>
  </si>
  <si>
    <t>JOSE MAURICIO LOPEZ GAMBOA</t>
  </si>
  <si>
    <t>CONSULTORIA HIDRAULICA S.A.S</t>
  </si>
  <si>
    <t>CASTAÑEDA LUGO FREDY AUGUSTO</t>
  </si>
  <si>
    <t>CEPEDA VEGA JOSE</t>
  </si>
  <si>
    <t>ROKAVIA</t>
  </si>
  <si>
    <t>CONSORCIO C&amp;R</t>
  </si>
  <si>
    <t>MARTA CECILIA TRIVIÑO DELGADILLO</t>
  </si>
  <si>
    <t>INGDECOL S.A.S</t>
  </si>
  <si>
    <t>CONSORCIO CH 2020</t>
  </si>
  <si>
    <t>CONSORCIO TRIDELSA</t>
  </si>
  <si>
    <t>TRIDELSA INGENIEROS ASOCIADOS S.A.S.</t>
  </si>
  <si>
    <t>SA-MC-DT-CUN-003-2020</t>
  </si>
  <si>
    <t>Fórmula: Liquidez=AC/PC&gt;=1,0</t>
  </si>
  <si>
    <t>HABIL</t>
  </si>
  <si>
    <t>ZENAIDA SANTANDER BURITICA</t>
  </si>
  <si>
    <t>SMMLV 2021</t>
  </si>
  <si>
    <t>CONSORCIO ANFER-GIRALDO COSUC</t>
  </si>
  <si>
    <t>LUISA FERNANDA AVALOS PERALTA</t>
  </si>
  <si>
    <t>GEPAV S.A.S</t>
  </si>
  <si>
    <t>RDM SAS</t>
  </si>
  <si>
    <t>JET</t>
  </si>
  <si>
    <t>1.1</t>
  </si>
  <si>
    <t>ANFER INGENIERIA S.A.S</t>
  </si>
  <si>
    <t>1.2</t>
  </si>
  <si>
    <t>César Augusto Giraldo Atehortúa</t>
  </si>
  <si>
    <t>SA-MC-DT-NAR-001-2021</t>
  </si>
  <si>
    <t xml:space="preserve">SA-MC-DT-NAR-001-2021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</si>
</sst>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 * #,##0_ ;_ * \-#,##0_ ;_ * &quot;-&quot;_ ;_ @_ 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0.0"/>
    <numFmt numFmtId="171" formatCode="_ * #,##0_ ;_ * \-#,##0_ ;_ * &quot;-&quot;??_ ;_ @_ "/>
    <numFmt numFmtId="172" formatCode="0.0%"/>
    <numFmt numFmtId="173" formatCode="#,##0.0"/>
  </numFmts>
  <fonts count="3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9"/>
      <color indexed="63"/>
      <name val="Arial"/>
      <family val="2"/>
    </font>
    <font>
      <b/>
      <sz val="8"/>
      <name val="Arial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name val="Arial"/>
      <family val="2"/>
    </font>
    <font>
      <sz val="12"/>
      <color theme="1"/>
      <name val="Calibri"/>
      <family val="2"/>
    </font>
    <font>
      <b/>
      <sz val="8"/>
      <name val="Calibri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sz val="14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sz val="8"/>
      <name val="Tahoma"/>
      <family val="2"/>
    </font>
    <font>
      <sz val="9"/>
      <color indexed="12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4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3">
    <xf numFmtId="0" fontId="0" fillId="0" borderId="0"/>
    <xf numFmtId="169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8" fillId="0" borderId="0"/>
    <xf numFmtId="164" fontId="3" fillId="0" borderId="0" applyFont="0" applyFill="0" applyBorder="0" applyAlignment="0" applyProtection="0"/>
    <xf numFmtId="0" fontId="3" fillId="0" borderId="0"/>
    <xf numFmtId="16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36" fillId="0" borderId="0" applyFont="0" applyFill="0" applyBorder="0" applyAlignment="0" applyProtection="0"/>
    <xf numFmtId="0" fontId="3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9" fontId="3" fillId="0" borderId="0" applyFont="0" applyFill="0" applyBorder="0" applyAlignment="0" applyProtection="0"/>
  </cellStyleXfs>
  <cellXfs count="371">
    <xf numFmtId="0" fontId="0" fillId="0" borderId="0" xfId="0"/>
    <xf numFmtId="0" fontId="5" fillId="0" borderId="1" xfId="0" applyFont="1" applyBorder="1"/>
    <xf numFmtId="0" fontId="5" fillId="0" borderId="2" xfId="0" applyFont="1" applyBorder="1" applyAlignment="1">
      <alignment horizontal="left" vertical="center"/>
    </xf>
    <xf numFmtId="0" fontId="5" fillId="0" borderId="3" xfId="0" applyFont="1" applyBorder="1"/>
    <xf numFmtId="0" fontId="5" fillId="0" borderId="4" xfId="0" applyFont="1" applyBorder="1"/>
    <xf numFmtId="9" fontId="5" fillId="0" borderId="4" xfId="6" applyFont="1" applyBorder="1"/>
    <xf numFmtId="0" fontId="5" fillId="0" borderId="4" xfId="0" applyFont="1" applyBorder="1" applyAlignment="1">
      <alignment horizontal="center"/>
    </xf>
    <xf numFmtId="0" fontId="5" fillId="0" borderId="4" xfId="0" applyFont="1" applyBorder="1" applyAlignment="1">
      <alignment horizontal="right"/>
    </xf>
    <xf numFmtId="0" fontId="4" fillId="0" borderId="1" xfId="0" applyFont="1" applyBorder="1"/>
    <xf numFmtId="0" fontId="4" fillId="0" borderId="5" xfId="0" quotePrefix="1" applyFont="1" applyBorder="1" applyAlignment="1">
      <alignment horizontal="left"/>
    </xf>
    <xf numFmtId="0" fontId="4" fillId="0" borderId="1" xfId="0" applyFont="1" applyBorder="1" applyAlignment="1">
      <alignment horizontal="centerContinuous"/>
    </xf>
    <xf numFmtId="0" fontId="4" fillId="0" borderId="1" xfId="0" applyFont="1" applyBorder="1" applyAlignment="1">
      <alignment horizontal="center" vertical="center"/>
    </xf>
    <xf numFmtId="0" fontId="7" fillId="0" borderId="0" xfId="0" applyFont="1"/>
    <xf numFmtId="0" fontId="8" fillId="2" borderId="6" xfId="0" applyFont="1" applyFill="1" applyBorder="1" applyAlignment="1">
      <alignment horizontal="center" vertical="center" textRotation="90" wrapText="1"/>
    </xf>
    <xf numFmtId="3" fontId="8" fillId="2" borderId="6" xfId="0" applyNumberFormat="1" applyFont="1" applyFill="1" applyBorder="1" applyAlignment="1">
      <alignment horizontal="center" vertical="center" textRotation="90" wrapText="1"/>
    </xf>
    <xf numFmtId="0" fontId="9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0" fillId="0" borderId="6" xfId="0" applyFont="1" applyBorder="1" applyAlignment="1">
      <alignment horizontal="center" vertical="center" wrapText="1"/>
    </xf>
    <xf numFmtId="3" fontId="11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3" fontId="12" fillId="0" borderId="7" xfId="0" applyNumberFormat="1" applyFont="1" applyBorder="1" applyAlignment="1">
      <alignment vertical="center" wrapText="1"/>
    </xf>
    <xf numFmtId="0" fontId="0" fillId="0" borderId="0" xfId="0" applyAlignment="1">
      <alignment wrapText="1"/>
    </xf>
    <xf numFmtId="172" fontId="0" fillId="0" borderId="0" xfId="6" applyNumberFormat="1" applyFont="1"/>
    <xf numFmtId="172" fontId="0" fillId="0" borderId="6" xfId="6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4" fillId="3" borderId="11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171" fontId="11" fillId="0" borderId="0" xfId="1" applyNumberFormat="1" applyFont="1" applyAlignment="1">
      <alignment vertical="center" wrapText="1"/>
    </xf>
    <xf numFmtId="171" fontId="14" fillId="0" borderId="6" xfId="1" applyNumberFormat="1" applyFont="1" applyBorder="1"/>
    <xf numFmtId="0" fontId="14" fillId="0" borderId="0" xfId="0" applyFont="1"/>
    <xf numFmtId="9" fontId="14" fillId="0" borderId="1" xfId="6" applyFont="1" applyBorder="1"/>
    <xf numFmtId="0" fontId="14" fillId="0" borderId="1" xfId="0" applyFont="1" applyBorder="1" applyAlignment="1">
      <alignment horizontal="center"/>
    </xf>
    <xf numFmtId="3" fontId="14" fillId="0" borderId="1" xfId="0" applyNumberFormat="1" applyFont="1" applyBorder="1" applyAlignment="1">
      <alignment horizontal="center"/>
    </xf>
    <xf numFmtId="9" fontId="14" fillId="0" borderId="1" xfId="6" applyFont="1" applyBorder="1" applyAlignment="1">
      <alignment horizontal="center"/>
    </xf>
    <xf numFmtId="0" fontId="14" fillId="0" borderId="1" xfId="0" applyFont="1" applyBorder="1" applyAlignment="1">
      <alignment horizontal="right"/>
    </xf>
    <xf numFmtId="0" fontId="14" fillId="0" borderId="1" xfId="0" applyFont="1" applyBorder="1"/>
    <xf numFmtId="1" fontId="6" fillId="0" borderId="14" xfId="0" applyNumberFormat="1" applyFont="1" applyBorder="1" applyAlignment="1">
      <alignment horizontal="center" vertical="center"/>
    </xf>
    <xf numFmtId="1" fontId="6" fillId="0" borderId="15" xfId="0" applyNumberFormat="1" applyFont="1" applyBorder="1" applyAlignment="1">
      <alignment horizontal="center" vertical="center"/>
    </xf>
    <xf numFmtId="171" fontId="14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2" fontId="0" fillId="0" borderId="15" xfId="6" applyNumberFormat="1" applyFont="1" applyBorder="1"/>
    <xf numFmtId="172" fontId="0" fillId="0" borderId="16" xfId="6" applyNumberFormat="1" applyFont="1" applyBorder="1"/>
    <xf numFmtId="172" fontId="0" fillId="0" borderId="17" xfId="6" applyNumberFormat="1" applyFont="1" applyBorder="1"/>
    <xf numFmtId="171" fontId="14" fillId="0" borderId="12" xfId="1" applyNumberFormat="1" applyFont="1" applyBorder="1" applyProtection="1">
      <protection locked="0"/>
    </xf>
    <xf numFmtId="171" fontId="14" fillId="0" borderId="12" xfId="1" applyNumberFormat="1" applyFont="1" applyBorder="1"/>
    <xf numFmtId="172" fontId="0" fillId="0" borderId="12" xfId="6" applyNumberFormat="1" applyFont="1" applyBorder="1"/>
    <xf numFmtId="172" fontId="0" fillId="0" borderId="13" xfId="6" applyNumberFormat="1" applyFont="1" applyBorder="1"/>
    <xf numFmtId="0" fontId="15" fillId="0" borderId="6" xfId="5" applyFont="1" applyBorder="1" applyAlignment="1">
      <alignment horizontal="left" indent="1"/>
    </xf>
    <xf numFmtId="0" fontId="0" fillId="0" borderId="0" xfId="0" applyProtection="1">
      <protection locked="0"/>
    </xf>
    <xf numFmtId="0" fontId="16" fillId="0" borderId="6" xfId="5" applyFont="1" applyBorder="1" applyAlignment="1">
      <alignment horizontal="left"/>
    </xf>
    <xf numFmtId="0" fontId="15" fillId="0" borderId="12" xfId="5" applyFont="1" applyBorder="1" applyAlignment="1">
      <alignment horizontal="left" indent="1"/>
    </xf>
    <xf numFmtId="1" fontId="6" fillId="0" borderId="11" xfId="0" applyNumberFormat="1" applyFont="1" applyBorder="1" applyAlignment="1">
      <alignment horizontal="center" vertical="center"/>
    </xf>
    <xf numFmtId="171" fontId="0" fillId="0" borderId="15" xfId="1" applyNumberFormat="1" applyFont="1" applyBorder="1" applyProtection="1">
      <protection locked="0"/>
    </xf>
    <xf numFmtId="170" fontId="13" fillId="0" borderId="6" xfId="0" applyNumberFormat="1" applyFont="1" applyBorder="1" applyAlignment="1">
      <alignment horizontal="center" vertical="center"/>
    </xf>
    <xf numFmtId="170" fontId="13" fillId="0" borderId="12" xfId="0" applyNumberFormat="1" applyFont="1" applyBorder="1" applyAlignment="1">
      <alignment horizontal="center" vertical="center"/>
    </xf>
    <xf numFmtId="0" fontId="16" fillId="0" borderId="15" xfId="5" applyFont="1" applyBorder="1" applyAlignment="1">
      <alignment horizontal="left"/>
    </xf>
    <xf numFmtId="169" fontId="20" fillId="5" borderId="9" xfId="1" applyFont="1" applyFill="1" applyBorder="1" applyAlignment="1">
      <alignment horizontal="center" vertical="center"/>
    </xf>
    <xf numFmtId="0" fontId="17" fillId="3" borderId="3" xfId="0" quotePrefix="1" applyFont="1" applyFill="1" applyBorder="1" applyAlignment="1">
      <alignment horizontal="left" vertical="center" wrapText="1"/>
    </xf>
    <xf numFmtId="0" fontId="17" fillId="3" borderId="19" xfId="0" applyFont="1" applyFill="1" applyBorder="1" applyAlignment="1">
      <alignment horizontal="center" vertical="center"/>
    </xf>
    <xf numFmtId="0" fontId="17" fillId="3" borderId="8" xfId="0" applyFont="1" applyFill="1" applyBorder="1" applyAlignment="1">
      <alignment horizontal="center" vertical="center"/>
    </xf>
    <xf numFmtId="0" fontId="14" fillId="6" borderId="14" xfId="0" applyFont="1" applyFill="1" applyBorder="1" applyAlignment="1">
      <alignment horizontal="center" vertical="center" wrapText="1"/>
    </xf>
    <xf numFmtId="171" fontId="22" fillId="7" borderId="15" xfId="1" applyNumberFormat="1" applyFont="1" applyFill="1" applyBorder="1" applyAlignment="1">
      <alignment horizontal="center" vertical="center"/>
    </xf>
    <xf numFmtId="169" fontId="4" fillId="7" borderId="15" xfId="1" applyFont="1" applyFill="1" applyBorder="1" applyAlignment="1">
      <alignment horizontal="center" vertical="center"/>
    </xf>
    <xf numFmtId="169" fontId="4" fillId="7" borderId="12" xfId="1" applyFont="1" applyFill="1" applyBorder="1" applyAlignment="1">
      <alignment horizontal="center" vertical="center"/>
    </xf>
    <xf numFmtId="169" fontId="17" fillId="7" borderId="15" xfId="1" applyFont="1" applyFill="1" applyBorder="1" applyAlignment="1">
      <alignment horizontal="center" vertical="center" wrapText="1"/>
    </xf>
    <xf numFmtId="0" fontId="23" fillId="5" borderId="15" xfId="0" applyFont="1" applyFill="1" applyBorder="1" applyAlignment="1">
      <alignment horizontal="center" vertical="center" wrapText="1"/>
    </xf>
    <xf numFmtId="167" fontId="22" fillId="6" borderId="12" xfId="1" applyNumberFormat="1" applyFont="1" applyFill="1" applyBorder="1" applyAlignment="1">
      <alignment horizontal="center" vertical="center" wrapText="1"/>
    </xf>
    <xf numFmtId="0" fontId="23" fillId="5" borderId="12" xfId="0" applyFont="1" applyFill="1" applyBorder="1" applyAlignment="1">
      <alignment horizontal="center" vertical="center" wrapText="1"/>
    </xf>
    <xf numFmtId="169" fontId="17" fillId="0" borderId="12" xfId="1" applyFont="1" applyBorder="1" applyAlignment="1">
      <alignment horizontal="center" vertical="center" wrapText="1"/>
    </xf>
    <xf numFmtId="0" fontId="14" fillId="6" borderId="11" xfId="0" applyFont="1" applyFill="1" applyBorder="1" applyAlignment="1">
      <alignment horizontal="center" vertical="center" wrapText="1"/>
    </xf>
    <xf numFmtId="4" fontId="20" fillId="3" borderId="15" xfId="3" applyNumberFormat="1" applyFont="1" applyFill="1" applyBorder="1" applyAlignment="1">
      <alignment horizontal="center" vertical="center" wrapText="1"/>
    </xf>
    <xf numFmtId="0" fontId="20" fillId="3" borderId="15" xfId="3" applyFont="1" applyFill="1" applyBorder="1" applyAlignment="1">
      <alignment horizontal="center" vertical="center" wrapText="1"/>
    </xf>
    <xf numFmtId="0" fontId="25" fillId="7" borderId="21" xfId="4" applyFont="1" applyFill="1" applyBorder="1" applyAlignment="1">
      <alignment horizontal="center" vertical="center" wrapText="1"/>
    </xf>
    <xf numFmtId="0" fontId="26" fillId="6" borderId="14" xfId="4" applyFont="1" applyFill="1" applyBorder="1" applyAlignment="1">
      <alignment horizontal="center" vertical="center" wrapText="1"/>
    </xf>
    <xf numFmtId="171" fontId="22" fillId="11" borderId="15" xfId="1" applyNumberFormat="1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vertical="center" wrapText="1"/>
    </xf>
    <xf numFmtId="168" fontId="17" fillId="3" borderId="17" xfId="2" applyFont="1" applyFill="1" applyBorder="1" applyAlignment="1">
      <alignment vertical="center" wrapText="1"/>
    </xf>
    <xf numFmtId="0" fontId="17" fillId="3" borderId="11" xfId="0" applyFont="1" applyFill="1" applyBorder="1" applyAlignment="1">
      <alignment vertical="center" wrapText="1"/>
    </xf>
    <xf numFmtId="168" fontId="17" fillId="3" borderId="13" xfId="2" applyFont="1" applyFill="1" applyBorder="1" applyAlignment="1">
      <alignment vertical="center" wrapText="1"/>
    </xf>
    <xf numFmtId="0" fontId="17" fillId="3" borderId="25" xfId="0" applyFont="1" applyFill="1" applyBorder="1" applyAlignment="1">
      <alignment vertical="center" wrapText="1"/>
    </xf>
    <xf numFmtId="168" fontId="17" fillId="3" borderId="26" xfId="2" applyFont="1" applyFill="1" applyBorder="1" applyAlignment="1">
      <alignment vertical="center" wrapText="1"/>
    </xf>
    <xf numFmtId="0" fontId="17" fillId="4" borderId="20" xfId="0" applyFont="1" applyFill="1" applyBorder="1" applyAlignment="1">
      <alignment horizontal="center" vertical="center"/>
    </xf>
    <xf numFmtId="0" fontId="17" fillId="4" borderId="20" xfId="0" quotePrefix="1" applyFont="1" applyFill="1" applyBorder="1" applyAlignment="1">
      <alignment horizontal="center" vertical="center"/>
    </xf>
    <xf numFmtId="167" fontId="17" fillId="4" borderId="20" xfId="0" applyNumberFormat="1" applyFont="1" applyFill="1" applyBorder="1" applyAlignment="1">
      <alignment horizontal="center" vertical="center" wrapText="1"/>
    </xf>
    <xf numFmtId="0" fontId="17" fillId="13" borderId="18" xfId="0" applyFont="1" applyFill="1" applyBorder="1" applyAlignment="1">
      <alignment horizontal="center" vertical="center" wrapText="1"/>
    </xf>
    <xf numFmtId="169" fontId="17" fillId="3" borderId="10" xfId="1" applyFont="1" applyFill="1" applyBorder="1" applyAlignment="1">
      <alignment horizontal="center" vertical="center" wrapText="1"/>
    </xf>
    <xf numFmtId="0" fontId="17" fillId="3" borderId="33" xfId="0" applyFont="1" applyFill="1" applyBorder="1" applyAlignment="1">
      <alignment horizontal="center" vertical="center"/>
    </xf>
    <xf numFmtId="172" fontId="17" fillId="3" borderId="3" xfId="6" quotePrefix="1" applyNumberFormat="1" applyFont="1" applyFill="1" applyBorder="1" applyAlignment="1">
      <alignment horizontal="left" vertical="center" wrapText="1"/>
    </xf>
    <xf numFmtId="172" fontId="17" fillId="3" borderId="18" xfId="6" applyNumberFormat="1" applyFont="1" applyFill="1" applyBorder="1" applyAlignment="1">
      <alignment horizontal="center" vertical="center"/>
    </xf>
    <xf numFmtId="0" fontId="20" fillId="11" borderId="15" xfId="3" applyFont="1" applyFill="1" applyBorder="1" applyAlignment="1">
      <alignment horizontal="center" vertical="center" wrapText="1"/>
    </xf>
    <xf numFmtId="0" fontId="20" fillId="3" borderId="37" xfId="3" applyFont="1" applyFill="1" applyBorder="1" applyAlignment="1">
      <alignment horizontal="center" vertical="center" wrapText="1"/>
    </xf>
    <xf numFmtId="0" fontId="20" fillId="11" borderId="37" xfId="3" applyFont="1" applyFill="1" applyBorder="1" applyAlignment="1">
      <alignment horizontal="center" vertical="center" wrapText="1"/>
    </xf>
    <xf numFmtId="0" fontId="5" fillId="10" borderId="0" xfId="0" applyFont="1" applyFill="1"/>
    <xf numFmtId="0" fontId="4" fillId="10" borderId="0" xfId="0" applyFont="1" applyFill="1"/>
    <xf numFmtId="169" fontId="5" fillId="10" borderId="0" xfId="0" applyNumberFormat="1" applyFont="1" applyFill="1"/>
    <xf numFmtId="0" fontId="5" fillId="10" borderId="0" xfId="0" applyFont="1" applyFill="1" applyAlignment="1">
      <alignment horizontal="center"/>
    </xf>
    <xf numFmtId="169" fontId="5" fillId="10" borderId="0" xfId="1" applyFont="1" applyFill="1" applyAlignment="1">
      <alignment horizontal="center"/>
    </xf>
    <xf numFmtId="167" fontId="5" fillId="10" borderId="0" xfId="0" applyNumberFormat="1" applyFont="1" applyFill="1" applyAlignment="1">
      <alignment horizontal="center"/>
    </xf>
    <xf numFmtId="172" fontId="5" fillId="10" borderId="0" xfId="6" applyNumberFormat="1" applyFont="1" applyFill="1"/>
    <xf numFmtId="9" fontId="17" fillId="10" borderId="5" xfId="0" applyNumberFormat="1" applyFont="1" applyFill="1" applyBorder="1" applyAlignment="1">
      <alignment vertical="center"/>
    </xf>
    <xf numFmtId="9" fontId="17" fillId="10" borderId="1" xfId="0" applyNumberFormat="1" applyFont="1" applyFill="1" applyBorder="1" applyAlignment="1">
      <alignment vertical="center"/>
    </xf>
    <xf numFmtId="9" fontId="17" fillId="10" borderId="0" xfId="0" applyNumberFormat="1" applyFont="1" applyFill="1" applyAlignment="1">
      <alignment vertical="center"/>
    </xf>
    <xf numFmtId="0" fontId="5" fillId="10" borderId="1" xfId="0" applyFont="1" applyFill="1" applyBorder="1"/>
    <xf numFmtId="0" fontId="5" fillId="10" borderId="8" xfId="0" applyFont="1" applyFill="1" applyBorder="1"/>
    <xf numFmtId="0" fontId="5" fillId="10" borderId="10" xfId="0" applyFont="1" applyFill="1" applyBorder="1"/>
    <xf numFmtId="0" fontId="7" fillId="6" borderId="4" xfId="0" applyFont="1" applyFill="1" applyBorder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10" borderId="0" xfId="0" applyFill="1"/>
    <xf numFmtId="0" fontId="4" fillId="10" borderId="0" xfId="0" applyFont="1" applyFill="1" applyAlignment="1">
      <alignment horizontal="center" vertical="center"/>
    </xf>
    <xf numFmtId="0" fontId="26" fillId="10" borderId="0" xfId="0" applyFont="1" applyFill="1"/>
    <xf numFmtId="169" fontId="26" fillId="10" borderId="0" xfId="1" applyFont="1" applyFill="1"/>
    <xf numFmtId="9" fontId="26" fillId="10" borderId="0" xfId="6" applyFont="1" applyFill="1"/>
    <xf numFmtId="0" fontId="26" fillId="10" borderId="0" xfId="0" applyFont="1" applyFill="1" applyAlignment="1">
      <alignment horizontal="center" vertical="center" wrapText="1"/>
    </xf>
    <xf numFmtId="10" fontId="25" fillId="10" borderId="0" xfId="3" applyNumberFormat="1" applyFont="1" applyFill="1" applyAlignment="1">
      <alignment horizontal="center" vertical="center" wrapText="1"/>
    </xf>
    <xf numFmtId="169" fontId="25" fillId="10" borderId="0" xfId="3" applyNumberFormat="1" applyFont="1" applyFill="1" applyAlignment="1">
      <alignment horizontal="center" vertical="center" wrapText="1"/>
    </xf>
    <xf numFmtId="4" fontId="25" fillId="10" borderId="0" xfId="3" applyNumberFormat="1" applyFont="1" applyFill="1" applyAlignment="1">
      <alignment horizontal="center" vertical="center" wrapText="1"/>
    </xf>
    <xf numFmtId="171" fontId="22" fillId="10" borderId="0" xfId="1" applyNumberFormat="1" applyFont="1" applyFill="1" applyAlignment="1">
      <alignment horizontal="center" vertical="center"/>
    </xf>
    <xf numFmtId="173" fontId="25" fillId="10" borderId="0" xfId="3" applyNumberFormat="1" applyFont="1" applyFill="1" applyAlignment="1">
      <alignment horizontal="center" vertical="center" wrapText="1"/>
    </xf>
    <xf numFmtId="169" fontId="0" fillId="10" borderId="0" xfId="1" applyFont="1" applyFill="1"/>
    <xf numFmtId="9" fontId="0" fillId="10" borderId="0" xfId="6" applyFont="1" applyFill="1"/>
    <xf numFmtId="169" fontId="4" fillId="10" borderId="0" xfId="1" applyFont="1" applyFill="1" applyAlignment="1">
      <alignment horizontal="center" vertical="center"/>
    </xf>
    <xf numFmtId="9" fontId="4" fillId="10" borderId="0" xfId="6" applyFont="1" applyFill="1" applyAlignment="1">
      <alignment horizontal="center" vertical="center"/>
    </xf>
    <xf numFmtId="9" fontId="17" fillId="10" borderId="1" xfId="0" applyNumberFormat="1" applyFont="1" applyFill="1" applyBorder="1" applyAlignment="1">
      <alignment horizontal="center" vertical="center"/>
    </xf>
    <xf numFmtId="171" fontId="22" fillId="7" borderId="38" xfId="1" applyNumberFormat="1" applyFont="1" applyFill="1" applyBorder="1" applyAlignment="1">
      <alignment horizontal="center" vertical="center"/>
    </xf>
    <xf numFmtId="0" fontId="0" fillId="10" borderId="39" xfId="0" applyFill="1" applyBorder="1" applyAlignment="1">
      <alignment horizontal="center" vertical="center"/>
    </xf>
    <xf numFmtId="0" fontId="0" fillId="10" borderId="40" xfId="0" applyFill="1" applyBorder="1" applyAlignment="1">
      <alignment horizontal="center" vertical="center"/>
    </xf>
    <xf numFmtId="0" fontId="0" fillId="10" borderId="41" xfId="0" applyFill="1" applyBorder="1" applyAlignment="1">
      <alignment horizontal="center" vertical="center"/>
    </xf>
    <xf numFmtId="0" fontId="3" fillId="10" borderId="41" xfId="0" applyFont="1" applyFill="1" applyBorder="1" applyAlignment="1">
      <alignment horizontal="center" vertical="center"/>
    </xf>
    <xf numFmtId="0" fontId="0" fillId="10" borderId="42" xfId="0" applyFill="1" applyBorder="1" applyAlignment="1">
      <alignment horizontal="center" vertical="center"/>
    </xf>
    <xf numFmtId="0" fontId="3" fillId="10" borderId="42" xfId="0" applyFont="1" applyFill="1" applyBorder="1" applyAlignment="1">
      <alignment horizontal="center" vertical="center"/>
    </xf>
    <xf numFmtId="2" fontId="0" fillId="10" borderId="42" xfId="0" applyNumberFormat="1" applyFill="1" applyBorder="1" applyAlignment="1">
      <alignment horizontal="center" vertical="center"/>
    </xf>
    <xf numFmtId="2" fontId="0" fillId="10" borderId="40" xfId="0" applyNumberFormat="1" applyFill="1" applyBorder="1" applyAlignment="1">
      <alignment horizontal="center" vertical="center"/>
    </xf>
    <xf numFmtId="0" fontId="4" fillId="9" borderId="32" xfId="0" applyFont="1" applyFill="1" applyBorder="1" applyAlignment="1">
      <alignment horizontal="center" vertical="center"/>
    </xf>
    <xf numFmtId="0" fontId="4" fillId="9" borderId="33" xfId="0" applyFont="1" applyFill="1" applyBorder="1" applyAlignment="1">
      <alignment horizontal="center" vertical="center"/>
    </xf>
    <xf numFmtId="0" fontId="4" fillId="9" borderId="18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/>
    </xf>
    <xf numFmtId="167" fontId="5" fillId="10" borderId="0" xfId="0" applyNumberFormat="1" applyFont="1" applyFill="1" applyAlignment="1">
      <alignment horizontal="center" vertical="center"/>
    </xf>
    <xf numFmtId="0" fontId="4" fillId="10" borderId="30" xfId="0" applyFont="1" applyFill="1" applyBorder="1" applyAlignment="1">
      <alignment horizontal="center" vertical="center"/>
    </xf>
    <xf numFmtId="0" fontId="20" fillId="14" borderId="15" xfId="3" applyFont="1" applyFill="1" applyBorder="1" applyAlignment="1">
      <alignment horizontal="center" vertical="center" wrapText="1"/>
    </xf>
    <xf numFmtId="0" fontId="20" fillId="14" borderId="16" xfId="3" applyFont="1" applyFill="1" applyBorder="1" applyAlignment="1">
      <alignment horizontal="center" vertical="center" wrapText="1"/>
    </xf>
    <xf numFmtId="4" fontId="25" fillId="6" borderId="38" xfId="1" applyNumberFormat="1" applyFont="1" applyFill="1" applyBorder="1" applyAlignment="1">
      <alignment horizontal="center" vertical="center" wrapText="1"/>
    </xf>
    <xf numFmtId="4" fontId="25" fillId="6" borderId="17" xfId="1" applyNumberFormat="1" applyFont="1" applyFill="1" applyBorder="1" applyAlignment="1">
      <alignment horizontal="center" vertical="center" wrapText="1"/>
    </xf>
    <xf numFmtId="0" fontId="4" fillId="15" borderId="16" xfId="3" applyFont="1" applyFill="1" applyBorder="1" applyAlignment="1">
      <alignment horizontal="center" vertical="center" wrapText="1"/>
    </xf>
    <xf numFmtId="169" fontId="20" fillId="5" borderId="9" xfId="1" applyFont="1" applyFill="1" applyBorder="1" applyAlignment="1">
      <alignment horizontal="center" vertical="center" wrapText="1"/>
    </xf>
    <xf numFmtId="169" fontId="18" fillId="7" borderId="15" xfId="1" applyFont="1" applyFill="1" applyBorder="1" applyAlignment="1">
      <alignment horizontal="center" vertical="center" wrapText="1"/>
    </xf>
    <xf numFmtId="4" fontId="20" fillId="5" borderId="9" xfId="6" applyNumberFormat="1" applyFont="1" applyFill="1" applyBorder="1" applyAlignment="1">
      <alignment horizontal="center" vertical="center"/>
    </xf>
    <xf numFmtId="0" fontId="4" fillId="9" borderId="6" xfId="0" applyFont="1" applyFill="1" applyBorder="1" applyAlignment="1">
      <alignment horizontal="center" vertical="center" wrapText="1"/>
    </xf>
    <xf numFmtId="0" fontId="4" fillId="10" borderId="0" xfId="0" applyFont="1" applyFill="1" applyAlignment="1">
      <alignment horizontal="center" vertical="center" wrapText="1"/>
    </xf>
    <xf numFmtId="0" fontId="4" fillId="9" borderId="38" xfId="0" applyFont="1" applyFill="1" applyBorder="1" applyAlignment="1">
      <alignment horizontal="center" vertical="center" wrapText="1"/>
    </xf>
    <xf numFmtId="0" fontId="0" fillId="10" borderId="0" xfId="0" applyFill="1" applyAlignment="1">
      <alignment wrapText="1"/>
    </xf>
    <xf numFmtId="0" fontId="0" fillId="0" borderId="6" xfId="0" applyBorder="1" applyAlignment="1">
      <alignment horizontal="center" vertical="center" wrapText="1"/>
    </xf>
    <xf numFmtId="169" fontId="27" fillId="10" borderId="6" xfId="1" applyFont="1" applyFill="1" applyBorder="1" applyAlignment="1">
      <alignment horizontal="center" vertical="center" wrapText="1"/>
    </xf>
    <xf numFmtId="0" fontId="0" fillId="10" borderId="6" xfId="0" applyFill="1" applyBorder="1" applyAlignment="1">
      <alignment horizontal="center" vertical="center" wrapText="1"/>
    </xf>
    <xf numFmtId="168" fontId="0" fillId="10" borderId="0" xfId="2" applyFont="1" applyFill="1" applyAlignment="1">
      <alignment horizontal="center" vertical="center" wrapText="1"/>
    </xf>
    <xf numFmtId="168" fontId="0" fillId="10" borderId="38" xfId="2" applyFont="1" applyFill="1" applyBorder="1" applyAlignment="1">
      <alignment horizontal="center" vertical="center" wrapText="1"/>
    </xf>
    <xf numFmtId="0" fontId="0" fillId="10" borderId="0" xfId="0" applyFill="1" applyAlignment="1">
      <alignment horizontal="center" vertical="center" wrapText="1"/>
    </xf>
    <xf numFmtId="9" fontId="0" fillId="10" borderId="0" xfId="6" applyFont="1" applyFill="1" applyAlignment="1">
      <alignment horizontal="center" vertical="center" wrapText="1"/>
    </xf>
    <xf numFmtId="169" fontId="0" fillId="10" borderId="0" xfId="1" applyFont="1" applyFill="1" applyAlignment="1">
      <alignment horizontal="center" vertical="center" wrapText="1"/>
    </xf>
    <xf numFmtId="169" fontId="0" fillId="10" borderId="38" xfId="1" applyFont="1" applyFill="1" applyBorder="1" applyAlignment="1">
      <alignment horizontal="center" vertical="center" wrapText="1"/>
    </xf>
    <xf numFmtId="169" fontId="0" fillId="10" borderId="0" xfId="1" applyFont="1" applyFill="1" applyAlignment="1">
      <alignment wrapText="1"/>
    </xf>
    <xf numFmtId="10" fontId="0" fillId="10" borderId="38" xfId="6" applyNumberFormat="1" applyFont="1" applyFill="1" applyBorder="1" applyAlignment="1">
      <alignment horizontal="center" vertical="center" wrapText="1"/>
    </xf>
    <xf numFmtId="169" fontId="25" fillId="0" borderId="38" xfId="3" applyNumberFormat="1" applyFont="1" applyBorder="1" applyAlignment="1">
      <alignment horizontal="center" vertical="center" wrapText="1"/>
    </xf>
    <xf numFmtId="0" fontId="3" fillId="10" borderId="0" xfId="0" applyFont="1" applyFill="1"/>
    <xf numFmtId="169" fontId="18" fillId="7" borderId="38" xfId="1" applyFont="1" applyFill="1" applyBorder="1" applyAlignment="1">
      <alignment horizontal="center" vertical="center" wrapText="1"/>
    </xf>
    <xf numFmtId="169" fontId="17" fillId="7" borderId="38" xfId="1" applyFont="1" applyFill="1" applyBorder="1" applyAlignment="1">
      <alignment horizontal="center" vertical="center" wrapText="1"/>
    </xf>
    <xf numFmtId="0" fontId="25" fillId="7" borderId="14" xfId="4" applyFont="1" applyFill="1" applyBorder="1" applyAlignment="1">
      <alignment horizontal="center" vertical="center" wrapText="1"/>
    </xf>
    <xf numFmtId="10" fontId="25" fillId="7" borderId="38" xfId="3" applyNumberFormat="1" applyFont="1" applyFill="1" applyBorder="1" applyAlignment="1">
      <alignment horizontal="center" vertical="center" wrapText="1"/>
    </xf>
    <xf numFmtId="0" fontId="14" fillId="0" borderId="14" xfId="0" applyFont="1" applyFill="1" applyBorder="1" applyAlignment="1">
      <alignment horizontal="center" vertical="center" wrapText="1"/>
    </xf>
    <xf numFmtId="43" fontId="5" fillId="10" borderId="0" xfId="0" applyNumberFormat="1" applyFont="1" applyFill="1" applyAlignment="1">
      <alignment horizontal="center"/>
    </xf>
    <xf numFmtId="169" fontId="4" fillId="7" borderId="38" xfId="1" applyFont="1" applyFill="1" applyBorder="1" applyAlignment="1">
      <alignment horizontal="center" vertical="center"/>
    </xf>
    <xf numFmtId="169" fontId="17" fillId="0" borderId="38" xfId="1" applyFont="1" applyBorder="1" applyAlignment="1">
      <alignment horizontal="center" vertical="center" wrapText="1"/>
    </xf>
    <xf numFmtId="0" fontId="23" fillId="5" borderId="38" xfId="0" applyFont="1" applyFill="1" applyBorder="1" applyAlignment="1">
      <alignment horizontal="center" vertical="center" wrapText="1"/>
    </xf>
    <xf numFmtId="167" fontId="22" fillId="6" borderId="38" xfId="1" applyNumberFormat="1" applyFont="1" applyFill="1" applyBorder="1" applyAlignment="1">
      <alignment horizontal="center" vertical="center" wrapText="1"/>
    </xf>
    <xf numFmtId="169" fontId="4" fillId="12" borderId="38" xfId="1" applyFont="1" applyFill="1" applyBorder="1"/>
    <xf numFmtId="0" fontId="6" fillId="12" borderId="38" xfId="0" applyFont="1" applyFill="1" applyBorder="1"/>
    <xf numFmtId="0" fontId="14" fillId="0" borderId="21" xfId="0" applyFont="1" applyFill="1" applyBorder="1" applyAlignment="1">
      <alignment horizontal="center" vertical="center" wrapText="1"/>
    </xf>
    <xf numFmtId="169" fontId="17" fillId="0" borderId="15" xfId="1" applyFont="1" applyBorder="1" applyAlignment="1">
      <alignment horizontal="center" vertical="center" wrapText="1"/>
    </xf>
    <xf numFmtId="0" fontId="4" fillId="0" borderId="15" xfId="0" applyFont="1" applyBorder="1"/>
    <xf numFmtId="0" fontId="6" fillId="0" borderId="15" xfId="0" applyFont="1" applyBorder="1"/>
    <xf numFmtId="0" fontId="23" fillId="5" borderId="16" xfId="0" applyFont="1" applyFill="1" applyBorder="1" applyAlignment="1">
      <alignment horizontal="center" vertical="center" wrapText="1"/>
    </xf>
    <xf numFmtId="0" fontId="23" fillId="5" borderId="17" xfId="0" applyFont="1" applyFill="1" applyBorder="1" applyAlignment="1">
      <alignment horizontal="center" vertical="center" wrapText="1"/>
    </xf>
    <xf numFmtId="169" fontId="4" fillId="12" borderId="12" xfId="1" applyFont="1" applyFill="1" applyBorder="1"/>
    <xf numFmtId="0" fontId="6" fillId="12" borderId="12" xfId="0" applyFont="1" applyFill="1" applyBorder="1"/>
    <xf numFmtId="0" fontId="26" fillId="0" borderId="21" xfId="4" applyFont="1" applyFill="1" applyBorder="1" applyAlignment="1">
      <alignment horizontal="center" vertical="center" wrapText="1"/>
    </xf>
    <xf numFmtId="10" fontId="26" fillId="0" borderId="15" xfId="3" applyNumberFormat="1" applyFont="1" applyFill="1" applyBorder="1" applyAlignment="1">
      <alignment horizontal="center" vertical="center" wrapText="1"/>
    </xf>
    <xf numFmtId="171" fontId="26" fillId="7" borderId="15" xfId="1" applyNumberFormat="1" applyFont="1" applyFill="1" applyBorder="1" applyAlignment="1">
      <alignment horizontal="center" vertical="center" wrapText="1"/>
    </xf>
    <xf numFmtId="169" fontId="26" fillId="7" borderId="15" xfId="3" applyNumberFormat="1" applyFont="1" applyFill="1" applyBorder="1" applyAlignment="1">
      <alignment horizontal="center" vertical="center" wrapText="1"/>
    </xf>
    <xf numFmtId="169" fontId="26" fillId="7" borderId="15" xfId="1" applyFont="1" applyFill="1" applyBorder="1" applyAlignment="1">
      <alignment horizontal="center" vertical="center" wrapText="1"/>
    </xf>
    <xf numFmtId="168" fontId="26" fillId="6" borderId="15" xfId="2" applyFont="1" applyFill="1" applyBorder="1" applyAlignment="1">
      <alignment horizontal="center" vertical="center" wrapText="1"/>
    </xf>
    <xf numFmtId="10" fontId="26" fillId="6" borderId="38" xfId="3" applyNumberFormat="1" applyFont="1" applyFill="1" applyBorder="1" applyAlignment="1">
      <alignment horizontal="center" vertical="center" wrapText="1"/>
    </xf>
    <xf numFmtId="171" fontId="26" fillId="7" borderId="38" xfId="1" applyNumberFormat="1" applyFont="1" applyFill="1" applyBorder="1" applyAlignment="1">
      <alignment horizontal="center" vertical="center" wrapText="1"/>
    </xf>
    <xf numFmtId="169" fontId="26" fillId="7" borderId="38" xfId="3" applyNumberFormat="1" applyFont="1" applyFill="1" applyBorder="1" applyAlignment="1">
      <alignment horizontal="center" vertical="center" wrapText="1"/>
    </xf>
    <xf numFmtId="169" fontId="26" fillId="7" borderId="38" xfId="1" applyFont="1" applyFill="1" applyBorder="1" applyAlignment="1">
      <alignment horizontal="center" vertical="center" wrapText="1"/>
    </xf>
    <xf numFmtId="168" fontId="26" fillId="6" borderId="38" xfId="2" applyFont="1" applyFill="1" applyBorder="1" applyAlignment="1">
      <alignment horizontal="center" vertical="center" wrapText="1"/>
    </xf>
    <xf numFmtId="4" fontId="26" fillId="6" borderId="38" xfId="1" applyNumberFormat="1" applyFont="1" applyFill="1" applyBorder="1" applyAlignment="1">
      <alignment horizontal="center" vertical="center" wrapText="1"/>
    </xf>
    <xf numFmtId="169" fontId="26" fillId="6" borderId="38" xfId="1" applyFont="1" applyFill="1" applyBorder="1" applyAlignment="1">
      <alignment horizontal="center" vertical="center" wrapText="1"/>
    </xf>
    <xf numFmtId="0" fontId="37" fillId="9" borderId="17" xfId="0" applyFont="1" applyFill="1" applyBorder="1" applyAlignment="1">
      <alignment horizontal="center" vertical="center" wrapText="1"/>
    </xf>
    <xf numFmtId="169" fontId="25" fillId="7" borderId="38" xfId="1" applyFont="1" applyFill="1" applyBorder="1" applyAlignment="1">
      <alignment horizontal="left" vertical="center" wrapText="1"/>
    </xf>
    <xf numFmtId="0" fontId="26" fillId="7" borderId="21" xfId="4" applyFont="1" applyFill="1" applyBorder="1" applyAlignment="1">
      <alignment horizontal="center" vertical="center" wrapText="1"/>
    </xf>
    <xf numFmtId="4" fontId="26" fillId="6" borderId="16" xfId="1" applyNumberFormat="1" applyFont="1" applyFill="1" applyBorder="1" applyAlignment="1">
      <alignment horizontal="center" vertical="center" wrapText="1"/>
    </xf>
    <xf numFmtId="0" fontId="26" fillId="7" borderId="14" xfId="4" applyFont="1" applyFill="1" applyBorder="1" applyAlignment="1">
      <alignment horizontal="center" vertical="center" wrapText="1"/>
    </xf>
    <xf numFmtId="4" fontId="26" fillId="6" borderId="17" xfId="1" applyNumberFormat="1" applyFont="1" applyFill="1" applyBorder="1" applyAlignment="1">
      <alignment horizontal="center" vertical="center" wrapText="1"/>
    </xf>
    <xf numFmtId="0" fontId="26" fillId="0" borderId="14" xfId="4" applyFont="1" applyFill="1" applyBorder="1" applyAlignment="1">
      <alignment horizontal="center" vertical="center" wrapText="1"/>
    </xf>
    <xf numFmtId="4" fontId="26" fillId="0" borderId="38" xfId="1" applyNumberFormat="1" applyFont="1" applyFill="1" applyBorder="1" applyAlignment="1">
      <alignment horizontal="center" vertical="center" wrapText="1"/>
    </xf>
    <xf numFmtId="4" fontId="26" fillId="0" borderId="17" xfId="1" applyNumberFormat="1" applyFont="1" applyFill="1" applyBorder="1" applyAlignment="1">
      <alignment horizontal="center" vertical="center" wrapText="1"/>
    </xf>
    <xf numFmtId="169" fontId="26" fillId="0" borderId="16" xfId="1" applyFont="1" applyFill="1" applyBorder="1" applyAlignment="1">
      <alignment horizontal="center" vertical="center" wrapText="1"/>
    </xf>
    <xf numFmtId="169" fontId="26" fillId="0" borderId="17" xfId="1" applyFont="1" applyFill="1" applyBorder="1" applyAlignment="1">
      <alignment horizontal="center" vertical="center" wrapText="1"/>
    </xf>
    <xf numFmtId="171" fontId="22" fillId="7" borderId="12" xfId="1" applyNumberFormat="1" applyFont="1" applyFill="1" applyBorder="1" applyAlignment="1">
      <alignment horizontal="center" vertical="center"/>
    </xf>
    <xf numFmtId="169" fontId="17" fillId="7" borderId="12" xfId="1" applyFont="1" applyFill="1" applyBorder="1" applyAlignment="1">
      <alignment horizontal="center" vertical="center" wrapText="1"/>
    </xf>
    <xf numFmtId="169" fontId="18" fillId="7" borderId="12" xfId="1" applyFont="1" applyFill="1" applyBorder="1" applyAlignment="1">
      <alignment horizontal="center" vertical="center" wrapText="1"/>
    </xf>
    <xf numFmtId="0" fontId="23" fillId="5" borderId="13" xfId="0" applyFont="1" applyFill="1" applyBorder="1" applyAlignment="1">
      <alignment horizontal="center" vertical="center" wrapText="1"/>
    </xf>
    <xf numFmtId="9" fontId="21" fillId="0" borderId="15" xfId="6" applyFont="1" applyFill="1" applyBorder="1" applyAlignment="1">
      <alignment horizontal="center" vertical="center" wrapText="1"/>
    </xf>
    <xf numFmtId="169" fontId="14" fillId="0" borderId="15" xfId="1" applyFont="1" applyFill="1" applyBorder="1" applyAlignment="1">
      <alignment horizontal="center" vertical="center" wrapText="1"/>
    </xf>
    <xf numFmtId="9" fontId="21" fillId="0" borderId="38" xfId="6" applyFont="1" applyFill="1" applyBorder="1" applyAlignment="1">
      <alignment horizontal="center" vertical="center" wrapText="1"/>
    </xf>
    <xf numFmtId="169" fontId="14" fillId="0" borderId="38" xfId="1" applyFont="1" applyFill="1" applyBorder="1" applyAlignment="1">
      <alignment horizontal="center" vertical="center" wrapText="1"/>
    </xf>
    <xf numFmtId="9" fontId="21" fillId="0" borderId="12" xfId="6" applyFont="1" applyFill="1" applyBorder="1" applyAlignment="1">
      <alignment horizontal="center" vertical="center" wrapText="1"/>
    </xf>
    <xf numFmtId="169" fontId="14" fillId="0" borderId="12" xfId="1" applyFont="1" applyFill="1" applyBorder="1" applyAlignment="1">
      <alignment horizontal="center" vertical="center" wrapText="1"/>
    </xf>
    <xf numFmtId="3" fontId="26" fillId="7" borderId="15" xfId="1" applyNumberFormat="1" applyFont="1" applyFill="1" applyBorder="1" applyAlignment="1">
      <alignment horizontal="center" vertical="center" wrapText="1"/>
    </xf>
    <xf numFmtId="3" fontId="26" fillId="7" borderId="38" xfId="1" applyNumberFormat="1" applyFont="1" applyFill="1" applyBorder="1" applyAlignment="1">
      <alignment horizontal="center" vertical="center" wrapText="1"/>
    </xf>
    <xf numFmtId="0" fontId="26" fillId="0" borderId="15" xfId="0" applyFont="1" applyFill="1" applyBorder="1" applyAlignment="1">
      <alignment horizontal="center" vertical="center" wrapText="1"/>
    </xf>
    <xf numFmtId="0" fontId="26" fillId="0" borderId="38" xfId="0" applyFont="1" applyFill="1" applyBorder="1" applyAlignment="1">
      <alignment horizontal="center" vertical="center" wrapText="1"/>
    </xf>
    <xf numFmtId="9" fontId="26" fillId="0" borderId="38" xfId="6" applyFont="1" applyFill="1" applyBorder="1" applyAlignment="1">
      <alignment horizontal="center" vertical="center" wrapText="1"/>
    </xf>
    <xf numFmtId="0" fontId="3" fillId="0" borderId="38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10" borderId="0" xfId="0" applyFont="1" applyFill="1" applyAlignment="1">
      <alignment vertical="center"/>
    </xf>
    <xf numFmtId="169" fontId="26" fillId="0" borderId="16" xfId="1" applyFont="1" applyBorder="1"/>
    <xf numFmtId="168" fontId="26" fillId="0" borderId="17" xfId="2" applyFont="1" applyBorder="1"/>
    <xf numFmtId="169" fontId="26" fillId="6" borderId="15" xfId="1" applyFont="1" applyFill="1" applyBorder="1" applyAlignment="1">
      <alignment horizontal="center" vertical="center" wrapText="1"/>
    </xf>
    <xf numFmtId="0" fontId="4" fillId="1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25" fillId="7" borderId="11" xfId="4" applyFont="1" applyFill="1" applyBorder="1" applyAlignment="1">
      <alignment horizontal="center" vertical="center" wrapText="1"/>
    </xf>
    <xf numFmtId="169" fontId="25" fillId="7" borderId="12" xfId="1" applyFont="1" applyFill="1" applyBorder="1" applyAlignment="1">
      <alignment horizontal="left" vertical="center" wrapText="1"/>
    </xf>
    <xf numFmtId="10" fontId="25" fillId="7" borderId="12" xfId="3" applyNumberFormat="1" applyFont="1" applyFill="1" applyBorder="1" applyAlignment="1">
      <alignment horizontal="center" vertical="center" wrapText="1"/>
    </xf>
    <xf numFmtId="169" fontId="25" fillId="0" borderId="12" xfId="3" applyNumberFormat="1" applyFont="1" applyBorder="1" applyAlignment="1">
      <alignment horizontal="center" vertical="center" wrapText="1"/>
    </xf>
    <xf numFmtId="4" fontId="25" fillId="6" borderId="12" xfId="1" applyNumberFormat="1" applyFont="1" applyFill="1" applyBorder="1" applyAlignment="1">
      <alignment horizontal="center" vertical="center" wrapText="1"/>
    </xf>
    <xf numFmtId="4" fontId="25" fillId="6" borderId="13" xfId="1" applyNumberFormat="1" applyFont="1" applyFill="1" applyBorder="1" applyAlignment="1">
      <alignment horizontal="center" vertical="center" wrapText="1"/>
    </xf>
    <xf numFmtId="0" fontId="26" fillId="7" borderId="44" xfId="4" applyFont="1" applyFill="1" applyBorder="1" applyAlignment="1">
      <alignment horizontal="center" vertical="center" wrapText="1"/>
    </xf>
    <xf numFmtId="169" fontId="25" fillId="0" borderId="38" xfId="3" applyNumberFormat="1" applyFont="1" applyFill="1" applyBorder="1" applyAlignment="1">
      <alignment horizontal="center" vertical="center" wrapText="1"/>
    </xf>
    <xf numFmtId="169" fontId="26" fillId="0" borderId="38" xfId="3" applyNumberFormat="1" applyFont="1" applyBorder="1" applyAlignment="1">
      <alignment horizontal="center" vertical="center" wrapText="1"/>
    </xf>
    <xf numFmtId="169" fontId="26" fillId="0" borderId="45" xfId="3" applyNumberFormat="1" applyFont="1" applyFill="1" applyBorder="1" applyAlignment="1">
      <alignment horizontal="center" vertical="center" wrapText="1"/>
    </xf>
    <xf numFmtId="169" fontId="25" fillId="0" borderId="12" xfId="3" applyNumberFormat="1" applyFont="1" applyFill="1" applyBorder="1" applyAlignment="1">
      <alignment horizontal="center" vertical="center" wrapText="1"/>
    </xf>
    <xf numFmtId="169" fontId="26" fillId="0" borderId="45" xfId="1" applyFont="1" applyFill="1" applyBorder="1" applyAlignment="1">
      <alignment horizontal="left" vertical="center" wrapText="1"/>
    </xf>
    <xf numFmtId="10" fontId="26" fillId="0" borderId="45" xfId="3" applyNumberFormat="1" applyFont="1" applyFill="1" applyBorder="1" applyAlignment="1">
      <alignment horizontal="center" vertical="center" wrapText="1"/>
    </xf>
    <xf numFmtId="0" fontId="26" fillId="0" borderId="44" xfId="4" applyFont="1" applyFill="1" applyBorder="1" applyAlignment="1">
      <alignment horizontal="center" vertical="center" wrapText="1"/>
    </xf>
    <xf numFmtId="169" fontId="26" fillId="7" borderId="45" xfId="1" applyFont="1" applyFill="1" applyBorder="1" applyAlignment="1">
      <alignment horizontal="center" vertical="center" wrapText="1"/>
    </xf>
    <xf numFmtId="169" fontId="3" fillId="0" borderId="45" xfId="1" applyFont="1" applyFill="1" applyBorder="1" applyAlignment="1">
      <alignment horizontal="center" vertical="center" wrapText="1"/>
    </xf>
    <xf numFmtId="0" fontId="26" fillId="0" borderId="11" xfId="4" applyFont="1" applyFill="1" applyBorder="1" applyAlignment="1">
      <alignment horizontal="center" vertical="center" wrapText="1"/>
    </xf>
    <xf numFmtId="168" fontId="26" fillId="0" borderId="13" xfId="2" applyFont="1" applyBorder="1"/>
    <xf numFmtId="169" fontId="26" fillId="0" borderId="46" xfId="1" applyFont="1" applyBorder="1"/>
    <xf numFmtId="169" fontId="26" fillId="0" borderId="38" xfId="3" applyNumberFormat="1" applyFont="1" applyFill="1" applyBorder="1" applyAlignment="1">
      <alignment horizontal="center" vertical="center" wrapText="1"/>
    </xf>
    <xf numFmtId="0" fontId="37" fillId="9" borderId="16" xfId="0" applyFont="1" applyFill="1" applyBorder="1" applyAlignment="1">
      <alignment horizontal="center" vertical="center" wrapText="1"/>
    </xf>
    <xf numFmtId="0" fontId="26" fillId="6" borderId="11" xfId="4" applyFont="1" applyFill="1" applyBorder="1" applyAlignment="1">
      <alignment horizontal="center" vertical="center" wrapText="1"/>
    </xf>
    <xf numFmtId="169" fontId="26" fillId="7" borderId="12" xfId="1" applyFont="1" applyFill="1" applyBorder="1" applyAlignment="1">
      <alignment horizontal="center" vertical="center" wrapText="1"/>
    </xf>
    <xf numFmtId="10" fontId="26" fillId="6" borderId="12" xfId="3" applyNumberFormat="1" applyFont="1" applyFill="1" applyBorder="1" applyAlignment="1">
      <alignment horizontal="center" vertical="center" wrapText="1"/>
    </xf>
    <xf numFmtId="171" fontId="26" fillId="7" borderId="12" xfId="1" applyNumberFormat="1" applyFont="1" applyFill="1" applyBorder="1" applyAlignment="1">
      <alignment horizontal="center" vertical="center" wrapText="1"/>
    </xf>
    <xf numFmtId="169" fontId="26" fillId="7" borderId="12" xfId="3" applyNumberFormat="1" applyFont="1" applyFill="1" applyBorder="1" applyAlignment="1">
      <alignment horizontal="center" vertical="center" wrapText="1"/>
    </xf>
    <xf numFmtId="169" fontId="26" fillId="6" borderId="12" xfId="1" applyFont="1" applyFill="1" applyBorder="1" applyAlignment="1">
      <alignment horizontal="center" vertical="center" wrapText="1"/>
    </xf>
    <xf numFmtId="168" fontId="26" fillId="6" borderId="12" xfId="2" applyFont="1" applyFill="1" applyBorder="1" applyAlignment="1">
      <alignment horizontal="center" vertical="center" wrapText="1"/>
    </xf>
    <xf numFmtId="0" fontId="37" fillId="9" borderId="13" xfId="0" applyFont="1" applyFill="1" applyBorder="1" applyAlignment="1">
      <alignment horizontal="center" vertical="center" wrapText="1"/>
    </xf>
    <xf numFmtId="4" fontId="26" fillId="6" borderId="47" xfId="1" applyNumberFormat="1" applyFont="1" applyFill="1" applyBorder="1" applyAlignment="1">
      <alignment horizontal="center" vertical="center" wrapText="1"/>
    </xf>
    <xf numFmtId="169" fontId="4" fillId="0" borderId="15" xfId="1" applyFont="1" applyFill="1" applyBorder="1" applyAlignment="1">
      <alignment horizontal="center" vertical="center" wrapText="1"/>
    </xf>
    <xf numFmtId="4" fontId="25" fillId="0" borderId="15" xfId="1" applyNumberFormat="1" applyFont="1" applyFill="1" applyBorder="1" applyAlignment="1">
      <alignment horizontal="center" vertical="center" wrapText="1"/>
    </xf>
    <xf numFmtId="4" fontId="25" fillId="0" borderId="16" xfId="1" applyNumberFormat="1" applyFont="1" applyFill="1" applyBorder="1" applyAlignment="1">
      <alignment horizontal="center" vertical="center" wrapText="1"/>
    </xf>
    <xf numFmtId="169" fontId="4" fillId="0" borderId="38" xfId="1" applyFont="1" applyFill="1" applyBorder="1" applyAlignment="1">
      <alignment horizontal="center" vertical="center" wrapText="1"/>
    </xf>
    <xf numFmtId="4" fontId="25" fillId="0" borderId="38" xfId="1" applyNumberFormat="1" applyFont="1" applyFill="1" applyBorder="1" applyAlignment="1">
      <alignment horizontal="center" vertical="center" wrapText="1"/>
    </xf>
    <xf numFmtId="4" fontId="25" fillId="0" borderId="17" xfId="1" applyNumberFormat="1" applyFont="1" applyFill="1" applyBorder="1" applyAlignment="1">
      <alignment horizontal="center" vertical="center" wrapText="1"/>
    </xf>
    <xf numFmtId="169" fontId="25" fillId="0" borderId="15" xfId="3" applyNumberFormat="1" applyFont="1" applyFill="1" applyBorder="1" applyAlignment="1">
      <alignment horizontal="center" vertical="center" wrapText="1"/>
    </xf>
    <xf numFmtId="0" fontId="20" fillId="14" borderId="24" xfId="3" applyFont="1" applyFill="1" applyBorder="1" applyAlignment="1">
      <alignment horizontal="center" vertical="center" wrapText="1"/>
    </xf>
    <xf numFmtId="0" fontId="20" fillId="14" borderId="43" xfId="3" applyFont="1" applyFill="1" applyBorder="1" applyAlignment="1">
      <alignment horizontal="center" vertical="center" wrapText="1"/>
    </xf>
    <xf numFmtId="0" fontId="5" fillId="0" borderId="0" xfId="0" applyFont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4" fillId="3" borderId="27" xfId="0" applyFont="1" applyFill="1" applyBorder="1" applyAlignment="1">
      <alignment horizontal="center"/>
    </xf>
    <xf numFmtId="0" fontId="4" fillId="3" borderId="28" xfId="0" applyFont="1" applyFill="1" applyBorder="1" applyAlignment="1">
      <alignment horizontal="center"/>
    </xf>
    <xf numFmtId="0" fontId="4" fillId="3" borderId="29" xfId="0" applyFont="1" applyFill="1" applyBorder="1" applyAlignment="1">
      <alignment horizontal="center"/>
    </xf>
    <xf numFmtId="9" fontId="4" fillId="3" borderId="5" xfId="6" applyFont="1" applyFill="1" applyBorder="1" applyAlignment="1">
      <alignment horizontal="center" vertical="center" wrapText="1"/>
    </xf>
    <xf numFmtId="9" fontId="4" fillId="3" borderId="8" xfId="6" applyFont="1" applyFill="1" applyBorder="1" applyAlignment="1">
      <alignment horizontal="center" vertical="center" wrapText="1"/>
    </xf>
    <xf numFmtId="9" fontId="4" fillId="3" borderId="3" xfId="6" applyFont="1" applyFill="1" applyBorder="1" applyAlignment="1">
      <alignment horizontal="center" vertical="center" wrapText="1"/>
    </xf>
    <xf numFmtId="9" fontId="4" fillId="3" borderId="9" xfId="6" applyFont="1" applyFill="1" applyBorder="1" applyAlignment="1">
      <alignment horizontal="center" vertical="center" wrapText="1"/>
    </xf>
    <xf numFmtId="9" fontId="4" fillId="3" borderId="19" xfId="6" quotePrefix="1" applyFont="1" applyFill="1" applyBorder="1" applyAlignment="1">
      <alignment horizontal="center" vertical="center"/>
    </xf>
    <xf numFmtId="9" fontId="4" fillId="3" borderId="30" xfId="6" quotePrefix="1" applyFont="1" applyFill="1" applyBorder="1" applyAlignment="1">
      <alignment horizontal="center" vertical="center"/>
    </xf>
    <xf numFmtId="0" fontId="4" fillId="3" borderId="21" xfId="0" quotePrefix="1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1" fontId="6" fillId="0" borderId="21" xfId="0" applyNumberFormat="1" applyFont="1" applyBorder="1" applyAlignment="1">
      <alignment horizontal="center" vertical="center"/>
    </xf>
    <xf numFmtId="1" fontId="6" fillId="0" borderId="14" xfId="0" applyNumberFormat="1" applyFont="1" applyBorder="1" applyAlignment="1">
      <alignment horizontal="center" vertical="center"/>
    </xf>
    <xf numFmtId="0" fontId="4" fillId="10" borderId="32" xfId="0" applyFont="1" applyFill="1" applyBorder="1" applyAlignment="1">
      <alignment horizontal="center" vertical="center"/>
    </xf>
    <xf numFmtId="0" fontId="4" fillId="10" borderId="20" xfId="0" applyFont="1" applyFill="1" applyBorder="1" applyAlignment="1">
      <alignment horizontal="center" vertical="center"/>
    </xf>
    <xf numFmtId="0" fontId="4" fillId="10" borderId="33" xfId="0" applyFont="1" applyFill="1" applyBorder="1" applyAlignment="1">
      <alignment horizontal="center" vertical="center"/>
    </xf>
    <xf numFmtId="0" fontId="0" fillId="10" borderId="0" xfId="0" applyFill="1" applyAlignment="1">
      <alignment horizontal="center"/>
    </xf>
    <xf numFmtId="0" fontId="7" fillId="6" borderId="0" xfId="0" applyFont="1" applyFill="1" applyAlignment="1">
      <alignment horizontal="center"/>
    </xf>
    <xf numFmtId="0" fontId="31" fillId="6" borderId="0" xfId="0" applyFont="1" applyFill="1" applyAlignment="1">
      <alignment horizontal="center"/>
    </xf>
    <xf numFmtId="0" fontId="32" fillId="6" borderId="0" xfId="0" applyFont="1" applyFill="1" applyAlignment="1">
      <alignment horizontal="center"/>
    </xf>
    <xf numFmtId="167" fontId="17" fillId="3" borderId="31" xfId="0" applyNumberFormat="1" applyFont="1" applyFill="1" applyBorder="1" applyAlignment="1">
      <alignment horizontal="center" vertical="center" wrapText="1"/>
    </xf>
    <xf numFmtId="0" fontId="17" fillId="3" borderId="19" xfId="0" applyFont="1" applyFill="1" applyBorder="1" applyAlignment="1">
      <alignment horizontal="center" vertical="center" textRotation="90"/>
    </xf>
    <xf numFmtId="0" fontId="17" fillId="3" borderId="31" xfId="0" applyFont="1" applyFill="1" applyBorder="1" applyAlignment="1">
      <alignment horizontal="center" vertical="center" textRotation="90"/>
    </xf>
    <xf numFmtId="0" fontId="17" fillId="3" borderId="30" xfId="0" applyFont="1" applyFill="1" applyBorder="1" applyAlignment="1">
      <alignment horizontal="center" vertical="center" textRotation="90"/>
    </xf>
    <xf numFmtId="167" fontId="17" fillId="13" borderId="31" xfId="0" applyNumberFormat="1" applyFont="1" applyFill="1" applyBorder="1" applyAlignment="1">
      <alignment horizontal="center" vertical="center" wrapText="1"/>
    </xf>
    <xf numFmtId="0" fontId="17" fillId="3" borderId="8" xfId="0" applyFont="1" applyFill="1" applyBorder="1" applyAlignment="1">
      <alignment horizontal="center" vertical="center" textRotation="90"/>
    </xf>
    <xf numFmtId="0" fontId="17" fillId="3" borderId="10" xfId="0" applyFont="1" applyFill="1" applyBorder="1" applyAlignment="1">
      <alignment horizontal="center" vertical="center" textRotation="90"/>
    </xf>
    <xf numFmtId="0" fontId="17" fillId="3" borderId="9" xfId="0" applyFont="1" applyFill="1" applyBorder="1" applyAlignment="1">
      <alignment horizontal="center" vertical="center" textRotation="90"/>
    </xf>
    <xf numFmtId="9" fontId="17" fillId="3" borderId="10" xfId="6" applyFont="1" applyFill="1" applyBorder="1" applyAlignment="1">
      <alignment horizontal="center" vertical="center" wrapText="1"/>
    </xf>
    <xf numFmtId="169" fontId="17" fillId="3" borderId="31" xfId="1" applyFont="1" applyFill="1" applyBorder="1" applyAlignment="1">
      <alignment horizontal="center" vertical="center" wrapText="1"/>
    </xf>
    <xf numFmtId="9" fontId="17" fillId="3" borderId="19" xfId="6" applyFont="1" applyFill="1" applyBorder="1" applyAlignment="1">
      <alignment horizontal="center" vertical="center" wrapText="1"/>
    </xf>
    <xf numFmtId="9" fontId="17" fillId="3" borderId="31" xfId="6" applyFont="1" applyFill="1" applyBorder="1" applyAlignment="1">
      <alignment horizontal="center" vertical="center" wrapText="1"/>
    </xf>
    <xf numFmtId="0" fontId="19" fillId="4" borderId="32" xfId="0" applyFont="1" applyFill="1" applyBorder="1" applyAlignment="1">
      <alignment horizontal="center" vertical="center" wrapText="1"/>
    </xf>
    <xf numFmtId="0" fontId="19" fillId="4" borderId="20" xfId="0" applyFont="1" applyFill="1" applyBorder="1" applyAlignment="1">
      <alignment horizontal="center" vertical="center" wrapText="1"/>
    </xf>
    <xf numFmtId="0" fontId="19" fillId="4" borderId="33" xfId="0" applyFont="1" applyFill="1" applyBorder="1" applyAlignment="1">
      <alignment horizontal="center" vertical="center" wrapText="1"/>
    </xf>
    <xf numFmtId="167" fontId="17" fillId="4" borderId="32" xfId="0" applyNumberFormat="1" applyFont="1" applyFill="1" applyBorder="1" applyAlignment="1">
      <alignment horizontal="center" vertical="center" wrapText="1"/>
    </xf>
    <xf numFmtId="167" fontId="17" fillId="4" borderId="33" xfId="0" applyNumberFormat="1" applyFont="1" applyFill="1" applyBorder="1" applyAlignment="1">
      <alignment horizontal="center" vertical="center" wrapText="1"/>
    </xf>
    <xf numFmtId="0" fontId="17" fillId="4" borderId="32" xfId="0" applyFont="1" applyFill="1" applyBorder="1" applyAlignment="1">
      <alignment horizontal="center" vertical="center"/>
    </xf>
    <xf numFmtId="0" fontId="17" fillId="4" borderId="20" xfId="0" applyFont="1" applyFill="1" applyBorder="1" applyAlignment="1">
      <alignment horizontal="center" vertical="center"/>
    </xf>
    <xf numFmtId="0" fontId="7" fillId="6" borderId="0" xfId="0" applyFont="1" applyFill="1" applyAlignment="1">
      <alignment horizontal="center" vertical="center"/>
    </xf>
    <xf numFmtId="0" fontId="20" fillId="3" borderId="19" xfId="0" applyFont="1" applyFill="1" applyBorder="1" applyAlignment="1">
      <alignment horizontal="center" vertical="center" textRotation="90" wrapText="1"/>
    </xf>
    <xf numFmtId="0" fontId="0" fillId="0" borderId="31" xfId="0" applyBorder="1" applyAlignment="1">
      <alignment textRotation="90"/>
    </xf>
    <xf numFmtId="0" fontId="17" fillId="13" borderId="19" xfId="0" applyFont="1" applyFill="1" applyBorder="1" applyAlignment="1">
      <alignment horizontal="center" vertical="center" textRotation="90"/>
    </xf>
    <xf numFmtId="0" fontId="17" fillId="13" borderId="31" xfId="0" applyFont="1" applyFill="1" applyBorder="1" applyAlignment="1">
      <alignment horizontal="center" vertical="center" textRotation="90"/>
    </xf>
    <xf numFmtId="0" fontId="17" fillId="13" borderId="30" xfId="0" applyFont="1" applyFill="1" applyBorder="1" applyAlignment="1">
      <alignment horizontal="center" vertical="center" textRotation="90"/>
    </xf>
    <xf numFmtId="0" fontId="17" fillId="3" borderId="31" xfId="0" applyFont="1" applyFill="1" applyBorder="1" applyAlignment="1">
      <alignment horizontal="center" vertical="center" wrapText="1"/>
    </xf>
    <xf numFmtId="0" fontId="17" fillId="3" borderId="30" xfId="0" applyFont="1" applyFill="1" applyBorder="1" applyAlignment="1">
      <alignment horizontal="center" vertical="center" wrapText="1"/>
    </xf>
    <xf numFmtId="0" fontId="20" fillId="3" borderId="5" xfId="0" quotePrefix="1" applyFont="1" applyFill="1" applyBorder="1" applyAlignment="1">
      <alignment horizontal="center" vertical="center" wrapText="1"/>
    </xf>
    <xf numFmtId="0" fontId="20" fillId="3" borderId="8" xfId="0" quotePrefix="1" applyFont="1" applyFill="1" applyBorder="1" applyAlignment="1">
      <alignment horizontal="center" vertical="center" wrapText="1"/>
    </xf>
    <xf numFmtId="0" fontId="17" fillId="3" borderId="19" xfId="0" applyFont="1" applyFill="1" applyBorder="1" applyAlignment="1">
      <alignment horizontal="center" vertical="center" wrapText="1"/>
    </xf>
    <xf numFmtId="167" fontId="17" fillId="13" borderId="19" xfId="0" applyNumberFormat="1" applyFont="1" applyFill="1" applyBorder="1" applyAlignment="1">
      <alignment horizontal="center" vertical="center" wrapText="1"/>
    </xf>
    <xf numFmtId="167" fontId="17" fillId="13" borderId="30" xfId="0" applyNumberFormat="1" applyFont="1" applyFill="1" applyBorder="1" applyAlignment="1">
      <alignment horizontal="center" vertical="center" wrapText="1"/>
    </xf>
    <xf numFmtId="9" fontId="17" fillId="8" borderId="19" xfId="6" applyFont="1" applyFill="1" applyBorder="1" applyAlignment="1">
      <alignment horizontal="center" vertical="center" wrapText="1"/>
    </xf>
    <xf numFmtId="9" fontId="17" fillId="8" borderId="31" xfId="6" applyFont="1" applyFill="1" applyBorder="1" applyAlignment="1">
      <alignment horizontal="center" vertical="center" wrapText="1"/>
    </xf>
    <xf numFmtId="0" fontId="17" fillId="3" borderId="31" xfId="0" quotePrefix="1" applyFont="1" applyFill="1" applyBorder="1" applyAlignment="1">
      <alignment horizontal="center" vertical="center" wrapText="1"/>
    </xf>
    <xf numFmtId="0" fontId="17" fillId="3" borderId="27" xfId="0" applyFont="1" applyFill="1" applyBorder="1" applyAlignment="1">
      <alignment horizontal="center" vertical="center" wrapText="1"/>
    </xf>
    <xf numFmtId="0" fontId="17" fillId="3" borderId="29" xfId="0" applyFont="1" applyFill="1" applyBorder="1" applyAlignment="1">
      <alignment horizontal="center" vertical="center" wrapText="1"/>
    </xf>
    <xf numFmtId="0" fontId="20" fillId="14" borderId="37" xfId="3" applyFont="1" applyFill="1" applyBorder="1" applyAlignment="1">
      <alignment horizontal="center" vertical="center" wrapText="1"/>
    </xf>
    <xf numFmtId="0" fontId="20" fillId="14" borderId="29" xfId="3" applyFont="1" applyFill="1" applyBorder="1" applyAlignment="1">
      <alignment horizontal="center" vertical="center" wrapText="1"/>
    </xf>
    <xf numFmtId="0" fontId="30" fillId="10" borderId="0" xfId="0" applyFont="1" applyFill="1" applyAlignment="1">
      <alignment horizontal="center" vertical="center" wrapText="1"/>
    </xf>
    <xf numFmtId="0" fontId="33" fillId="10" borderId="0" xfId="0" applyFont="1" applyFill="1" applyAlignment="1">
      <alignment horizontal="center" vertical="center" wrapText="1"/>
    </xf>
    <xf numFmtId="0" fontId="4" fillId="10" borderId="0" xfId="0" applyFont="1" applyFill="1" applyAlignment="1">
      <alignment horizontal="center" vertical="center" wrapText="1"/>
    </xf>
    <xf numFmtId="0" fontId="20" fillId="14" borderId="34" xfId="4" applyFont="1" applyFill="1" applyBorder="1" applyAlignment="1">
      <alignment horizontal="center" vertical="center" textRotation="90" wrapText="1"/>
    </xf>
    <xf numFmtId="0" fontId="20" fillId="14" borderId="35" xfId="4" applyFont="1" applyFill="1" applyBorder="1" applyAlignment="1">
      <alignment horizontal="center" vertical="center" textRotation="90" wrapText="1"/>
    </xf>
    <xf numFmtId="9" fontId="17" fillId="14" borderId="22" xfId="6" applyFont="1" applyFill="1" applyBorder="1" applyAlignment="1">
      <alignment horizontal="center" vertical="center" wrapText="1"/>
    </xf>
    <xf numFmtId="9" fontId="17" fillId="14" borderId="24" xfId="6" applyFont="1" applyFill="1" applyBorder="1" applyAlignment="1">
      <alignment horizontal="center" vertical="center" wrapText="1"/>
    </xf>
    <xf numFmtId="4" fontId="20" fillId="14" borderId="22" xfId="3" applyNumberFormat="1" applyFont="1" applyFill="1" applyBorder="1" applyAlignment="1">
      <alignment horizontal="center" vertical="center" wrapText="1"/>
    </xf>
    <xf numFmtId="4" fontId="20" fillId="14" borderId="24" xfId="3" applyNumberFormat="1" applyFont="1" applyFill="1" applyBorder="1" applyAlignment="1">
      <alignment horizontal="center" vertical="center" wrapText="1"/>
    </xf>
    <xf numFmtId="0" fontId="20" fillId="14" borderId="22" xfId="3" applyFont="1" applyFill="1" applyBorder="1" applyAlignment="1">
      <alignment horizontal="center" vertical="center" wrapText="1"/>
    </xf>
    <xf numFmtId="0" fontId="20" fillId="14" borderId="24" xfId="3" applyFont="1" applyFill="1" applyBorder="1" applyAlignment="1">
      <alignment horizontal="center" vertical="center" wrapText="1"/>
    </xf>
    <xf numFmtId="0" fontId="20" fillId="14" borderId="36" xfId="3" applyFont="1" applyFill="1" applyBorder="1" applyAlignment="1">
      <alignment horizontal="center" vertical="center" wrapText="1"/>
    </xf>
    <xf numFmtId="0" fontId="20" fillId="14" borderId="43" xfId="3" applyFont="1" applyFill="1" applyBorder="1" applyAlignment="1">
      <alignment horizontal="center" vertical="center" wrapText="1"/>
    </xf>
    <xf numFmtId="0" fontId="20" fillId="3" borderId="34" xfId="4" applyFont="1" applyFill="1" applyBorder="1" applyAlignment="1">
      <alignment horizontal="center" vertical="center" textRotation="90" wrapText="1"/>
    </xf>
    <xf numFmtId="0" fontId="20" fillId="3" borderId="35" xfId="4" applyFont="1" applyFill="1" applyBorder="1" applyAlignment="1">
      <alignment horizontal="center" vertical="center" textRotation="90" wrapText="1"/>
    </xf>
    <xf numFmtId="9" fontId="17" fillId="3" borderId="22" xfId="6" applyFont="1" applyFill="1" applyBorder="1" applyAlignment="1">
      <alignment horizontal="center" vertical="center" wrapText="1"/>
    </xf>
    <xf numFmtId="9" fontId="17" fillId="3" borderId="24" xfId="6" applyFont="1" applyFill="1" applyBorder="1" applyAlignment="1">
      <alignment horizontal="center" vertical="center" wrapText="1"/>
    </xf>
    <xf numFmtId="4" fontId="20" fillId="3" borderId="23" xfId="3" applyNumberFormat="1" applyFont="1" applyFill="1" applyBorder="1" applyAlignment="1">
      <alignment horizontal="center" vertical="center" wrapText="1"/>
    </xf>
    <xf numFmtId="4" fontId="20" fillId="3" borderId="24" xfId="3" applyNumberFormat="1" applyFont="1" applyFill="1" applyBorder="1" applyAlignment="1">
      <alignment horizontal="center" vertical="center" wrapText="1"/>
    </xf>
    <xf numFmtId="171" fontId="17" fillId="3" borderId="22" xfId="1" applyNumberFormat="1" applyFont="1" applyFill="1" applyBorder="1" applyAlignment="1">
      <alignment horizontal="center" vertical="center" textRotation="90"/>
    </xf>
    <xf numFmtId="171" fontId="17" fillId="3" borderId="24" xfId="1" applyNumberFormat="1" applyFont="1" applyFill="1" applyBorder="1" applyAlignment="1">
      <alignment horizontal="center" vertical="center" textRotation="90"/>
    </xf>
    <xf numFmtId="0" fontId="17" fillId="3" borderId="22" xfId="0" applyFont="1" applyFill="1" applyBorder="1" applyAlignment="1">
      <alignment horizontal="center" vertical="center" textRotation="90" wrapText="1"/>
    </xf>
    <xf numFmtId="0" fontId="17" fillId="3" borderId="24" xfId="0" applyFont="1" applyFill="1" applyBorder="1" applyAlignment="1">
      <alignment horizontal="center" vertical="center" textRotation="90" wrapText="1"/>
    </xf>
    <xf numFmtId="0" fontId="4" fillId="15" borderId="26" xfId="3" applyFont="1" applyFill="1" applyBorder="1" applyAlignment="1">
      <alignment horizontal="center" vertical="center" wrapText="1"/>
    </xf>
    <xf numFmtId="0" fontId="4" fillId="15" borderId="43" xfId="3" applyFont="1" applyFill="1" applyBorder="1" applyAlignment="1">
      <alignment horizontal="center" vertical="center" wrapText="1"/>
    </xf>
    <xf numFmtId="0" fontId="20" fillId="11" borderId="23" xfId="3" applyFont="1" applyFill="1" applyBorder="1" applyAlignment="1">
      <alignment horizontal="center" vertical="center" wrapText="1"/>
    </xf>
    <xf numFmtId="0" fontId="20" fillId="11" borderId="24" xfId="3" applyFont="1" applyFill="1" applyBorder="1" applyAlignment="1">
      <alignment horizontal="center" vertical="center" wrapText="1"/>
    </xf>
    <xf numFmtId="0" fontId="20" fillId="3" borderId="23" xfId="3" applyFont="1" applyFill="1" applyBorder="1" applyAlignment="1">
      <alignment horizontal="center" vertical="center" wrapText="1"/>
    </xf>
    <xf numFmtId="0" fontId="20" fillId="3" borderId="24" xfId="3" applyFont="1" applyFill="1" applyBorder="1" applyAlignment="1">
      <alignment horizontal="center" vertical="center" wrapText="1"/>
    </xf>
  </cellXfs>
  <cellStyles count="33">
    <cellStyle name="Millares" xfId="1" builtinId="3"/>
    <cellStyle name="Millares 12" xfId="30"/>
    <cellStyle name="Millares 16 8" xfId="21"/>
    <cellStyle name="Millares 2" xfId="11"/>
    <cellStyle name="Millares 2 2" xfId="14"/>
    <cellStyle name="Millares 3" xfId="13"/>
    <cellStyle name="Millares 4" xfId="28"/>
    <cellStyle name="Millares 43" xfId="24"/>
    <cellStyle name="Millares 5" xfId="22"/>
    <cellStyle name="Millares 66" xfId="23"/>
    <cellStyle name="Moneda" xfId="2" builtinId="4"/>
    <cellStyle name="Moneda 2" xfId="9"/>
    <cellStyle name="Normal" xfId="0" builtinId="0"/>
    <cellStyle name="Normal 10" xfId="20"/>
    <cellStyle name="Normal 11 45 9" xfId="27"/>
    <cellStyle name="Normal 12 2" xfId="26"/>
    <cellStyle name="Normal 2" xfId="7"/>
    <cellStyle name="Normal 2 2" xfId="3"/>
    <cellStyle name="Normal 3" xfId="4"/>
    <cellStyle name="Normal 4" xfId="8"/>
    <cellStyle name="Normal 4 3 2" xfId="16"/>
    <cellStyle name="Normal 5" xfId="10"/>
    <cellStyle name="Normal 68 2 2" xfId="31"/>
    <cellStyle name="Normal 73" xfId="18"/>
    <cellStyle name="Normal_Los 100 Grupos Tramos - 4 ABR 2005" xfId="5"/>
    <cellStyle name="Porcentaje" xfId="6" builtinId="5"/>
    <cellStyle name="Porcentaje 2" xfId="19"/>
    <cellStyle name="Porcentaje 3" xfId="15"/>
    <cellStyle name="Porcentaje 3 2 2" xfId="17"/>
    <cellStyle name="Porcentaje 8" xfId="25"/>
    <cellStyle name="Porcentaje 8 2" xfId="29"/>
    <cellStyle name="Porcentual 2" xfId="12"/>
    <cellStyle name="Porcentual 2 2" xfId="32"/>
  </cellStyles>
  <dxfs count="76"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58" name="Button 34" descr="No. Propuestas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xmlns="" id="{00000000-0008-0000-03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222250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21505" name="Button 1" hidden="1">
              <a:extLst>
                <a:ext uri="{63B3BB69-23CF-44E3-9099-C40C66FF867C}">
                  <a14:compatExt spid="_x0000_s21505"/>
                </a:ext>
                <a:ext uri="{FF2B5EF4-FFF2-40B4-BE49-F238E27FC236}">
                  <a16:creationId xmlns:a16="http://schemas.microsoft.com/office/drawing/2014/main" xmlns="" id="{00000000-0008-0000-0400-000001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222250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xmlns="" id="{00000000-0008-0000-05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222250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30721" name="Button 1" hidden="1">
              <a:extLst>
                <a:ext uri="{63B3BB69-23CF-44E3-9099-C40C66FF867C}">
                  <a14:compatExt spid="_x0000_s30721"/>
                </a:ext>
                <a:ext uri="{FF2B5EF4-FFF2-40B4-BE49-F238E27FC236}">
                  <a16:creationId xmlns:a16="http://schemas.microsoft.com/office/drawing/2014/main" xmlns="" id="{00000000-0008-0000-0600-000001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222250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32769" name="Button 1" hidden="1">
              <a:extLst>
                <a:ext uri="{63B3BB69-23CF-44E3-9099-C40C66FF867C}">
                  <a14:compatExt spid="_x0000_s32769"/>
                </a:ext>
                <a:ext uri="{FF2B5EF4-FFF2-40B4-BE49-F238E27FC236}">
                  <a16:creationId xmlns:a16="http://schemas.microsoft.com/office/drawing/2014/main" xmlns="" id="{00000000-0008-0000-0700-0000018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222250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34817" name="Button 1" hidden="1">
              <a:extLst>
                <a:ext uri="{63B3BB69-23CF-44E3-9099-C40C66FF867C}">
                  <a14:compatExt spid="_x0000_s34817"/>
                </a:ext>
                <a:ext uri="{FF2B5EF4-FFF2-40B4-BE49-F238E27FC236}">
                  <a16:creationId xmlns:a16="http://schemas.microsoft.com/office/drawing/2014/main" xmlns="" id="{00000000-0008-0000-0800-000001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222250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8202" name="Button 10" hidden="1">
              <a:extLst>
                <a:ext uri="{63B3BB69-23CF-44E3-9099-C40C66FF867C}">
                  <a14:compatExt spid="_x0000_s8202"/>
                </a:ext>
                <a:ext uri="{FF2B5EF4-FFF2-40B4-BE49-F238E27FC236}">
                  <a16:creationId xmlns:a16="http://schemas.microsoft.com/office/drawing/2014/main" xmlns="" id="{00000000-0008-0000-0900-00000A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Relationship Id="rId4" Type="http://schemas.openxmlformats.org/officeDocument/2006/relationships/ctrlProp" Target="../ctrlProps/ctrlProp5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Relationship Id="rId4" Type="http://schemas.openxmlformats.org/officeDocument/2006/relationships/ctrlProp" Target="../ctrlProps/ctrlProp6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B3:AF39"/>
  <sheetViews>
    <sheetView topLeftCell="B2" zoomScale="75" workbookViewId="0">
      <pane xSplit="3" ySplit="5" topLeftCell="M7" activePane="bottomRight" state="frozen"/>
      <selection activeCell="E34" sqref="E34"/>
      <selection pane="topRight" activeCell="E34" sqref="E34"/>
      <selection pane="bottomLeft" activeCell="E34" sqref="E34"/>
      <selection pane="bottomRight" activeCell="C35" sqref="C35:V38"/>
    </sheetView>
  </sheetViews>
  <sheetFormatPr baseColWidth="10" defaultRowHeight="12.5" x14ac:dyDescent="0.25"/>
  <cols>
    <col min="2" max="2" width="3.7265625" customWidth="1"/>
    <col min="3" max="3" width="6.81640625" customWidth="1"/>
    <col min="4" max="4" width="43" bestFit="1" customWidth="1"/>
    <col min="5" max="5" width="14.1796875" bestFit="1" customWidth="1"/>
    <col min="6" max="6" width="13.81640625" bestFit="1" customWidth="1"/>
    <col min="7" max="7" width="14.1796875" bestFit="1" customWidth="1"/>
    <col min="8" max="8" width="14" bestFit="1" customWidth="1"/>
    <col min="9" max="9" width="14.1796875" bestFit="1" customWidth="1"/>
    <col min="10" max="11" width="13.81640625" bestFit="1" customWidth="1"/>
    <col min="12" max="12" width="14.1796875" bestFit="1" customWidth="1"/>
    <col min="13" max="13" width="13.81640625" bestFit="1" customWidth="1"/>
    <col min="14" max="15" width="13.1796875" bestFit="1" customWidth="1"/>
    <col min="16" max="18" width="14.1796875" bestFit="1" customWidth="1"/>
    <col min="19" max="19" width="13.1796875" bestFit="1" customWidth="1"/>
  </cols>
  <sheetData>
    <row r="3" spans="2:32" ht="13" thickBot="1" x14ac:dyDescent="0.3"/>
    <row r="4" spans="2:32" ht="13" x14ac:dyDescent="0.3">
      <c r="B4" s="285" t="s">
        <v>5</v>
      </c>
      <c r="C4" s="286"/>
      <c r="D4" s="289" t="s">
        <v>6</v>
      </c>
      <c r="E4" s="291" t="s">
        <v>108</v>
      </c>
      <c r="F4" s="292"/>
      <c r="G4" s="292"/>
      <c r="H4" s="292"/>
      <c r="I4" s="292"/>
      <c r="J4" s="292"/>
      <c r="K4" s="292"/>
      <c r="L4" s="292"/>
      <c r="M4" s="292"/>
      <c r="N4" s="292"/>
      <c r="O4" s="293"/>
      <c r="P4" s="282" t="s">
        <v>112</v>
      </c>
      <c r="Q4" s="283"/>
      <c r="R4" s="283"/>
      <c r="S4" s="284"/>
      <c r="T4" s="282" t="s">
        <v>113</v>
      </c>
      <c r="U4" s="283"/>
      <c r="V4" s="283"/>
      <c r="W4" s="284"/>
    </row>
    <row r="5" spans="2:32" ht="39.5" thickBot="1" x14ac:dyDescent="0.35">
      <c r="B5" s="287"/>
      <c r="C5" s="288"/>
      <c r="D5" s="290"/>
      <c r="E5" s="30" t="s">
        <v>97</v>
      </c>
      <c r="F5" s="31" t="s">
        <v>98</v>
      </c>
      <c r="G5" s="31" t="s">
        <v>99</v>
      </c>
      <c r="H5" s="31" t="s">
        <v>100</v>
      </c>
      <c r="I5" s="31" t="s">
        <v>101</v>
      </c>
      <c r="J5" s="31" t="s">
        <v>102</v>
      </c>
      <c r="K5" s="31" t="s">
        <v>103</v>
      </c>
      <c r="L5" s="31" t="s">
        <v>104</v>
      </c>
      <c r="M5" s="31" t="s">
        <v>105</v>
      </c>
      <c r="N5" s="31" t="s">
        <v>106</v>
      </c>
      <c r="O5" s="32" t="s">
        <v>107</v>
      </c>
      <c r="P5" s="33" t="s">
        <v>109</v>
      </c>
      <c r="Q5" s="34" t="s">
        <v>103</v>
      </c>
      <c r="R5" s="34" t="s">
        <v>110</v>
      </c>
      <c r="S5" s="35" t="s">
        <v>111</v>
      </c>
      <c r="T5" s="33" t="s">
        <v>109</v>
      </c>
      <c r="U5" s="34" t="s">
        <v>103</v>
      </c>
      <c r="V5" s="34" t="s">
        <v>110</v>
      </c>
      <c r="W5" s="35" t="s">
        <v>111</v>
      </c>
      <c r="X5" s="21"/>
      <c r="Y5" s="21"/>
      <c r="Z5" s="21"/>
      <c r="AA5" s="21"/>
      <c r="AB5" s="21"/>
      <c r="AC5" s="21"/>
      <c r="AD5" s="21"/>
      <c r="AE5" s="21"/>
      <c r="AF5" s="21"/>
    </row>
    <row r="6" spans="2:32" ht="13.5" thickBot="1" x14ac:dyDescent="0.35">
      <c r="B6" s="10"/>
      <c r="C6" s="10"/>
      <c r="D6" s="11"/>
      <c r="L6" s="58"/>
      <c r="T6" s="22"/>
      <c r="U6" s="22"/>
      <c r="V6" s="22"/>
      <c r="W6" s="22"/>
    </row>
    <row r="7" spans="2:32" ht="14" x14ac:dyDescent="0.3">
      <c r="B7" s="294">
        <v>1</v>
      </c>
      <c r="C7" s="46"/>
      <c r="D7" s="65" t="s">
        <v>123</v>
      </c>
      <c r="E7" s="48"/>
      <c r="F7" s="48"/>
      <c r="G7" s="48"/>
      <c r="H7" s="49"/>
      <c r="I7" s="48"/>
      <c r="J7" s="48"/>
      <c r="K7" s="49"/>
      <c r="L7" s="48"/>
      <c r="M7" s="49"/>
      <c r="N7" s="62"/>
      <c r="O7" s="62"/>
      <c r="P7" s="62"/>
      <c r="Q7" s="62"/>
      <c r="R7" s="62"/>
      <c r="S7" s="62"/>
      <c r="T7" s="50"/>
      <c r="U7" s="50"/>
      <c r="V7" s="50"/>
      <c r="W7" s="51"/>
    </row>
    <row r="8" spans="2:32" ht="14" x14ac:dyDescent="0.25">
      <c r="B8" s="295"/>
      <c r="C8" s="63">
        <v>1.1000000000000001</v>
      </c>
      <c r="D8" s="57" t="s">
        <v>124</v>
      </c>
      <c r="E8" s="47">
        <v>661279000</v>
      </c>
      <c r="F8" s="47">
        <v>586850000</v>
      </c>
      <c r="G8" s="47"/>
      <c r="H8" s="37">
        <f>SUM(E8:G8)</f>
        <v>1248129000</v>
      </c>
      <c r="I8" s="47">
        <v>133995725</v>
      </c>
      <c r="J8" s="47">
        <v>243009275</v>
      </c>
      <c r="K8" s="37">
        <f>SUM(I8:J8)</f>
        <v>377005000</v>
      </c>
      <c r="L8" s="47">
        <f>+H8-K8</f>
        <v>871124000</v>
      </c>
      <c r="M8" s="37">
        <f>+K8+L8</f>
        <v>1248129000</v>
      </c>
      <c r="N8" s="47">
        <v>89170000</v>
      </c>
      <c r="O8" s="47">
        <v>65583000</v>
      </c>
      <c r="P8" s="47">
        <v>1248129000</v>
      </c>
      <c r="Q8" s="47">
        <v>353418000</v>
      </c>
      <c r="R8" s="47">
        <v>894711000</v>
      </c>
      <c r="S8" s="47">
        <v>93656000</v>
      </c>
      <c r="T8" s="23">
        <f>(H8-P8)/P8</f>
        <v>0</v>
      </c>
      <c r="U8" s="23">
        <f>+(K8-Q8)/Q8</f>
        <v>6.673966804180885E-2</v>
      </c>
      <c r="V8" s="23">
        <f>(L8-R8)/R8</f>
        <v>-2.6362702593351373E-2</v>
      </c>
      <c r="W8" s="52">
        <f>(O8-S8)/S8</f>
        <v>-0.29974587853421031</v>
      </c>
    </row>
    <row r="9" spans="2:32" ht="14" x14ac:dyDescent="0.25">
      <c r="B9" s="295"/>
      <c r="C9" s="63">
        <v>1.2</v>
      </c>
      <c r="D9" s="57" t="s">
        <v>125</v>
      </c>
      <c r="E9" s="47">
        <v>902790808</v>
      </c>
      <c r="F9" s="47">
        <v>22582416</v>
      </c>
      <c r="G9" s="47">
        <v>15532940</v>
      </c>
      <c r="H9" s="37">
        <f t="shared" ref="H9:H31" si="0">SUM(E9:G9)</f>
        <v>940906164</v>
      </c>
      <c r="I9" s="47">
        <v>69497421</v>
      </c>
      <c r="J9" s="47">
        <v>467428657</v>
      </c>
      <c r="K9" s="37">
        <f t="shared" ref="K9:K31" si="1">SUM(I9:J9)</f>
        <v>536926078</v>
      </c>
      <c r="L9" s="47">
        <v>403980086</v>
      </c>
      <c r="M9" s="37">
        <f t="shared" ref="M9:M31" si="2">+K9+L9</f>
        <v>940906164</v>
      </c>
      <c r="N9" s="47">
        <v>18766695</v>
      </c>
      <c r="O9" s="47">
        <v>20396695</v>
      </c>
      <c r="P9" s="47"/>
      <c r="Q9" s="47"/>
      <c r="R9" s="47"/>
      <c r="S9" s="47"/>
      <c r="T9" s="23" t="e">
        <f t="shared" ref="T9:T31" si="3">(H9-P9)/P9</f>
        <v>#DIV/0!</v>
      </c>
      <c r="U9" s="23" t="e">
        <f t="shared" ref="U9:U31" si="4">+(K9-Q9)/Q9</f>
        <v>#DIV/0!</v>
      </c>
      <c r="V9" s="23" t="e">
        <f t="shared" ref="V9:V31" si="5">(L9-R9)/R9</f>
        <v>#DIV/0!</v>
      </c>
      <c r="W9" s="52" t="e">
        <f t="shared" ref="W9:W31" si="6">(O9-S9)/S9</f>
        <v>#DIV/0!</v>
      </c>
    </row>
    <row r="10" spans="2:32" ht="14" x14ac:dyDescent="0.25">
      <c r="B10" s="295"/>
      <c r="C10" s="63">
        <v>1.3</v>
      </c>
      <c r="D10" s="57" t="s">
        <v>126</v>
      </c>
      <c r="E10" s="47">
        <v>300353422</v>
      </c>
      <c r="F10" s="47">
        <v>251940082</v>
      </c>
      <c r="G10" s="47">
        <v>69532472</v>
      </c>
      <c r="H10" s="37">
        <f t="shared" si="0"/>
        <v>621825976</v>
      </c>
      <c r="I10" s="47">
        <v>153716887</v>
      </c>
      <c r="J10" s="47">
        <v>54587444</v>
      </c>
      <c r="K10" s="37">
        <f t="shared" si="1"/>
        <v>208304331</v>
      </c>
      <c r="L10" s="47">
        <v>413521645</v>
      </c>
      <c r="M10" s="37">
        <f t="shared" si="2"/>
        <v>621825976</v>
      </c>
      <c r="N10" s="47">
        <v>16241438</v>
      </c>
      <c r="O10" s="47">
        <v>16221673</v>
      </c>
      <c r="P10" s="47">
        <v>611957000</v>
      </c>
      <c r="Q10" s="47">
        <v>208285000</v>
      </c>
      <c r="R10" s="47">
        <v>403672000</v>
      </c>
      <c r="S10" s="47">
        <v>17042000</v>
      </c>
      <c r="T10" s="23">
        <f t="shared" si="3"/>
        <v>1.6126910877725067E-2</v>
      </c>
      <c r="U10" s="23">
        <f t="shared" si="4"/>
        <v>9.2810331997023312E-5</v>
      </c>
      <c r="V10" s="23">
        <f t="shared" si="5"/>
        <v>2.4400119403872451E-2</v>
      </c>
      <c r="W10" s="52">
        <f t="shared" si="6"/>
        <v>-4.8135606149512969E-2</v>
      </c>
    </row>
    <row r="11" spans="2:32" ht="14" x14ac:dyDescent="0.25">
      <c r="B11" s="295"/>
      <c r="C11" s="63">
        <v>1.4</v>
      </c>
      <c r="D11" s="57" t="s">
        <v>127</v>
      </c>
      <c r="E11" s="47">
        <v>506655816</v>
      </c>
      <c r="F11" s="47">
        <v>152054516</v>
      </c>
      <c r="G11" s="47">
        <v>245059330</v>
      </c>
      <c r="H11" s="37">
        <f t="shared" si="0"/>
        <v>903769662</v>
      </c>
      <c r="I11" s="47">
        <v>137779007</v>
      </c>
      <c r="J11" s="47">
        <v>42562365</v>
      </c>
      <c r="K11" s="37">
        <f t="shared" si="1"/>
        <v>180341372</v>
      </c>
      <c r="L11" s="47">
        <v>723428291</v>
      </c>
      <c r="M11" s="37">
        <f t="shared" si="2"/>
        <v>903769663</v>
      </c>
      <c r="N11" s="47">
        <v>50395207</v>
      </c>
      <c r="O11" s="47">
        <v>42647207</v>
      </c>
      <c r="P11" s="47">
        <v>903769000</v>
      </c>
      <c r="Q11" s="47">
        <v>180341000</v>
      </c>
      <c r="R11" s="47">
        <v>723428000</v>
      </c>
      <c r="S11" s="47">
        <v>46988000</v>
      </c>
      <c r="T11" s="23">
        <f t="shared" si="3"/>
        <v>7.3248805834234188E-7</v>
      </c>
      <c r="U11" s="23">
        <f t="shared" si="4"/>
        <v>2.0627588845575881E-6</v>
      </c>
      <c r="V11" s="23">
        <f t="shared" si="5"/>
        <v>4.0225150256832744E-7</v>
      </c>
      <c r="W11" s="52">
        <f t="shared" si="6"/>
        <v>-9.2380884481144121E-2</v>
      </c>
    </row>
    <row r="12" spans="2:32" ht="14" x14ac:dyDescent="0.25">
      <c r="B12" s="295"/>
      <c r="C12" s="63">
        <v>1.5</v>
      </c>
      <c r="D12" s="57" t="s">
        <v>128</v>
      </c>
      <c r="E12" s="47">
        <v>378072865</v>
      </c>
      <c r="F12" s="47">
        <v>103601233</v>
      </c>
      <c r="G12" s="47">
        <v>955950</v>
      </c>
      <c r="H12" s="37">
        <f t="shared" si="0"/>
        <v>482630048</v>
      </c>
      <c r="I12" s="47">
        <v>36771662</v>
      </c>
      <c r="J12" s="47">
        <v>134085789</v>
      </c>
      <c r="K12" s="37">
        <f t="shared" si="1"/>
        <v>170857451</v>
      </c>
      <c r="L12" s="47">
        <v>311772597</v>
      </c>
      <c r="M12" s="37">
        <f t="shared" si="2"/>
        <v>482630048</v>
      </c>
      <c r="N12" s="47">
        <v>15703386</v>
      </c>
      <c r="O12" s="47">
        <v>7048986</v>
      </c>
      <c r="P12" s="47">
        <v>482631000</v>
      </c>
      <c r="Q12" s="47">
        <v>170858000</v>
      </c>
      <c r="R12" s="47">
        <v>311773000</v>
      </c>
      <c r="S12" s="47">
        <v>22479000</v>
      </c>
      <c r="T12" s="23">
        <f t="shared" si="3"/>
        <v>-1.9725214501347823E-6</v>
      </c>
      <c r="U12" s="23">
        <f t="shared" si="4"/>
        <v>-3.2131945826358732E-6</v>
      </c>
      <c r="V12" s="23">
        <f t="shared" si="5"/>
        <v>-1.2926071212067754E-6</v>
      </c>
      <c r="W12" s="52">
        <f t="shared" si="6"/>
        <v>-0.68641905778726808</v>
      </c>
    </row>
    <row r="13" spans="2:32" ht="14" x14ac:dyDescent="0.25">
      <c r="B13" s="295"/>
      <c r="C13" s="63">
        <v>1.6</v>
      </c>
      <c r="D13" s="57" t="s">
        <v>129</v>
      </c>
      <c r="E13" s="47">
        <v>69932426</v>
      </c>
      <c r="F13" s="47">
        <v>460250218</v>
      </c>
      <c r="G13" s="47">
        <v>107112095</v>
      </c>
      <c r="H13" s="37">
        <f t="shared" si="0"/>
        <v>637294739</v>
      </c>
      <c r="I13" s="47">
        <v>29489669</v>
      </c>
      <c r="J13" s="47">
        <v>80572256</v>
      </c>
      <c r="K13" s="37">
        <f t="shared" si="1"/>
        <v>110061925</v>
      </c>
      <c r="L13" s="47">
        <v>527232814</v>
      </c>
      <c r="M13" s="37">
        <f t="shared" si="2"/>
        <v>637294739</v>
      </c>
      <c r="N13" s="47">
        <v>8363847</v>
      </c>
      <c r="O13" s="47">
        <v>3783847</v>
      </c>
      <c r="P13" s="47">
        <v>637294000</v>
      </c>
      <c r="Q13" s="47">
        <v>110061000</v>
      </c>
      <c r="R13" s="47">
        <v>527233000</v>
      </c>
      <c r="S13" s="47">
        <v>11897000</v>
      </c>
      <c r="T13" s="23">
        <f t="shared" si="3"/>
        <v>1.1595903931309569E-6</v>
      </c>
      <c r="U13" s="23">
        <f t="shared" si="4"/>
        <v>8.4044302704863674E-6</v>
      </c>
      <c r="V13" s="23">
        <f t="shared" si="5"/>
        <v>-3.527852012298168E-7</v>
      </c>
      <c r="W13" s="52">
        <f t="shared" si="6"/>
        <v>-0.681949483062957</v>
      </c>
    </row>
    <row r="14" spans="2:32" ht="14" x14ac:dyDescent="0.3">
      <c r="B14" s="45">
        <v>2</v>
      </c>
      <c r="C14" s="63"/>
      <c r="D14" s="59" t="s">
        <v>130</v>
      </c>
      <c r="E14" s="47">
        <v>40069494079</v>
      </c>
      <c r="F14" s="47">
        <v>5482697057</v>
      </c>
      <c r="G14" s="47">
        <v>13667555753</v>
      </c>
      <c r="H14" s="37">
        <f t="shared" si="0"/>
        <v>59219746889</v>
      </c>
      <c r="I14" s="47">
        <v>21914617588</v>
      </c>
      <c r="J14" s="47">
        <v>7301680273</v>
      </c>
      <c r="K14" s="37">
        <f t="shared" si="1"/>
        <v>29216297861</v>
      </c>
      <c r="L14" s="47">
        <v>30003449028</v>
      </c>
      <c r="M14" s="37">
        <f t="shared" si="2"/>
        <v>59219746889</v>
      </c>
      <c r="N14" s="47">
        <v>6682012591</v>
      </c>
      <c r="O14" s="47">
        <v>6273203591</v>
      </c>
      <c r="P14" s="47">
        <v>42778874000</v>
      </c>
      <c r="Q14" s="47">
        <v>22139102000</v>
      </c>
      <c r="R14" s="47">
        <v>20639772000</v>
      </c>
      <c r="S14" s="47">
        <v>1168027000</v>
      </c>
      <c r="T14" s="23">
        <f t="shared" si="3"/>
        <v>0.3843222448772261</v>
      </c>
      <c r="U14" s="23">
        <f t="shared" si="4"/>
        <v>0.31966950877230704</v>
      </c>
      <c r="V14" s="23">
        <f t="shared" si="5"/>
        <v>0.453671534162296</v>
      </c>
      <c r="W14" s="52">
        <f t="shared" si="6"/>
        <v>4.3707693323870078</v>
      </c>
    </row>
    <row r="15" spans="2:32" ht="14" x14ac:dyDescent="0.3">
      <c r="B15" s="295">
        <v>3</v>
      </c>
      <c r="C15" s="63"/>
      <c r="D15" s="59" t="s">
        <v>131</v>
      </c>
      <c r="E15" s="47"/>
      <c r="F15" s="47"/>
      <c r="G15" s="47"/>
      <c r="H15" s="37"/>
      <c r="I15" s="47"/>
      <c r="J15" s="47"/>
      <c r="K15" s="37"/>
      <c r="L15" s="47"/>
      <c r="M15" s="37"/>
      <c r="N15" s="47"/>
      <c r="O15" s="47"/>
      <c r="P15" s="47"/>
      <c r="Q15" s="47"/>
      <c r="R15" s="47"/>
      <c r="S15" s="47"/>
      <c r="T15" s="23"/>
      <c r="U15" s="23"/>
      <c r="V15" s="23"/>
      <c r="W15" s="52"/>
    </row>
    <row r="16" spans="2:32" ht="14" x14ac:dyDescent="0.25">
      <c r="B16" s="295"/>
      <c r="C16" s="63">
        <v>3.1</v>
      </c>
      <c r="D16" s="57" t="s">
        <v>132</v>
      </c>
      <c r="E16" s="47">
        <v>1044688000</v>
      </c>
      <c r="F16" s="47">
        <v>114208000</v>
      </c>
      <c r="G16" s="47">
        <v>507125000</v>
      </c>
      <c r="H16" s="37">
        <f t="shared" si="0"/>
        <v>1666021000</v>
      </c>
      <c r="I16" s="47">
        <v>89341000</v>
      </c>
      <c r="J16" s="47">
        <v>920563000</v>
      </c>
      <c r="K16" s="37">
        <f t="shared" si="1"/>
        <v>1009904000</v>
      </c>
      <c r="L16" s="47">
        <v>656117000</v>
      </c>
      <c r="M16" s="37">
        <f t="shared" si="2"/>
        <v>1666021000</v>
      </c>
      <c r="N16" s="47">
        <v>82940000</v>
      </c>
      <c r="O16" s="47">
        <v>65192000</v>
      </c>
      <c r="P16" s="47">
        <v>1666021000</v>
      </c>
      <c r="Q16" s="47">
        <v>1009904000</v>
      </c>
      <c r="R16" s="47">
        <v>656117000</v>
      </c>
      <c r="S16" s="47">
        <v>82940000</v>
      </c>
      <c r="T16" s="23">
        <f t="shared" si="3"/>
        <v>0</v>
      </c>
      <c r="U16" s="23">
        <f t="shared" si="4"/>
        <v>0</v>
      </c>
      <c r="V16" s="23">
        <f t="shared" si="5"/>
        <v>0</v>
      </c>
      <c r="W16" s="52">
        <f t="shared" si="6"/>
        <v>-0.213986013986014</v>
      </c>
    </row>
    <row r="17" spans="2:23" ht="14" x14ac:dyDescent="0.25">
      <c r="B17" s="295"/>
      <c r="C17" s="63">
        <v>3.2</v>
      </c>
      <c r="D17" s="57" t="s">
        <v>133</v>
      </c>
      <c r="E17" s="47">
        <v>2210583412</v>
      </c>
      <c r="F17" s="47">
        <v>1796245413</v>
      </c>
      <c r="G17" s="47">
        <v>950172658</v>
      </c>
      <c r="H17" s="37">
        <f t="shared" si="0"/>
        <v>4957001483</v>
      </c>
      <c r="I17" s="47">
        <v>578205453</v>
      </c>
      <c r="J17" s="47">
        <v>2306752990</v>
      </c>
      <c r="K17" s="37">
        <f t="shared" si="1"/>
        <v>2884958443</v>
      </c>
      <c r="L17" s="47">
        <v>2072043050</v>
      </c>
      <c r="M17" s="37">
        <f t="shared" si="2"/>
        <v>4957001493</v>
      </c>
      <c r="N17" s="47">
        <v>126050800</v>
      </c>
      <c r="O17" s="47">
        <v>81933020</v>
      </c>
      <c r="P17" s="47">
        <v>4957002000</v>
      </c>
      <c r="Q17" s="47">
        <v>2884958000</v>
      </c>
      <c r="R17" s="47">
        <v>2072044000</v>
      </c>
      <c r="S17" s="47">
        <v>126051000</v>
      </c>
      <c r="T17" s="23">
        <f t="shared" si="3"/>
        <v>-1.042969117220449E-7</v>
      </c>
      <c r="U17" s="23">
        <f t="shared" si="4"/>
        <v>1.5355509508284004E-7</v>
      </c>
      <c r="V17" s="23">
        <f t="shared" si="5"/>
        <v>-4.5848447233746003E-7</v>
      </c>
      <c r="W17" s="52">
        <f t="shared" si="6"/>
        <v>-0.35000103132858923</v>
      </c>
    </row>
    <row r="18" spans="2:23" ht="14" x14ac:dyDescent="0.25">
      <c r="B18" s="295"/>
      <c r="C18" s="63">
        <v>3.3</v>
      </c>
      <c r="D18" s="57" t="s">
        <v>134</v>
      </c>
      <c r="E18" s="47">
        <v>1128389590</v>
      </c>
      <c r="F18" s="47">
        <v>497010730</v>
      </c>
      <c r="G18" s="47">
        <v>450516529</v>
      </c>
      <c r="H18" s="37">
        <f t="shared" si="0"/>
        <v>2075916849</v>
      </c>
      <c r="I18" s="47">
        <v>843827380</v>
      </c>
      <c r="J18" s="47">
        <v>171544974</v>
      </c>
      <c r="K18" s="37">
        <f t="shared" si="1"/>
        <v>1015372354</v>
      </c>
      <c r="L18" s="47">
        <v>1060544495</v>
      </c>
      <c r="M18" s="37">
        <f t="shared" si="2"/>
        <v>2075916849</v>
      </c>
      <c r="N18" s="47">
        <v>150152888</v>
      </c>
      <c r="O18" s="47">
        <v>84818888</v>
      </c>
      <c r="P18" s="47">
        <v>2075917000</v>
      </c>
      <c r="Q18" s="47">
        <v>1014364000</v>
      </c>
      <c r="R18" s="47">
        <v>1061553000</v>
      </c>
      <c r="S18" s="47">
        <v>186669000</v>
      </c>
      <c r="T18" s="23">
        <f t="shared" si="3"/>
        <v>-7.2738938984554782E-8</v>
      </c>
      <c r="U18" s="23">
        <f t="shared" si="4"/>
        <v>9.9407510518906435E-4</v>
      </c>
      <c r="V18" s="23">
        <f t="shared" si="5"/>
        <v>-9.5002793077689012E-4</v>
      </c>
      <c r="W18" s="52">
        <f t="shared" si="6"/>
        <v>-0.54561877976525297</v>
      </c>
    </row>
    <row r="19" spans="2:23" ht="14" x14ac:dyDescent="0.25">
      <c r="B19" s="295"/>
      <c r="C19" s="63">
        <v>3.4</v>
      </c>
      <c r="D19" s="57" t="s">
        <v>135</v>
      </c>
      <c r="E19" s="47"/>
      <c r="F19" s="47"/>
      <c r="G19" s="47"/>
      <c r="H19" s="37">
        <f t="shared" si="0"/>
        <v>0</v>
      </c>
      <c r="I19" s="47"/>
      <c r="J19" s="47"/>
      <c r="K19" s="37">
        <f t="shared" si="1"/>
        <v>0</v>
      </c>
      <c r="L19" s="47"/>
      <c r="M19" s="37">
        <f t="shared" si="2"/>
        <v>0</v>
      </c>
      <c r="N19" s="47"/>
      <c r="O19" s="47"/>
      <c r="P19" s="47"/>
      <c r="Q19" s="47"/>
      <c r="R19" s="47"/>
      <c r="S19" s="47"/>
      <c r="T19" s="23" t="e">
        <f t="shared" si="3"/>
        <v>#DIV/0!</v>
      </c>
      <c r="U19" s="23" t="e">
        <f t="shared" si="4"/>
        <v>#DIV/0!</v>
      </c>
      <c r="V19" s="23" t="e">
        <f t="shared" si="5"/>
        <v>#DIV/0!</v>
      </c>
      <c r="W19" s="52" t="e">
        <f t="shared" si="6"/>
        <v>#DIV/0!</v>
      </c>
    </row>
    <row r="20" spans="2:23" ht="14" x14ac:dyDescent="0.25">
      <c r="B20" s="295"/>
      <c r="C20" s="63">
        <v>3.5</v>
      </c>
      <c r="D20" s="57" t="s">
        <v>136</v>
      </c>
      <c r="E20" s="47">
        <v>397516649</v>
      </c>
      <c r="F20" s="47">
        <v>44535519</v>
      </c>
      <c r="G20" s="47"/>
      <c r="H20" s="37">
        <f t="shared" si="0"/>
        <v>442052168</v>
      </c>
      <c r="I20" s="47">
        <v>205584360</v>
      </c>
      <c r="J20" s="47"/>
      <c r="K20" s="37">
        <f t="shared" si="1"/>
        <v>205584360</v>
      </c>
      <c r="L20" s="47">
        <v>236467808</v>
      </c>
      <c r="M20" s="37">
        <f t="shared" si="2"/>
        <v>442052168</v>
      </c>
      <c r="N20" s="47">
        <v>52120000</v>
      </c>
      <c r="O20" s="47">
        <v>52120000</v>
      </c>
      <c r="P20" s="47">
        <v>442053000</v>
      </c>
      <c r="Q20" s="47">
        <v>205584000</v>
      </c>
      <c r="R20" s="47">
        <f>P20-Q20</f>
        <v>236469000</v>
      </c>
      <c r="S20" s="47">
        <v>52120000</v>
      </c>
      <c r="T20" s="23">
        <f t="shared" si="3"/>
        <v>-1.8821272562339809E-6</v>
      </c>
      <c r="U20" s="23">
        <f t="shared" si="4"/>
        <v>1.7511090357226243E-6</v>
      </c>
      <c r="V20" s="23">
        <f t="shared" si="5"/>
        <v>-5.0408298762205619E-6</v>
      </c>
      <c r="W20" s="52">
        <f t="shared" si="6"/>
        <v>0</v>
      </c>
    </row>
    <row r="21" spans="2:23" ht="14" x14ac:dyDescent="0.25">
      <c r="B21" s="295"/>
      <c r="C21" s="63">
        <v>3.6</v>
      </c>
      <c r="D21" s="57" t="s">
        <v>137</v>
      </c>
      <c r="E21" s="47">
        <v>230187357</v>
      </c>
      <c r="F21" s="47">
        <v>487735892</v>
      </c>
      <c r="G21" s="47">
        <v>9625046</v>
      </c>
      <c r="H21" s="37">
        <f t="shared" si="0"/>
        <v>727548295</v>
      </c>
      <c r="I21" s="47">
        <v>117145481</v>
      </c>
      <c r="J21" s="47">
        <v>76862715</v>
      </c>
      <c r="K21" s="37">
        <f t="shared" si="1"/>
        <v>194008196</v>
      </c>
      <c r="L21" s="47">
        <v>533540099</v>
      </c>
      <c r="M21" s="37">
        <f t="shared" si="2"/>
        <v>727548295</v>
      </c>
      <c r="N21" s="47"/>
      <c r="O21" s="47"/>
      <c r="P21" s="47">
        <v>727548000</v>
      </c>
      <c r="Q21" s="47">
        <v>194008000</v>
      </c>
      <c r="R21" s="47">
        <v>533540000</v>
      </c>
      <c r="S21" s="47"/>
      <c r="T21" s="23">
        <f t="shared" si="3"/>
        <v>4.0547152902626356E-7</v>
      </c>
      <c r="U21" s="23">
        <f t="shared" si="4"/>
        <v>1.0102676178301925E-6</v>
      </c>
      <c r="V21" s="23">
        <f t="shared" si="5"/>
        <v>1.855530981744574E-7</v>
      </c>
      <c r="W21" s="52" t="e">
        <f t="shared" si="6"/>
        <v>#DIV/0!</v>
      </c>
    </row>
    <row r="22" spans="2:23" ht="14" x14ac:dyDescent="0.3">
      <c r="B22" s="295">
        <v>4</v>
      </c>
      <c r="C22" s="63"/>
      <c r="D22" s="59" t="s">
        <v>138</v>
      </c>
      <c r="E22" s="47"/>
      <c r="F22" s="47"/>
      <c r="G22" s="47"/>
      <c r="H22" s="37"/>
      <c r="I22" s="47"/>
      <c r="J22" s="47"/>
      <c r="K22" s="37"/>
      <c r="L22" s="47"/>
      <c r="M22" s="37"/>
      <c r="N22" s="47"/>
      <c r="O22" s="47"/>
      <c r="P22" s="47"/>
      <c r="Q22" s="47"/>
      <c r="R22" s="47"/>
      <c r="S22" s="47"/>
      <c r="T22" s="23"/>
      <c r="U22" s="23"/>
      <c r="V22" s="23"/>
      <c r="W22" s="52"/>
    </row>
    <row r="23" spans="2:23" ht="14" x14ac:dyDescent="0.25">
      <c r="B23" s="295"/>
      <c r="C23" s="63">
        <v>4.0999999999999996</v>
      </c>
      <c r="D23" s="57" t="s">
        <v>139</v>
      </c>
      <c r="E23" s="47">
        <v>940500000</v>
      </c>
      <c r="F23" s="47">
        <v>220000000</v>
      </c>
      <c r="G23" s="47">
        <v>19500000</v>
      </c>
      <c r="H23" s="37">
        <f t="shared" si="0"/>
        <v>1180000000</v>
      </c>
      <c r="I23" s="47">
        <v>50000000</v>
      </c>
      <c r="J23" s="47">
        <v>50000000</v>
      </c>
      <c r="K23" s="37">
        <f t="shared" si="1"/>
        <v>100000000</v>
      </c>
      <c r="L23" s="47">
        <v>1080000000</v>
      </c>
      <c r="M23" s="37">
        <f t="shared" si="2"/>
        <v>1180000000</v>
      </c>
      <c r="N23" s="47">
        <v>38000000</v>
      </c>
      <c r="O23" s="47">
        <v>38000000</v>
      </c>
      <c r="P23" s="47">
        <v>1180000000</v>
      </c>
      <c r="Q23" s="47">
        <v>100000000</v>
      </c>
      <c r="R23" s="47">
        <v>1080000000</v>
      </c>
      <c r="S23" s="47">
        <v>35000000</v>
      </c>
      <c r="T23" s="23">
        <f t="shared" si="3"/>
        <v>0</v>
      </c>
      <c r="U23" s="23">
        <f t="shared" si="4"/>
        <v>0</v>
      </c>
      <c r="V23" s="23">
        <f t="shared" si="5"/>
        <v>0</v>
      </c>
      <c r="W23" s="52">
        <f t="shared" si="6"/>
        <v>8.5714285714285715E-2</v>
      </c>
    </row>
    <row r="24" spans="2:23" ht="14" x14ac:dyDescent="0.25">
      <c r="B24" s="295"/>
      <c r="C24" s="63">
        <v>4.2</v>
      </c>
      <c r="D24" s="57" t="s">
        <v>140</v>
      </c>
      <c r="E24" s="47">
        <v>1215892000</v>
      </c>
      <c r="F24" s="47">
        <v>443008000</v>
      </c>
      <c r="G24" s="47">
        <v>283790000</v>
      </c>
      <c r="H24" s="37">
        <f t="shared" si="0"/>
        <v>1942690000</v>
      </c>
      <c r="I24" s="47">
        <v>374625000</v>
      </c>
      <c r="J24" s="47">
        <v>55000000</v>
      </c>
      <c r="K24" s="37">
        <f t="shared" si="1"/>
        <v>429625000</v>
      </c>
      <c r="L24" s="47">
        <v>1513065000</v>
      </c>
      <c r="M24" s="37">
        <f t="shared" si="2"/>
        <v>1942690000</v>
      </c>
      <c r="N24" s="47">
        <v>47375000</v>
      </c>
      <c r="O24" s="47">
        <v>47375000</v>
      </c>
      <c r="P24" s="47">
        <v>1942690000</v>
      </c>
      <c r="Q24" s="47">
        <v>429625000</v>
      </c>
      <c r="R24" s="47">
        <v>1513065000</v>
      </c>
      <c r="S24" s="47">
        <v>47375000</v>
      </c>
      <c r="T24" s="23">
        <f t="shared" si="3"/>
        <v>0</v>
      </c>
      <c r="U24" s="23">
        <f t="shared" si="4"/>
        <v>0</v>
      </c>
      <c r="V24" s="23">
        <f t="shared" si="5"/>
        <v>0</v>
      </c>
      <c r="W24" s="52">
        <f t="shared" si="6"/>
        <v>0</v>
      </c>
    </row>
    <row r="25" spans="2:23" ht="14" x14ac:dyDescent="0.25">
      <c r="B25" s="295"/>
      <c r="C25" s="63">
        <v>4.3</v>
      </c>
      <c r="D25" s="57" t="s">
        <v>141</v>
      </c>
      <c r="E25" s="47">
        <v>2149248232</v>
      </c>
      <c r="F25" s="47">
        <v>390736722</v>
      </c>
      <c r="G25" s="47"/>
      <c r="H25" s="37">
        <f t="shared" si="0"/>
        <v>2539984954</v>
      </c>
      <c r="I25" s="47">
        <v>1922763807</v>
      </c>
      <c r="J25" s="47">
        <v>93405043</v>
      </c>
      <c r="K25" s="37">
        <f t="shared" si="1"/>
        <v>2016168850</v>
      </c>
      <c r="L25" s="47">
        <v>523816104</v>
      </c>
      <c r="M25" s="37">
        <f t="shared" si="2"/>
        <v>2539984954</v>
      </c>
      <c r="N25" s="47">
        <v>41060626</v>
      </c>
      <c r="O25" s="47">
        <v>54549620</v>
      </c>
      <c r="P25" s="47">
        <v>2539984000</v>
      </c>
      <c r="Q25" s="47">
        <v>2016168000</v>
      </c>
      <c r="R25" s="47">
        <v>523816000</v>
      </c>
      <c r="S25" s="47">
        <v>71993000</v>
      </c>
      <c r="T25" s="23">
        <f t="shared" si="3"/>
        <v>3.7559291712073775E-7</v>
      </c>
      <c r="U25" s="23">
        <f t="shared" si="4"/>
        <v>4.2159185147269473E-7</v>
      </c>
      <c r="V25" s="23">
        <f t="shared" si="5"/>
        <v>1.9854299983200209E-7</v>
      </c>
      <c r="W25" s="52">
        <f t="shared" si="6"/>
        <v>-0.24229272290361564</v>
      </c>
    </row>
    <row r="26" spans="2:23" ht="14" x14ac:dyDescent="0.25">
      <c r="B26" s="295"/>
      <c r="C26" s="63">
        <v>4.4000000000000004</v>
      </c>
      <c r="D26" s="57" t="s">
        <v>142</v>
      </c>
      <c r="E26" s="47">
        <v>1286602000</v>
      </c>
      <c r="F26" s="47">
        <v>529776000</v>
      </c>
      <c r="G26" s="47">
        <v>367025000</v>
      </c>
      <c r="H26" s="37">
        <f t="shared" si="0"/>
        <v>2183403000</v>
      </c>
      <c r="I26" s="47">
        <v>631956000</v>
      </c>
      <c r="J26" s="47">
        <v>6584000</v>
      </c>
      <c r="K26" s="37">
        <f t="shared" si="1"/>
        <v>638540000</v>
      </c>
      <c r="L26" s="47">
        <v>1544863000</v>
      </c>
      <c r="M26" s="37">
        <f t="shared" si="2"/>
        <v>2183403000</v>
      </c>
      <c r="N26" s="47"/>
      <c r="O26" s="47"/>
      <c r="P26" s="47">
        <v>2183403000</v>
      </c>
      <c r="Q26" s="47">
        <v>638540000</v>
      </c>
      <c r="R26" s="47">
        <f>P26-Q26</f>
        <v>1544863000</v>
      </c>
      <c r="S26" s="47"/>
      <c r="T26" s="23">
        <f t="shared" si="3"/>
        <v>0</v>
      </c>
      <c r="U26" s="23">
        <f t="shared" si="4"/>
        <v>0</v>
      </c>
      <c r="V26" s="23">
        <f t="shared" si="5"/>
        <v>0</v>
      </c>
      <c r="W26" s="52" t="e">
        <f t="shared" si="6"/>
        <v>#DIV/0!</v>
      </c>
    </row>
    <row r="27" spans="2:23" ht="14" x14ac:dyDescent="0.3">
      <c r="B27" s="295">
        <v>5</v>
      </c>
      <c r="C27" s="63"/>
      <c r="D27" s="59" t="s">
        <v>143</v>
      </c>
      <c r="E27" s="47"/>
      <c r="F27" s="47"/>
      <c r="G27" s="47"/>
      <c r="H27" s="37"/>
      <c r="I27" s="47"/>
      <c r="J27" s="47"/>
      <c r="K27" s="37"/>
      <c r="L27" s="47"/>
      <c r="M27" s="37"/>
      <c r="N27" s="47"/>
      <c r="O27" s="47"/>
      <c r="P27" s="47"/>
      <c r="Q27" s="47"/>
      <c r="R27" s="47"/>
      <c r="S27" s="47"/>
      <c r="T27" s="23"/>
      <c r="U27" s="23"/>
      <c r="V27" s="23"/>
      <c r="W27" s="52"/>
    </row>
    <row r="28" spans="2:23" ht="14" x14ac:dyDescent="0.25">
      <c r="B28" s="295"/>
      <c r="C28" s="63">
        <v>5.0999999999999996</v>
      </c>
      <c r="D28" s="57" t="s">
        <v>144</v>
      </c>
      <c r="E28" s="47">
        <v>3662005000</v>
      </c>
      <c r="F28" s="47">
        <v>457085000</v>
      </c>
      <c r="G28" s="47">
        <v>114779000</v>
      </c>
      <c r="H28" s="37">
        <f t="shared" si="0"/>
        <v>4233869000</v>
      </c>
      <c r="I28" s="47">
        <v>530721000</v>
      </c>
      <c r="J28" s="47">
        <v>160038000</v>
      </c>
      <c r="K28" s="37">
        <f t="shared" si="1"/>
        <v>690759000</v>
      </c>
      <c r="L28" s="47">
        <v>3543110000</v>
      </c>
      <c r="M28" s="37">
        <f t="shared" si="2"/>
        <v>4233869000</v>
      </c>
      <c r="N28" s="47">
        <v>457250000</v>
      </c>
      <c r="O28" s="47">
        <v>297212000</v>
      </c>
      <c r="P28" s="47">
        <v>4229443000</v>
      </c>
      <c r="Q28" s="47">
        <v>686333000</v>
      </c>
      <c r="R28" s="47">
        <v>3543110000</v>
      </c>
      <c r="S28" s="47">
        <v>457250000</v>
      </c>
      <c r="T28" s="23">
        <f t="shared" si="3"/>
        <v>1.0464734954460906E-3</v>
      </c>
      <c r="U28" s="23">
        <f t="shared" si="4"/>
        <v>6.4487646667142628E-3</v>
      </c>
      <c r="V28" s="23">
        <f t="shared" si="5"/>
        <v>0</v>
      </c>
      <c r="W28" s="52">
        <f t="shared" si="6"/>
        <v>-0.35000109349371239</v>
      </c>
    </row>
    <row r="29" spans="2:23" ht="14" x14ac:dyDescent="0.25">
      <c r="B29" s="295"/>
      <c r="C29" s="63">
        <v>5.2</v>
      </c>
      <c r="D29" s="57" t="s">
        <v>145</v>
      </c>
      <c r="E29" s="47">
        <v>1345051857</v>
      </c>
      <c r="F29" s="47">
        <v>622683311</v>
      </c>
      <c r="G29" s="47">
        <v>1888148909</v>
      </c>
      <c r="H29" s="37">
        <f t="shared" si="0"/>
        <v>3855884077</v>
      </c>
      <c r="I29" s="47">
        <v>235974264</v>
      </c>
      <c r="J29" s="47">
        <v>1059293810</v>
      </c>
      <c r="K29" s="37">
        <f t="shared" si="1"/>
        <v>1295268074</v>
      </c>
      <c r="L29" s="47">
        <v>2560616003</v>
      </c>
      <c r="M29" s="37">
        <f t="shared" si="2"/>
        <v>3855884077</v>
      </c>
      <c r="N29" s="47">
        <v>211804765</v>
      </c>
      <c r="O29" s="47">
        <v>128144765</v>
      </c>
      <c r="P29" s="47">
        <v>1968115000</v>
      </c>
      <c r="Q29" s="47">
        <v>1295268000</v>
      </c>
      <c r="R29" s="47">
        <v>672847000</v>
      </c>
      <c r="S29" s="47">
        <v>239030000</v>
      </c>
      <c r="T29" s="23">
        <f t="shared" si="3"/>
        <v>0.95917620515061364</v>
      </c>
      <c r="U29" s="23">
        <f t="shared" si="4"/>
        <v>5.7131033886423504E-8</v>
      </c>
      <c r="V29" s="23">
        <f t="shared" si="5"/>
        <v>2.8056437838022612</v>
      </c>
      <c r="W29" s="52">
        <f t="shared" si="6"/>
        <v>-0.46389672844412833</v>
      </c>
    </row>
    <row r="30" spans="2:23" ht="14" x14ac:dyDescent="0.25">
      <c r="B30" s="295"/>
      <c r="C30" s="63">
        <v>5.3</v>
      </c>
      <c r="D30" s="57" t="s">
        <v>146</v>
      </c>
      <c r="E30" s="47">
        <v>68481000</v>
      </c>
      <c r="F30" s="47">
        <v>248149000</v>
      </c>
      <c r="G30" s="47">
        <v>1829723000</v>
      </c>
      <c r="H30" s="37">
        <f t="shared" si="0"/>
        <v>2146353000</v>
      </c>
      <c r="I30" s="47">
        <v>20336000</v>
      </c>
      <c r="J30" s="47">
        <v>1030069000</v>
      </c>
      <c r="K30" s="37">
        <f t="shared" si="1"/>
        <v>1050405000</v>
      </c>
      <c r="L30" s="47">
        <v>1095948000</v>
      </c>
      <c r="M30" s="37">
        <f t="shared" si="2"/>
        <v>2146353000</v>
      </c>
      <c r="N30" s="47">
        <v>63435000</v>
      </c>
      <c r="O30" s="47">
        <v>51635000</v>
      </c>
      <c r="P30" s="47">
        <v>2146353000</v>
      </c>
      <c r="Q30" s="47">
        <v>1050405000</v>
      </c>
      <c r="R30" s="47">
        <v>1095948000</v>
      </c>
      <c r="S30" s="47">
        <v>63435000</v>
      </c>
      <c r="T30" s="23">
        <f t="shared" si="3"/>
        <v>0</v>
      </c>
      <c r="U30" s="23">
        <f t="shared" si="4"/>
        <v>0</v>
      </c>
      <c r="V30" s="23">
        <f t="shared" si="5"/>
        <v>0</v>
      </c>
      <c r="W30" s="52">
        <f t="shared" si="6"/>
        <v>-0.18601718294317018</v>
      </c>
    </row>
    <row r="31" spans="2:23" ht="14" x14ac:dyDescent="0.25">
      <c r="B31" s="295"/>
      <c r="C31" s="63">
        <v>5.4</v>
      </c>
      <c r="D31" s="57" t="s">
        <v>147</v>
      </c>
      <c r="E31" s="47">
        <v>9098479232</v>
      </c>
      <c r="F31" s="47">
        <v>531593591</v>
      </c>
      <c r="G31" s="47">
        <f>1377315265+27043045</f>
        <v>1404358310</v>
      </c>
      <c r="H31" s="37">
        <f t="shared" si="0"/>
        <v>11034431133</v>
      </c>
      <c r="I31" s="47">
        <v>1681476244</v>
      </c>
      <c r="J31" s="47">
        <v>4212950518</v>
      </c>
      <c r="K31" s="37">
        <f t="shared" si="1"/>
        <v>5894426762</v>
      </c>
      <c r="L31" s="47">
        <v>5140004372</v>
      </c>
      <c r="M31" s="37">
        <f t="shared" si="2"/>
        <v>11034431134</v>
      </c>
      <c r="N31" s="47">
        <v>101528025</v>
      </c>
      <c r="O31" s="47">
        <v>54379630</v>
      </c>
      <c r="P31" s="47">
        <v>11007389000</v>
      </c>
      <c r="Q31" s="47">
        <v>5894427000</v>
      </c>
      <c r="R31" s="47">
        <v>5112962000</v>
      </c>
      <c r="S31" s="47">
        <v>122857000</v>
      </c>
      <c r="T31" s="23">
        <f t="shared" si="3"/>
        <v>2.4567254777677068E-3</v>
      </c>
      <c r="U31" s="23">
        <f t="shared" si="4"/>
        <v>-4.0377122322492076E-8</v>
      </c>
      <c r="V31" s="23">
        <f t="shared" si="5"/>
        <v>5.2889835676463073E-3</v>
      </c>
      <c r="W31" s="52">
        <f t="shared" si="6"/>
        <v>-0.55737458997045342</v>
      </c>
    </row>
    <row r="32" spans="2:23" ht="14.5" thickBot="1" x14ac:dyDescent="0.3">
      <c r="B32" s="61"/>
      <c r="C32" s="64"/>
      <c r="D32" s="60"/>
      <c r="E32" s="53"/>
      <c r="F32" s="53"/>
      <c r="G32" s="53"/>
      <c r="H32" s="54"/>
      <c r="I32" s="53"/>
      <c r="J32" s="53"/>
      <c r="K32" s="54"/>
      <c r="L32" s="53"/>
      <c r="M32" s="54"/>
      <c r="N32" s="53"/>
      <c r="O32" s="53"/>
      <c r="P32" s="53"/>
      <c r="Q32" s="53"/>
      <c r="R32" s="53"/>
      <c r="S32" s="53"/>
      <c r="T32" s="55"/>
      <c r="U32" s="55"/>
      <c r="V32" s="55"/>
      <c r="W32" s="56"/>
    </row>
    <row r="33" spans="2:23" ht="13" thickBot="1" x14ac:dyDescent="0.3"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</row>
    <row r="34" spans="2:23" ht="13" x14ac:dyDescent="0.3">
      <c r="B34" s="9" t="s">
        <v>4</v>
      </c>
      <c r="C34" s="8"/>
      <c r="D34" s="1"/>
      <c r="E34" s="39"/>
      <c r="F34" s="40"/>
      <c r="G34" s="41"/>
      <c r="H34" s="40"/>
      <c r="I34" s="42"/>
      <c r="J34" s="42"/>
      <c r="K34" s="43"/>
      <c r="L34" s="40"/>
      <c r="M34" s="44"/>
      <c r="N34" s="40"/>
      <c r="O34" s="44"/>
      <c r="P34" s="40"/>
      <c r="Q34" s="44"/>
      <c r="R34" s="44"/>
      <c r="S34" s="44"/>
      <c r="T34" s="25"/>
      <c r="U34" s="25"/>
      <c r="V34" s="25"/>
      <c r="W34" s="26"/>
    </row>
    <row r="35" spans="2:23" x14ac:dyDescent="0.25">
      <c r="B35" s="2"/>
      <c r="C35" s="280" t="s">
        <v>148</v>
      </c>
      <c r="D35" s="281"/>
      <c r="E35" s="281"/>
      <c r="F35" s="281"/>
      <c r="G35" s="281"/>
      <c r="H35" s="281"/>
      <c r="I35" s="281"/>
      <c r="J35" s="281"/>
      <c r="K35" s="281"/>
      <c r="L35" s="281"/>
      <c r="M35" s="281"/>
      <c r="N35" s="281"/>
      <c r="O35" s="281"/>
      <c r="P35" s="281"/>
      <c r="Q35" s="281"/>
      <c r="R35" s="281"/>
      <c r="S35" s="281"/>
      <c r="T35" s="281"/>
      <c r="U35" s="281"/>
      <c r="V35" s="281"/>
      <c r="W35" s="29"/>
    </row>
    <row r="36" spans="2:23" x14ac:dyDescent="0.25">
      <c r="B36" s="2"/>
      <c r="C36" s="281"/>
      <c r="D36" s="281"/>
      <c r="E36" s="281"/>
      <c r="F36" s="281"/>
      <c r="G36" s="281"/>
      <c r="H36" s="281"/>
      <c r="I36" s="281"/>
      <c r="J36" s="281"/>
      <c r="K36" s="281"/>
      <c r="L36" s="281"/>
      <c r="M36" s="281"/>
      <c r="N36" s="281"/>
      <c r="O36" s="281"/>
      <c r="P36" s="281"/>
      <c r="Q36" s="281"/>
      <c r="R36" s="281"/>
      <c r="S36" s="281"/>
      <c r="T36" s="281"/>
      <c r="U36" s="281"/>
      <c r="V36" s="281"/>
      <c r="W36" s="29"/>
    </row>
    <row r="37" spans="2:23" x14ac:dyDescent="0.25">
      <c r="B37" s="2"/>
      <c r="C37" s="281"/>
      <c r="D37" s="281"/>
      <c r="E37" s="281"/>
      <c r="F37" s="281"/>
      <c r="G37" s="281"/>
      <c r="H37" s="281"/>
      <c r="I37" s="281"/>
      <c r="J37" s="281"/>
      <c r="K37" s="281"/>
      <c r="L37" s="281"/>
      <c r="M37" s="281"/>
      <c r="N37" s="281"/>
      <c r="O37" s="281"/>
      <c r="P37" s="281"/>
      <c r="Q37" s="281"/>
      <c r="R37" s="281"/>
      <c r="S37" s="281"/>
      <c r="T37" s="281"/>
      <c r="U37" s="281"/>
      <c r="V37" s="281"/>
      <c r="W37" s="29"/>
    </row>
    <row r="38" spans="2:23" x14ac:dyDescent="0.25">
      <c r="B38" s="2"/>
      <c r="C38" s="281"/>
      <c r="D38" s="281"/>
      <c r="E38" s="281"/>
      <c r="F38" s="281"/>
      <c r="G38" s="281"/>
      <c r="H38" s="281"/>
      <c r="I38" s="281"/>
      <c r="J38" s="281"/>
      <c r="K38" s="281"/>
      <c r="L38" s="281"/>
      <c r="M38" s="281"/>
      <c r="N38" s="281"/>
      <c r="O38" s="281"/>
      <c r="P38" s="281"/>
      <c r="Q38" s="281"/>
      <c r="R38" s="281"/>
      <c r="S38" s="281"/>
      <c r="T38" s="281"/>
      <c r="U38" s="281"/>
      <c r="V38" s="281"/>
      <c r="W38" s="29"/>
    </row>
    <row r="39" spans="2:23" ht="13" thickBot="1" x14ac:dyDescent="0.3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27"/>
      <c r="R39" s="27"/>
      <c r="S39" s="27"/>
      <c r="T39" s="27"/>
      <c r="U39" s="27"/>
      <c r="V39" s="27"/>
      <c r="W39" s="28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.75" right="0.75" top="1" bottom="1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75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rgb="FFFFC000"/>
  </sheetPr>
  <dimension ref="A1:M7"/>
  <sheetViews>
    <sheetView workbookViewId="0">
      <selection activeCell="C3" sqref="C3"/>
    </sheetView>
  </sheetViews>
  <sheetFormatPr baseColWidth="10" defaultColWidth="11.453125" defaultRowHeight="12.5" x14ac:dyDescent="0.25"/>
  <cols>
    <col min="1" max="1" width="11.453125" style="166"/>
    <col min="2" max="2" width="18.54296875" style="166" bestFit="1" customWidth="1"/>
    <col min="3" max="3" width="11.453125" style="166"/>
    <col min="4" max="4" width="18.1796875" style="166" customWidth="1"/>
    <col min="5" max="5" width="4.7265625" style="166" customWidth="1"/>
    <col min="6" max="6" width="12.81640625" style="166" bestFit="1" customWidth="1"/>
    <col min="7" max="7" width="4.7265625" style="160" customWidth="1"/>
    <col min="8" max="8" width="15.453125" style="160" customWidth="1"/>
    <col min="9" max="9" width="14.7265625" style="160" customWidth="1"/>
    <col min="10" max="10" width="4.7265625" style="160" customWidth="1"/>
    <col min="11" max="11" width="11.453125" style="160"/>
    <col min="12" max="12" width="12.81640625" style="170" bestFit="1" customWidth="1"/>
    <col min="13" max="13" width="13.81640625" style="170" bestFit="1" customWidth="1"/>
    <col min="14" max="16384" width="11.453125" style="160"/>
  </cols>
  <sheetData>
    <row r="1" spans="1:11" ht="41.25" customHeight="1" x14ac:dyDescent="0.25">
      <c r="A1" s="157" t="s">
        <v>165</v>
      </c>
      <c r="B1" s="157" t="s">
        <v>166</v>
      </c>
      <c r="C1" s="157" t="s">
        <v>0</v>
      </c>
      <c r="D1" s="157" t="s">
        <v>190</v>
      </c>
      <c r="E1" s="158"/>
      <c r="F1" s="159" t="s">
        <v>272</v>
      </c>
      <c r="H1" s="159" t="s">
        <v>251</v>
      </c>
      <c r="I1" s="159" t="s">
        <v>104</v>
      </c>
      <c r="K1" s="159" t="s">
        <v>252</v>
      </c>
    </row>
    <row r="2" spans="1:11" x14ac:dyDescent="0.25">
      <c r="A2" s="161">
        <v>1</v>
      </c>
      <c r="B2" s="162">
        <v>309996612</v>
      </c>
      <c r="C2" s="163">
        <v>7</v>
      </c>
      <c r="D2" s="162">
        <f>+B2*0.2</f>
        <v>61999322.400000006</v>
      </c>
      <c r="E2" s="164"/>
      <c r="F2" s="165">
        <v>908526</v>
      </c>
      <c r="H2" s="169">
        <f>+IF(OR(B2="",PlazoM1=""),"",B2/PlazoM1)</f>
        <v>44285230.285714284</v>
      </c>
      <c r="I2" s="169">
        <f>IF(OR(B2="",$K$2=""),"",B2*$K$2)</f>
        <v>30999661.200000003</v>
      </c>
      <c r="K2" s="171">
        <v>0.1</v>
      </c>
    </row>
    <row r="3" spans="1:11" x14ac:dyDescent="0.25">
      <c r="A3" s="161"/>
      <c r="B3" s="162">
        <f>B2/SALACTUAL</f>
        <v>341.20830003764337</v>
      </c>
      <c r="C3" s="163"/>
      <c r="D3" s="162"/>
      <c r="H3" s="169" t="str">
        <f>+IF(OR(B3="",PlazoM2=""),"",B3/PlazoM2)</f>
        <v/>
      </c>
      <c r="I3" s="169">
        <f t="shared" ref="I3:I5" si="0">IF(OR(B3="",$K$2=""),"",B3*$K$2)</f>
        <v>34.12083000376434</v>
      </c>
    </row>
    <row r="4" spans="1:11" x14ac:dyDescent="0.25">
      <c r="A4" s="161"/>
      <c r="B4" s="162"/>
      <c r="C4" s="163"/>
      <c r="D4" s="162"/>
      <c r="H4" s="169" t="str">
        <f>+IF(OR(B4="",PlazoM3=""),"",B4/PlazoM3)</f>
        <v/>
      </c>
      <c r="I4" s="169" t="str">
        <f t="shared" si="0"/>
        <v/>
      </c>
    </row>
    <row r="5" spans="1:11" x14ac:dyDescent="0.25">
      <c r="A5" s="161"/>
      <c r="B5" s="162"/>
      <c r="C5" s="163"/>
      <c r="D5" s="162"/>
      <c r="H5" s="169" t="str">
        <f>+IF(OR(B5="",PlazoM4=""),"",B5/PlazoM4)</f>
        <v/>
      </c>
      <c r="I5" s="169" t="str">
        <f t="shared" si="0"/>
        <v/>
      </c>
    </row>
    <row r="6" spans="1:11" x14ac:dyDescent="0.25">
      <c r="E6" s="167"/>
    </row>
    <row r="7" spans="1:11" x14ac:dyDescent="0.25">
      <c r="D7" s="168"/>
    </row>
  </sheetData>
  <sheetProtection selectLockedCells="1" selectUnlockedCells="1"/>
  <customSheetViews>
    <customSheetView guid="{7043DB3C-32B3-43B5-9ACE-4B1C78863594}" topLeftCell="A4">
      <selection activeCell="F24" sqref="F24"/>
      <pageMargins left="0.75" right="0.75" top="1" bottom="1" header="0" footer="0"/>
      <headerFooter alignWithMargins="0"/>
    </customSheetView>
  </customSheetViews>
  <phoneticPr fontId="24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4">
    <tabColor rgb="FFFFC000"/>
  </sheetPr>
  <dimension ref="B1:H16"/>
  <sheetViews>
    <sheetView workbookViewId="0">
      <selection activeCell="C5" sqref="C5"/>
    </sheetView>
  </sheetViews>
  <sheetFormatPr baseColWidth="10" defaultColWidth="11.453125" defaultRowHeight="12.5" x14ac:dyDescent="0.25"/>
  <cols>
    <col min="1" max="2" width="11.453125" style="116"/>
    <col min="3" max="3" width="15.26953125" style="116" bestFit="1" customWidth="1"/>
    <col min="4" max="6" width="11.453125" style="116"/>
    <col min="7" max="7" width="11.453125" style="116" customWidth="1"/>
    <col min="8" max="16384" width="11.453125" style="116"/>
  </cols>
  <sheetData>
    <row r="1" spans="2:8" ht="13" thickBot="1" x14ac:dyDescent="0.3"/>
    <row r="2" spans="2:8" ht="13.5" thickBot="1" x14ac:dyDescent="0.3">
      <c r="B2" s="296" t="s">
        <v>200</v>
      </c>
      <c r="C2" s="297"/>
      <c r="D2" s="298"/>
      <c r="F2" s="296" t="s">
        <v>208</v>
      </c>
      <c r="G2" s="297"/>
      <c r="H2" s="298"/>
    </row>
    <row r="3" spans="2:8" ht="13.5" thickBot="1" x14ac:dyDescent="0.3">
      <c r="B3" s="142" t="s">
        <v>204</v>
      </c>
      <c r="C3" s="144" t="s">
        <v>206</v>
      </c>
      <c r="D3" s="143" t="s">
        <v>205</v>
      </c>
      <c r="F3" s="142" t="s">
        <v>209</v>
      </c>
      <c r="G3" s="144" t="s">
        <v>210</v>
      </c>
      <c r="H3" s="143" t="s">
        <v>205</v>
      </c>
    </row>
    <row r="4" spans="2:8" x14ac:dyDescent="0.25">
      <c r="B4" s="134">
        <v>0</v>
      </c>
      <c r="C4" s="134">
        <v>3</v>
      </c>
      <c r="D4" s="134">
        <v>60</v>
      </c>
      <c r="F4" s="134">
        <v>1</v>
      </c>
      <c r="G4" s="134">
        <v>5</v>
      </c>
      <c r="H4" s="134">
        <v>20</v>
      </c>
    </row>
    <row r="5" spans="2:8" x14ac:dyDescent="0.25">
      <c r="B5" s="135">
        <v>3</v>
      </c>
      <c r="C5" s="135">
        <v>6</v>
      </c>
      <c r="D5" s="135">
        <v>80</v>
      </c>
      <c r="F5" s="135">
        <v>6</v>
      </c>
      <c r="G5" s="135">
        <v>10</v>
      </c>
      <c r="H5" s="135">
        <v>30</v>
      </c>
    </row>
    <row r="6" spans="2:8" ht="13" thickBot="1" x14ac:dyDescent="0.3">
      <c r="B6" s="135">
        <v>6</v>
      </c>
      <c r="C6" s="135">
        <v>10</v>
      </c>
      <c r="D6" s="135">
        <v>100</v>
      </c>
      <c r="F6" s="136">
        <v>11</v>
      </c>
      <c r="G6" s="137" t="s">
        <v>207</v>
      </c>
      <c r="H6" s="136">
        <v>40</v>
      </c>
    </row>
    <row r="7" spans="2:8" ht="13" thickBot="1" x14ac:dyDescent="0.3">
      <c r="B7" s="136">
        <v>10</v>
      </c>
      <c r="C7" s="137" t="s">
        <v>207</v>
      </c>
      <c r="D7" s="136">
        <v>120</v>
      </c>
      <c r="F7" s="145"/>
      <c r="G7" s="146"/>
      <c r="H7" s="145"/>
    </row>
    <row r="9" spans="2:8" ht="13" thickBot="1" x14ac:dyDescent="0.3"/>
    <row r="10" spans="2:8" ht="13.5" thickBot="1" x14ac:dyDescent="0.3">
      <c r="B10" s="296" t="s">
        <v>194</v>
      </c>
      <c r="C10" s="297"/>
      <c r="D10" s="298"/>
    </row>
    <row r="11" spans="2:8" ht="13.5" thickBot="1" x14ac:dyDescent="0.3">
      <c r="B11" s="142" t="s">
        <v>204</v>
      </c>
      <c r="C11" s="144" t="s">
        <v>206</v>
      </c>
      <c r="D11" s="143" t="s">
        <v>205</v>
      </c>
    </row>
    <row r="12" spans="2:8" x14ac:dyDescent="0.25">
      <c r="B12" s="134">
        <v>0</v>
      </c>
      <c r="C12" s="134">
        <v>0.5</v>
      </c>
      <c r="D12" s="134">
        <v>20</v>
      </c>
    </row>
    <row r="13" spans="2:8" x14ac:dyDescent="0.25">
      <c r="B13" s="135">
        <v>0.5</v>
      </c>
      <c r="C13" s="135">
        <v>0.75</v>
      </c>
      <c r="D13" s="135">
        <v>25</v>
      </c>
    </row>
    <row r="14" spans="2:8" x14ac:dyDescent="0.25">
      <c r="B14" s="135">
        <v>0.75</v>
      </c>
      <c r="C14" s="141">
        <v>1</v>
      </c>
      <c r="D14" s="135">
        <v>30</v>
      </c>
    </row>
    <row r="15" spans="2:8" x14ac:dyDescent="0.25">
      <c r="B15" s="140">
        <v>1</v>
      </c>
      <c r="C15" s="139">
        <v>1.5</v>
      </c>
      <c r="D15" s="138">
        <v>35</v>
      </c>
    </row>
    <row r="16" spans="2:8" ht="13" thickBot="1" x14ac:dyDescent="0.3">
      <c r="B16" s="136">
        <v>1.5</v>
      </c>
      <c r="C16" s="137" t="s">
        <v>207</v>
      </c>
      <c r="D16" s="136">
        <v>40</v>
      </c>
    </row>
  </sheetData>
  <sheetProtection selectLockedCells="1" selectUnlockedCells="1"/>
  <mergeCells count="3">
    <mergeCell ref="B2:D2"/>
    <mergeCell ref="B10:D10"/>
    <mergeCell ref="F2:H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3"/>
  <dimension ref="A1:AK27"/>
  <sheetViews>
    <sheetView topLeftCell="AC9" zoomScale="80" zoomScaleNormal="80" zoomScaleSheetLayoutView="100" workbookViewId="0">
      <selection activeCell="AN21" sqref="AN21"/>
    </sheetView>
  </sheetViews>
  <sheetFormatPr baseColWidth="10" defaultColWidth="11.453125" defaultRowHeight="18" customHeight="1" x14ac:dyDescent="0.25"/>
  <cols>
    <col min="1" max="1" width="19.81640625" style="102" customWidth="1"/>
    <col min="2" max="2" width="8.81640625" style="102" bestFit="1" customWidth="1"/>
    <col min="3" max="3" width="43.54296875" style="102" customWidth="1"/>
    <col min="4" max="4" width="17.453125" style="102" customWidth="1"/>
    <col min="5" max="5" width="25" style="102" customWidth="1"/>
    <col min="6" max="6" width="26.7265625" style="105" customWidth="1"/>
    <col min="7" max="7" width="25" style="105" bestFit="1" customWidth="1"/>
    <col min="8" max="9" width="23.1796875" style="105" customWidth="1"/>
    <col min="10" max="10" width="28.7265625" style="106" customWidth="1"/>
    <col min="11" max="11" width="28.26953125" style="106" customWidth="1"/>
    <col min="12" max="12" width="23" style="106" customWidth="1"/>
    <col min="13" max="13" width="20.81640625" style="106" customWidth="1"/>
    <col min="14" max="14" width="4.1796875" style="107" bestFit="1" customWidth="1"/>
    <col min="15" max="15" width="8" style="107" bestFit="1" customWidth="1"/>
    <col min="16" max="16" width="8" style="107" hidden="1" customWidth="1"/>
    <col min="17" max="17" width="19.54296875" style="107" hidden="1" customWidth="1"/>
    <col min="18" max="18" width="21.7265625" style="107" bestFit="1" customWidth="1"/>
    <col min="19" max="19" width="24.81640625" style="107" customWidth="1"/>
    <col min="20" max="20" width="21.54296875" style="107" customWidth="1"/>
    <col min="21" max="21" width="20.26953125" style="107" customWidth="1"/>
    <col min="22" max="22" width="14.54296875" style="107" customWidth="1"/>
    <col min="23" max="24" width="14.7265625" style="107" customWidth="1"/>
    <col min="25" max="25" width="17.54296875" style="107" customWidth="1"/>
    <col min="26" max="26" width="21.7265625" style="107" customWidth="1"/>
    <col min="27" max="27" width="20.453125" style="107" hidden="1" customWidth="1"/>
    <col min="28" max="29" width="14.7265625" style="107" customWidth="1"/>
    <col min="30" max="30" width="15.81640625" style="105" customWidth="1"/>
    <col min="31" max="31" width="15.54296875" style="102" hidden="1" customWidth="1"/>
    <col min="32" max="32" width="15.81640625" style="102" hidden="1" customWidth="1"/>
    <col min="33" max="33" width="18.453125" style="108" customWidth="1"/>
    <col min="34" max="34" width="14.54296875" style="102" customWidth="1"/>
    <col min="35" max="35" width="14.54296875" style="108" customWidth="1"/>
    <col min="36" max="36" width="14.54296875" style="102" customWidth="1"/>
    <col min="37" max="37" width="17.453125" style="102" customWidth="1"/>
    <col min="38" max="16384" width="11.453125" style="102"/>
  </cols>
  <sheetData>
    <row r="1" spans="1:37" ht="18" customHeight="1" x14ac:dyDescent="0.25"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</row>
    <row r="2" spans="1:37" s="103" customFormat="1" ht="23" x14ac:dyDescent="0.5">
      <c r="B2" s="302" t="s">
        <v>150</v>
      </c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2"/>
      <c r="AH2" s="302"/>
      <c r="AI2" s="302"/>
      <c r="AJ2" s="302"/>
      <c r="AK2" s="302"/>
    </row>
    <row r="3" spans="1:37" s="103" customFormat="1" x14ac:dyDescent="0.4">
      <c r="B3" s="301" t="s">
        <v>212</v>
      </c>
      <c r="C3" s="301"/>
      <c r="D3" s="301"/>
      <c r="E3" s="301"/>
      <c r="F3" s="301"/>
      <c r="G3" s="301"/>
      <c r="H3" s="301"/>
      <c r="I3" s="301"/>
      <c r="J3" s="301"/>
      <c r="K3" s="301"/>
      <c r="L3" s="301"/>
      <c r="M3" s="301"/>
      <c r="N3" s="301"/>
      <c r="O3" s="301"/>
      <c r="P3" s="301"/>
      <c r="Q3" s="301"/>
      <c r="R3" s="301"/>
      <c r="S3" s="301"/>
      <c r="T3" s="301"/>
      <c r="U3" s="301"/>
      <c r="V3" s="301"/>
      <c r="W3" s="301"/>
      <c r="X3" s="301"/>
      <c r="Y3" s="301"/>
      <c r="Z3" s="301"/>
      <c r="AA3" s="301"/>
      <c r="AB3" s="301"/>
      <c r="AC3" s="301"/>
      <c r="AD3" s="301"/>
      <c r="AE3" s="301"/>
      <c r="AF3" s="301"/>
      <c r="AG3" s="301"/>
      <c r="AH3" s="301"/>
      <c r="AI3" s="301"/>
      <c r="AJ3" s="301"/>
      <c r="AK3" s="301"/>
    </row>
    <row r="4" spans="1:37" ht="18" customHeight="1" x14ac:dyDescent="0.35">
      <c r="B4" s="300" t="s">
        <v>268</v>
      </c>
      <c r="C4" s="300"/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0"/>
      <c r="T4" s="300"/>
      <c r="U4" s="300"/>
      <c r="V4" s="300"/>
      <c r="W4" s="300"/>
      <c r="X4" s="300"/>
      <c r="Y4" s="300"/>
      <c r="Z4" s="300"/>
      <c r="AA4" s="300"/>
      <c r="AB4" s="300"/>
      <c r="AC4" s="300"/>
      <c r="AD4" s="300"/>
      <c r="AE4" s="300"/>
      <c r="AF4" s="300"/>
      <c r="AG4" s="300"/>
      <c r="AH4" s="300"/>
      <c r="AI4" s="300"/>
      <c r="AJ4" s="300"/>
      <c r="AK4" s="300"/>
    </row>
    <row r="5" spans="1:37" ht="18" customHeight="1" x14ac:dyDescent="0.25">
      <c r="B5" s="322" t="s">
        <v>149</v>
      </c>
      <c r="C5" s="322"/>
      <c r="D5" s="322"/>
      <c r="E5" s="322"/>
      <c r="F5" s="322"/>
      <c r="G5" s="322"/>
      <c r="H5" s="322"/>
      <c r="I5" s="322"/>
      <c r="J5" s="322"/>
      <c r="K5" s="322"/>
      <c r="L5" s="322"/>
      <c r="M5" s="322"/>
      <c r="N5" s="322"/>
      <c r="O5" s="322"/>
      <c r="P5" s="322"/>
      <c r="Q5" s="322"/>
      <c r="R5" s="322"/>
      <c r="S5" s="322"/>
      <c r="T5" s="322"/>
      <c r="U5" s="322"/>
      <c r="V5" s="322"/>
      <c r="W5" s="322"/>
      <c r="X5" s="322"/>
      <c r="Y5" s="322"/>
      <c r="Z5" s="322"/>
      <c r="AA5" s="322"/>
      <c r="AB5" s="322"/>
      <c r="AC5" s="322"/>
      <c r="AD5" s="322"/>
      <c r="AE5" s="322"/>
      <c r="AF5" s="322"/>
      <c r="AG5" s="322"/>
      <c r="AH5" s="322"/>
      <c r="AI5" s="322"/>
      <c r="AJ5" s="322"/>
      <c r="AK5" s="322"/>
    </row>
    <row r="6" spans="1:37" ht="18" customHeight="1" thickBot="1" x14ac:dyDescent="0.3">
      <c r="B6" s="115"/>
      <c r="C6" s="115"/>
      <c r="D6" s="115"/>
      <c r="E6" s="115"/>
      <c r="F6" s="115"/>
      <c r="G6" s="115"/>
      <c r="H6" s="115"/>
      <c r="I6" s="115"/>
      <c r="J6" s="115"/>
      <c r="K6" s="115"/>
      <c r="L6" s="115"/>
      <c r="M6" s="115"/>
      <c r="N6" s="115"/>
      <c r="O6" s="115"/>
      <c r="P6" s="115"/>
      <c r="Q6" s="115"/>
      <c r="R6" s="115"/>
      <c r="S6" s="115"/>
      <c r="T6" s="115"/>
      <c r="U6" s="115"/>
      <c r="V6" s="115"/>
      <c r="W6" s="115"/>
      <c r="X6" s="115"/>
      <c r="Y6" s="115"/>
      <c r="Z6" s="115"/>
      <c r="AA6" s="115"/>
      <c r="AB6" s="115"/>
      <c r="AC6" s="115"/>
      <c r="AD6" s="115"/>
      <c r="AE6" s="115"/>
      <c r="AF6" s="115"/>
      <c r="AG6" s="115"/>
      <c r="AH6" s="115"/>
      <c r="AI6" s="115"/>
      <c r="AJ6" s="115"/>
      <c r="AK6" s="115"/>
    </row>
    <row r="7" spans="1:37" ht="44.25" customHeight="1" thickBot="1" x14ac:dyDescent="0.3">
      <c r="B7" s="315" t="s">
        <v>152</v>
      </c>
      <c r="C7" s="316"/>
      <c r="D7" s="317"/>
      <c r="E7" s="320" t="s">
        <v>162</v>
      </c>
      <c r="F7" s="321"/>
      <c r="G7" s="321"/>
      <c r="H7" s="321"/>
      <c r="I7" s="321"/>
      <c r="J7" s="321"/>
      <c r="K7" s="91"/>
      <c r="L7" s="91"/>
      <c r="M7" s="91"/>
      <c r="N7" s="91"/>
      <c r="O7" s="91"/>
      <c r="P7" s="91"/>
      <c r="Q7" s="91"/>
      <c r="R7" s="92"/>
      <c r="S7" s="318" t="s">
        <v>237</v>
      </c>
      <c r="T7" s="319"/>
      <c r="U7" s="318" t="s">
        <v>239</v>
      </c>
      <c r="V7" s="319"/>
      <c r="W7" s="318" t="s">
        <v>164</v>
      </c>
      <c r="X7" s="319"/>
      <c r="Y7" s="318" t="s">
        <v>151</v>
      </c>
      <c r="Z7" s="319"/>
      <c r="AA7" s="93"/>
      <c r="AB7" s="318" t="s">
        <v>180</v>
      </c>
      <c r="AC7" s="319"/>
      <c r="AD7" s="94" t="s">
        <v>182</v>
      </c>
      <c r="AE7" s="338" t="s">
        <v>172</v>
      </c>
      <c r="AF7" s="339"/>
      <c r="AG7" s="318" t="s">
        <v>184</v>
      </c>
      <c r="AH7" s="319"/>
      <c r="AI7" s="318" t="s">
        <v>186</v>
      </c>
      <c r="AJ7" s="319"/>
      <c r="AK7" s="94" t="s">
        <v>183</v>
      </c>
    </row>
    <row r="8" spans="1:37" ht="56.25" customHeight="1" x14ac:dyDescent="0.25">
      <c r="B8" s="323" t="s">
        <v>158</v>
      </c>
      <c r="C8" s="311" t="s">
        <v>157</v>
      </c>
      <c r="D8" s="335" t="s">
        <v>168</v>
      </c>
      <c r="E8" s="313" t="s">
        <v>160</v>
      </c>
      <c r="F8" s="332" t="s">
        <v>155</v>
      </c>
      <c r="G8" s="332" t="s">
        <v>159</v>
      </c>
      <c r="H8" s="328" t="s">
        <v>156</v>
      </c>
      <c r="I8" s="312" t="s">
        <v>235</v>
      </c>
      <c r="J8" s="312" t="s">
        <v>236</v>
      </c>
      <c r="K8" s="312" t="s">
        <v>244</v>
      </c>
      <c r="L8" s="95"/>
      <c r="M8" s="95"/>
      <c r="N8" s="308" t="s">
        <v>163</v>
      </c>
      <c r="O8" s="304" t="s">
        <v>241</v>
      </c>
      <c r="P8" s="325" t="s">
        <v>169</v>
      </c>
      <c r="Q8" s="307" t="s">
        <v>170</v>
      </c>
      <c r="R8" s="303" t="s">
        <v>167</v>
      </c>
      <c r="S8" s="330" t="s">
        <v>246</v>
      </c>
      <c r="T8" s="331"/>
      <c r="U8" s="330" t="s">
        <v>248</v>
      </c>
      <c r="V8" s="331"/>
      <c r="W8" s="330" t="s">
        <v>269</v>
      </c>
      <c r="X8" s="331"/>
      <c r="Y8" s="330" t="s">
        <v>242</v>
      </c>
      <c r="Z8" s="331"/>
      <c r="AA8" s="333" t="s">
        <v>171</v>
      </c>
      <c r="AB8" s="330" t="s">
        <v>243</v>
      </c>
      <c r="AC8" s="331"/>
      <c r="AD8" s="328" t="s">
        <v>176</v>
      </c>
      <c r="AE8" s="85" t="s">
        <v>173</v>
      </c>
      <c r="AF8" s="86">
        <v>535600</v>
      </c>
      <c r="AG8" s="330" t="s">
        <v>249</v>
      </c>
      <c r="AH8" s="331"/>
      <c r="AI8" s="330" t="s">
        <v>250</v>
      </c>
      <c r="AJ8" s="331"/>
      <c r="AK8" s="328" t="s">
        <v>176</v>
      </c>
    </row>
    <row r="9" spans="1:37" ht="54" customHeight="1" thickBot="1" x14ac:dyDescent="0.3">
      <c r="B9" s="324"/>
      <c r="C9" s="311"/>
      <c r="D9" s="336"/>
      <c r="E9" s="314"/>
      <c r="F9" s="337"/>
      <c r="G9" s="328"/>
      <c r="H9" s="337"/>
      <c r="I9" s="312"/>
      <c r="J9" s="312"/>
      <c r="K9" s="312"/>
      <c r="L9" s="95" t="s">
        <v>178</v>
      </c>
      <c r="M9" s="95" t="s">
        <v>179</v>
      </c>
      <c r="N9" s="309"/>
      <c r="O9" s="305"/>
      <c r="P9" s="326"/>
      <c r="Q9" s="307"/>
      <c r="R9" s="303"/>
      <c r="S9" s="67" t="s">
        <v>238</v>
      </c>
      <c r="T9" s="154" t="s">
        <v>247</v>
      </c>
      <c r="U9" s="67" t="s">
        <v>240</v>
      </c>
      <c r="V9" s="154" t="str">
        <f>"10%*PO"</f>
        <v>10%*PO</v>
      </c>
      <c r="W9" s="67" t="s">
        <v>161</v>
      </c>
      <c r="X9" s="66">
        <v>1</v>
      </c>
      <c r="Y9" s="67" t="s">
        <v>188</v>
      </c>
      <c r="Z9" s="66">
        <v>0.7</v>
      </c>
      <c r="AA9" s="307"/>
      <c r="AB9" s="67" t="s">
        <v>181</v>
      </c>
      <c r="AC9" s="66">
        <v>1</v>
      </c>
      <c r="AD9" s="328"/>
      <c r="AE9" s="87" t="s">
        <v>174</v>
      </c>
      <c r="AF9" s="88">
        <v>566700</v>
      </c>
      <c r="AG9" s="97" t="s">
        <v>185</v>
      </c>
      <c r="AH9" s="156">
        <v>0</v>
      </c>
      <c r="AI9" s="97" t="s">
        <v>187</v>
      </c>
      <c r="AJ9" s="156">
        <v>0</v>
      </c>
      <c r="AK9" s="328"/>
    </row>
    <row r="10" spans="1:37" ht="44.25" customHeight="1" thickBot="1" x14ac:dyDescent="0.3">
      <c r="B10" s="324"/>
      <c r="C10" s="311"/>
      <c r="D10" s="336"/>
      <c r="E10" s="314"/>
      <c r="F10" s="337"/>
      <c r="G10" s="328"/>
      <c r="H10" s="337"/>
      <c r="I10" s="312"/>
      <c r="J10" s="312"/>
      <c r="K10" s="312"/>
      <c r="L10" s="95"/>
      <c r="M10" s="95"/>
      <c r="N10" s="310"/>
      <c r="O10" s="306"/>
      <c r="P10" s="327"/>
      <c r="Q10" s="307"/>
      <c r="R10" s="303"/>
      <c r="S10" s="68" t="s">
        <v>154</v>
      </c>
      <c r="T10" s="69" t="s">
        <v>153</v>
      </c>
      <c r="U10" s="68" t="s">
        <v>154</v>
      </c>
      <c r="V10" s="69" t="s">
        <v>153</v>
      </c>
      <c r="W10" s="68" t="s">
        <v>154</v>
      </c>
      <c r="X10" s="69" t="s">
        <v>153</v>
      </c>
      <c r="Y10" s="68" t="s">
        <v>154</v>
      </c>
      <c r="Z10" s="69" t="s">
        <v>153</v>
      </c>
      <c r="AA10" s="334"/>
      <c r="AB10" s="68" t="s">
        <v>154</v>
      </c>
      <c r="AC10" s="69" t="s">
        <v>153</v>
      </c>
      <c r="AD10" s="329"/>
      <c r="AE10" s="89" t="s">
        <v>175</v>
      </c>
      <c r="AF10" s="90">
        <v>30000</v>
      </c>
      <c r="AG10" s="98" t="s">
        <v>154</v>
      </c>
      <c r="AH10" s="96" t="s">
        <v>153</v>
      </c>
      <c r="AI10" s="98" t="s">
        <v>154</v>
      </c>
      <c r="AJ10" s="96" t="s">
        <v>153</v>
      </c>
      <c r="AK10" s="329"/>
    </row>
    <row r="11" spans="1:37" ht="18" customHeight="1" thickBot="1" x14ac:dyDescent="0.3">
      <c r="B11" s="109"/>
      <c r="C11" s="110"/>
      <c r="D11" s="110"/>
      <c r="E11" s="110"/>
      <c r="F11" s="110"/>
      <c r="G11" s="110"/>
      <c r="H11" s="110"/>
      <c r="I11" s="110"/>
      <c r="J11" s="110"/>
      <c r="K11" s="110"/>
      <c r="L11" s="110"/>
      <c r="M11" s="110"/>
      <c r="N11" s="110"/>
      <c r="O11" s="132"/>
      <c r="P11" s="110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1"/>
      <c r="AE11" s="112"/>
      <c r="AF11" s="113"/>
      <c r="AK11" s="114"/>
    </row>
    <row r="12" spans="1:37" ht="14" x14ac:dyDescent="0.3">
      <c r="B12" s="186">
        <v>1</v>
      </c>
      <c r="C12" s="230" t="s">
        <v>264</v>
      </c>
      <c r="D12" s="222">
        <v>1</v>
      </c>
      <c r="E12" s="223">
        <v>618474754</v>
      </c>
      <c r="F12" s="223">
        <v>631003070</v>
      </c>
      <c r="G12" s="223">
        <v>26178150</v>
      </c>
      <c r="H12" s="223">
        <v>73348064</v>
      </c>
      <c r="I12" s="223">
        <f>E12-G12</f>
        <v>592296604</v>
      </c>
      <c r="J12" s="223">
        <f>F12-H12</f>
        <v>557655006</v>
      </c>
      <c r="K12" s="223">
        <f>F12-H12</f>
        <v>557655006</v>
      </c>
      <c r="L12" s="223">
        <v>427102493</v>
      </c>
      <c r="M12" s="223">
        <v>1091800</v>
      </c>
      <c r="N12" s="71">
        <v>1</v>
      </c>
      <c r="O12" s="71">
        <f>IF(ISERROR(VLOOKUP(N12,POA!$A$2:$C$16,3,0)),"",VLOOKUP(N12,POA!$A$2:$C$16,3,0))</f>
        <v>7</v>
      </c>
      <c r="P12" s="84"/>
      <c r="Q12" s="71">
        <f>+SUM(Q13:Q25)</f>
        <v>0</v>
      </c>
      <c r="R12" s="72">
        <f>IF(ISERROR(VLOOKUP(N12,POA!$A$2:$C$16,2,0)),"",VLOOKUP(N12,POA!$A$2:$C$16,2,0))</f>
        <v>309996612</v>
      </c>
      <c r="S12" s="187">
        <f>E12-G12</f>
        <v>592296604</v>
      </c>
      <c r="T12" s="75" t="str">
        <f>IF(OR(S12=0,N12="",R12=""),"",IF(S12&gt;=(R12/O12),"HABIL","NO HABIL"))</f>
        <v>HABIL</v>
      </c>
      <c r="U12" s="74">
        <f>F12-H12</f>
        <v>557655006</v>
      </c>
      <c r="V12" s="75" t="str">
        <f>IF(OR(U12=0,N12="",R12=""),"",IF(U12&gt;=(10%*R12),"HABIL","NO HABIL"))</f>
        <v>HABIL</v>
      </c>
      <c r="W12" s="74">
        <f>IF(ISERROR(SUM(E12/G12)),0,SUM(E12/G12))</f>
        <v>23.625609678300414</v>
      </c>
      <c r="X12" s="75" t="str">
        <f>IF(OR(W12=0,N12="",R12=""),"",IF(W12&gt;=$X$9,"HABIL","NO HABIL"))</f>
        <v>HABIL</v>
      </c>
      <c r="Y12" s="155">
        <f>IF(ISERROR(SUM(H12/F12)),0,SUM(H12/F12))</f>
        <v>0.11624042336275797</v>
      </c>
      <c r="Z12" s="75" t="str">
        <f>IF(OR(Y12=0,N12="",R12=""),"",IF(Y12&lt;=$Z$9,"HABIL","NO HABIL"))</f>
        <v>HABIL</v>
      </c>
      <c r="AA12" s="71">
        <f>+SUM(AA13:AA25)</f>
        <v>0</v>
      </c>
      <c r="AB12" s="155">
        <f>IF(ISERROR(SUM(L12/M12)),0,SUM(L12/M12))</f>
        <v>391.19114581425168</v>
      </c>
      <c r="AC12" s="75" t="str">
        <f t="shared" ref="AC12:AC24" si="0">IF(OR(AB12=0,N12="",R12=""),"",IF(AB12&gt;=$AC$9,"HABIL","NO HABIL"))</f>
        <v>HABIL</v>
      </c>
      <c r="AD12" s="75" t="str">
        <f>IF(OR(T12="",V12="",X12="",Z12="",AC12=""),"",IF(T12="NO HABIL","HABIL",IF(V12="NO HABIL","HABIL",IF(X12="NO HABIL","NO HABIL",IF(Z12="NO HABIL","NO HABIL",IF(AC12="NO HABIL","NO HABIL",IF(AC12="NO HABIL","NO HABIL","HABIL")))))))</f>
        <v>HABIL</v>
      </c>
      <c r="AE12" s="188"/>
      <c r="AF12" s="189"/>
      <c r="AG12" s="155">
        <f>IF(ISERROR(SUM(L12/K12)),0,SUM(L12/K12))</f>
        <v>0.76589018013764587</v>
      </c>
      <c r="AH12" s="75" t="str">
        <f>IF(OR(AG12=0,N12="",R12=""),"",IF(AG12&gt;=$AH$9,"HABIL","NO HABIL"))</f>
        <v>HABIL</v>
      </c>
      <c r="AI12" s="155">
        <f>IF(ISERROR(SUM(L12/F12)),0,SUM(L12/F12))</f>
        <v>0.67686278134906697</v>
      </c>
      <c r="AJ12" s="75" t="str">
        <f t="shared" ref="AJ12:AJ24" si="1">IF(OR(AI12=0,N12="",R12=""),"",IF(AI12&gt;=$AJ$9,"HABIL","NO HABIL"))</f>
        <v>HABIL</v>
      </c>
      <c r="AK12" s="190" t="str">
        <f t="shared" ref="AK12:AK25" si="2">IF(OR(AH12="",AJ12=""),"",IF(AH12="NO HABIL","NO HABIL",IF(AJ12="NO HABIL","NO HABIL",IF(AJ12="NO HABIL","NO HABIL","HABIL"))))</f>
        <v>HABIL</v>
      </c>
    </row>
    <row r="13" spans="1:37" ht="14" x14ac:dyDescent="0.3">
      <c r="A13" s="104"/>
      <c r="B13" s="70">
        <v>2</v>
      </c>
      <c r="C13" s="231" t="s">
        <v>254</v>
      </c>
      <c r="D13" s="224">
        <v>1</v>
      </c>
      <c r="E13" s="225">
        <f>E14+E15</f>
        <v>944834313</v>
      </c>
      <c r="F13" s="225">
        <f t="shared" ref="F13:M13" si="3">F14+F15</f>
        <v>1432777513</v>
      </c>
      <c r="G13" s="225">
        <f t="shared" si="3"/>
        <v>14639000</v>
      </c>
      <c r="H13" s="225">
        <f t="shared" si="3"/>
        <v>233337061</v>
      </c>
      <c r="I13" s="225">
        <f>I14+I15</f>
        <v>930195313</v>
      </c>
      <c r="J13" s="225">
        <f t="shared" si="3"/>
        <v>1199440452</v>
      </c>
      <c r="K13" s="225">
        <f t="shared" si="3"/>
        <v>1199440452</v>
      </c>
      <c r="L13" s="225">
        <f t="shared" si="3"/>
        <v>133812117</v>
      </c>
      <c r="M13" s="225">
        <f t="shared" si="3"/>
        <v>15125000</v>
      </c>
      <c r="N13" s="133">
        <v>1</v>
      </c>
      <c r="O13" s="133">
        <f>IF(ISERROR(VLOOKUP(N13,POA!$A$2:$C$16,3,0)),"",VLOOKUP(N13,POA!$A$2:$C$16,3,0))</f>
        <v>7</v>
      </c>
      <c r="P13" s="183"/>
      <c r="Q13" s="183" t="str">
        <f>IF(ISERROR(VLOOKUP(P13,POA!$A$2:$F$16,4,0)),"",VLOOKUP(P13,POA!$A$2:$F$16,4,0))</f>
        <v/>
      </c>
      <c r="R13" s="180">
        <f>IF(ISERROR(VLOOKUP(N13,POA!$A$2:$C$16,2,0)),"",VLOOKUP(N13,POA!$A$2:$C$16,2,0))</f>
        <v>309996612</v>
      </c>
      <c r="S13" s="181">
        <f>E13-G13</f>
        <v>930195313</v>
      </c>
      <c r="T13" s="182" t="str">
        <f>IF(OR(S12=0,N13="",R13=""),"",IF(S12&gt;=(0.4*R13),"HABIL","NO HABIL"))</f>
        <v>HABIL</v>
      </c>
      <c r="U13" s="175">
        <f t="shared" ref="U13:U25" si="4">F13-H13</f>
        <v>1199440452</v>
      </c>
      <c r="V13" s="182" t="str">
        <f>IF(OR(U12=0,N13="",R13=""),"",IF(U12&gt;=(0.5*R13),"HABIL","NO HABIL"))</f>
        <v>HABIL</v>
      </c>
      <c r="W13" s="175">
        <f t="shared" ref="W13:W25" si="5">IF(ISERROR(SUM(E13/G13)),0,SUM(E13/G13))</f>
        <v>64.542271534940909</v>
      </c>
      <c r="X13" s="182" t="str">
        <f t="shared" ref="X13:X25" si="6">IF(OR(W13=0,N13="",R13=""),"",IF(W13&gt;=$X$9,"HABIL","NO HABIL"))</f>
        <v>HABIL</v>
      </c>
      <c r="Y13" s="174">
        <f t="shared" ref="Y13:Y24" si="7">IF(ISERROR(SUM(H13/F13)),0,SUM(H13/F13))</f>
        <v>0.16285645111182032</v>
      </c>
      <c r="Z13" s="182" t="str">
        <f>IF(OR(Y13=0,N13="",R13=""),"",IF(Y13&lt;=$Z$9,"HABIL","NO HABIL"))</f>
        <v>HABIL</v>
      </c>
      <c r="AA13" s="183" t="s">
        <v>245</v>
      </c>
      <c r="AB13" s="174">
        <f t="shared" ref="AB13:AB24" si="8">IF(ISERROR(SUM(L13/M13)),0,SUM(L13/M13))</f>
        <v>8.847082115702479</v>
      </c>
      <c r="AC13" s="182" t="str">
        <f t="shared" si="0"/>
        <v>HABIL</v>
      </c>
      <c r="AD13" s="182" t="str">
        <f t="shared" ref="AD13:AD24" si="9">IF(OR(T13="",V13="",X13="",Z13="",AC13=""),"",IF(T13="NO HABIL","NO HABIL",IF(V13="NO HABIL","NO HABIL",IF(X13="NO HABIL","NO HABIL",IF(Z13="NO HABIL","NO HABIL",IF(AC13="NO HABIL","NO HABIL",IF(AC13="NO HABIL","NO HABIL","HABIL")))))))</f>
        <v>HABIL</v>
      </c>
      <c r="AE13" s="184">
        <f t="shared" ref="AE13:AE27" si="10">IF(ISERROR(F13/$AF$9),"",F13/$AF$9)</f>
        <v>2528.2821828127758</v>
      </c>
      <c r="AF13" s="185" t="str">
        <f>+IF(AE13&lt;$AF$10,"MIPYME","NO CUMPLE")</f>
        <v>MIPYME</v>
      </c>
      <c r="AG13" s="174">
        <f t="shared" ref="AG13:AG25" si="11">IF(ISERROR(SUM(L13/K13)),0,SUM(L13/K13))</f>
        <v>0.11156211779990892</v>
      </c>
      <c r="AH13" s="182" t="str">
        <f>IF(OR(AG13=0,N13="",R13=""),"",IF(AG12&gt;=$AH$9,"HABIL","NO HABIL"))</f>
        <v>HABIL</v>
      </c>
      <c r="AI13" s="174">
        <f t="shared" ref="AI13:AI25" si="12">IF(ISERROR(SUM(L13/F13)),0,SUM(L13/F13))</f>
        <v>9.3393507216496918E-2</v>
      </c>
      <c r="AJ13" s="182" t="str">
        <f t="shared" si="1"/>
        <v>HABIL</v>
      </c>
      <c r="AK13" s="191" t="str">
        <f t="shared" si="2"/>
        <v>HABIL</v>
      </c>
    </row>
    <row r="14" spans="1:37" ht="14" x14ac:dyDescent="0.3">
      <c r="A14" s="104"/>
      <c r="B14" s="70">
        <v>2.1</v>
      </c>
      <c r="C14" s="232" t="s">
        <v>255</v>
      </c>
      <c r="D14" s="224">
        <v>0.5</v>
      </c>
      <c r="E14" s="225">
        <v>606619000</v>
      </c>
      <c r="F14" s="225">
        <v>997127000</v>
      </c>
      <c r="G14" s="225">
        <v>14639000</v>
      </c>
      <c r="H14" s="225">
        <v>233337061</v>
      </c>
      <c r="I14" s="225">
        <f>IF(ISERROR(E14-G14),"",E14-G14)</f>
        <v>591980000</v>
      </c>
      <c r="J14" s="225">
        <f>IF(ISERROR(F14-H14),"",F14-H14)</f>
        <v>763789939</v>
      </c>
      <c r="K14" s="225">
        <f t="shared" ref="K14" si="13">IF(ISERROR(F14-H14),"",F14-H14)</f>
        <v>763789939</v>
      </c>
      <c r="L14" s="225">
        <v>70913000</v>
      </c>
      <c r="M14" s="225">
        <v>15125000</v>
      </c>
      <c r="N14" s="133">
        <v>1</v>
      </c>
      <c r="O14" s="133">
        <f>IF(ISERROR(VLOOKUP(N14,POA!$A$2:$C$16,3,0)),"",VLOOKUP(N14,POA!$A$2:$C$16,3,0))</f>
        <v>7</v>
      </c>
      <c r="P14" s="183"/>
      <c r="Q14" s="183" t="str">
        <f>IF(ISERROR(VLOOKUP(P14,POA!$A$2:$F$16,4,0)),"",VLOOKUP(P14,POA!$A$2:$F$16,4,0))</f>
        <v/>
      </c>
      <c r="R14" s="180">
        <f>IF(ISERROR(VLOOKUP(N14,POA!$A$2:$C$16,2,0)),"",VLOOKUP(N14,POA!$A$2:$C$16,2,0))</f>
        <v>309996612</v>
      </c>
      <c r="S14" s="181">
        <f t="shared" ref="S14:S25" si="14">E14-G14</f>
        <v>591980000</v>
      </c>
      <c r="T14" s="182" t="str">
        <f>IF(OR(S12=0,N14="",R14=""),"",IF(S12&gt;=(0.4*R14),"HABIL","NO HABIL"))</f>
        <v>HABIL</v>
      </c>
      <c r="U14" s="175">
        <f t="shared" si="4"/>
        <v>763789939</v>
      </c>
      <c r="V14" s="182" t="str">
        <f>IF(OR(U12=0,N14="",R14=""),"",IF(U12&gt;=(0.5*R14),"HABIL","NO HABIL"))</f>
        <v>HABIL</v>
      </c>
      <c r="W14" s="175">
        <f t="shared" si="5"/>
        <v>41.438554546075551</v>
      </c>
      <c r="X14" s="182" t="str">
        <f t="shared" si="6"/>
        <v>HABIL</v>
      </c>
      <c r="Y14" s="174">
        <f t="shared" si="7"/>
        <v>0.23400936991977953</v>
      </c>
      <c r="Z14" s="182" t="str">
        <f>IF(OR(Y14=0,N14="",R14=""),"",IF(Y14&lt;=$Z$9,"HABIL","NO HABIL"))</f>
        <v>HABIL</v>
      </c>
      <c r="AA14" s="183" t="s">
        <v>245</v>
      </c>
      <c r="AB14" s="174">
        <f t="shared" si="8"/>
        <v>4.6884628099173558</v>
      </c>
      <c r="AC14" s="182" t="str">
        <f t="shared" si="0"/>
        <v>HABIL</v>
      </c>
      <c r="AD14" s="182" t="str">
        <f t="shared" si="9"/>
        <v>HABIL</v>
      </c>
      <c r="AE14" s="184">
        <f t="shared" si="10"/>
        <v>1759.5323804482089</v>
      </c>
      <c r="AF14" s="185" t="str">
        <f t="shared" ref="AF14:AF27" si="15">+IF(AE14&lt;$AF$10,"MIPYME","NO CUMPLE")</f>
        <v>MIPYME</v>
      </c>
      <c r="AG14" s="174">
        <f t="shared" si="11"/>
        <v>9.2843590075097862E-2</v>
      </c>
      <c r="AH14" s="182" t="str">
        <f t="shared" ref="AH14:AH24" si="16">IF(OR(AG14=0,N14="",R14=""),"",IF(AG14&gt;=$AH$9,"HABIL","NO HABIL"))</f>
        <v>HABIL</v>
      </c>
      <c r="AI14" s="174">
        <f t="shared" si="12"/>
        <v>7.1117320060533909E-2</v>
      </c>
      <c r="AJ14" s="182" t="str">
        <f t="shared" si="1"/>
        <v>HABIL</v>
      </c>
      <c r="AK14" s="191" t="str">
        <f t="shared" si="2"/>
        <v>HABIL</v>
      </c>
    </row>
    <row r="15" spans="1:37" ht="14" x14ac:dyDescent="0.3">
      <c r="A15" s="104"/>
      <c r="B15" s="178">
        <v>2.2000000000000002</v>
      </c>
      <c r="C15" s="232" t="s">
        <v>256</v>
      </c>
      <c r="D15" s="224">
        <v>0.5</v>
      </c>
      <c r="E15" s="225">
        <v>338215313</v>
      </c>
      <c r="F15" s="225">
        <v>435650513</v>
      </c>
      <c r="G15" s="225">
        <v>0</v>
      </c>
      <c r="H15" s="225">
        <v>0</v>
      </c>
      <c r="I15" s="225">
        <f t="shared" ref="I15:J25" si="17">IF(ISERROR(E15-G15),"",E15-G15)</f>
        <v>338215313</v>
      </c>
      <c r="J15" s="225">
        <f t="shared" si="17"/>
        <v>435650513</v>
      </c>
      <c r="K15" s="225">
        <f t="shared" ref="K15:K25" si="18">IF(ISERROR(F15-H15),"",F15-H15)</f>
        <v>435650513</v>
      </c>
      <c r="L15" s="225">
        <v>62899117</v>
      </c>
      <c r="M15" s="225">
        <v>0</v>
      </c>
      <c r="N15" s="133">
        <v>1</v>
      </c>
      <c r="O15" s="133">
        <f>IF(ISERROR(VLOOKUP(N15,POA!$A$2:$C$16,3,0)),"",VLOOKUP(N15,POA!$A$2:$C$16,3,0))</f>
        <v>7</v>
      </c>
      <c r="P15" s="183"/>
      <c r="Q15" s="183" t="str">
        <f>IF(ISERROR(VLOOKUP(P15,POA!$A$2:$F$16,4,0)),"",VLOOKUP(P15,POA!$A$2:$F$16,4,0))</f>
        <v/>
      </c>
      <c r="R15" s="180">
        <f>IF(ISERROR(VLOOKUP(N15,POA!$A$2:$C$16,2,0)),"",VLOOKUP(N15,POA!$A$2:$C$16,2,0))</f>
        <v>309996612</v>
      </c>
      <c r="S15" s="181">
        <f t="shared" si="14"/>
        <v>338215313</v>
      </c>
      <c r="T15" s="182" t="str">
        <f>IF(OR(S12=0,N15="",R15=""),"",IF(S12&gt;=(0.4*R15),"HABIL","NO HABIL"))</f>
        <v>HABIL</v>
      </c>
      <c r="U15" s="175">
        <f t="shared" si="4"/>
        <v>435650513</v>
      </c>
      <c r="V15" s="182" t="str">
        <f>IF(OR(U12=0,N15="",R15=""),"",IF(U12&gt;=(0.5*R15),"HABIL","NO HABIL"))</f>
        <v>HABIL</v>
      </c>
      <c r="W15" s="175" t="s">
        <v>253</v>
      </c>
      <c r="X15" s="182" t="str">
        <f t="shared" si="6"/>
        <v>HABIL</v>
      </c>
      <c r="Y15" s="174">
        <v>0</v>
      </c>
      <c r="Z15" s="182" t="s">
        <v>270</v>
      </c>
      <c r="AA15" s="183">
        <v>0</v>
      </c>
      <c r="AB15" s="174" t="s">
        <v>253</v>
      </c>
      <c r="AC15" s="182" t="str">
        <f t="shared" si="0"/>
        <v>HABIL</v>
      </c>
      <c r="AD15" s="182" t="str">
        <f t="shared" si="9"/>
        <v>HABIL</v>
      </c>
      <c r="AE15" s="184">
        <f t="shared" si="10"/>
        <v>768.74980236456679</v>
      </c>
      <c r="AF15" s="185" t="str">
        <f t="shared" si="15"/>
        <v>MIPYME</v>
      </c>
      <c r="AG15" s="174">
        <f t="shared" si="11"/>
        <v>0.1443797611228797</v>
      </c>
      <c r="AH15" s="182" t="str">
        <f t="shared" si="16"/>
        <v>HABIL</v>
      </c>
      <c r="AI15" s="174">
        <f t="shared" si="12"/>
        <v>0.1443797611228797</v>
      </c>
      <c r="AJ15" s="182" t="str">
        <f t="shared" si="1"/>
        <v>HABIL</v>
      </c>
      <c r="AK15" s="191" t="str">
        <f t="shared" si="2"/>
        <v>HABIL</v>
      </c>
    </row>
    <row r="16" spans="1:37" ht="14" x14ac:dyDescent="0.3">
      <c r="A16" s="104"/>
      <c r="B16" s="178">
        <v>3</v>
      </c>
      <c r="C16" s="232" t="s">
        <v>257</v>
      </c>
      <c r="D16" s="224">
        <v>1</v>
      </c>
      <c r="E16" s="225">
        <v>832543489</v>
      </c>
      <c r="F16" s="225">
        <v>1234481778</v>
      </c>
      <c r="G16" s="225">
        <v>19490386</v>
      </c>
      <c r="H16" s="225">
        <v>19490386</v>
      </c>
      <c r="I16" s="225">
        <f t="shared" si="17"/>
        <v>813053103</v>
      </c>
      <c r="J16" s="225">
        <f t="shared" si="17"/>
        <v>1214991392</v>
      </c>
      <c r="K16" s="225">
        <f t="shared" si="18"/>
        <v>1214991392</v>
      </c>
      <c r="L16" s="225">
        <v>82614395</v>
      </c>
      <c r="M16" s="225">
        <v>45722</v>
      </c>
      <c r="N16" s="133">
        <v>1</v>
      </c>
      <c r="O16" s="133">
        <f>IF(ISERROR(VLOOKUP(N16,POA!$A$2:$C$16,3,0)),"",VLOOKUP(N16,POA!$A$2:$C$16,3,0))</f>
        <v>7</v>
      </c>
      <c r="P16" s="183"/>
      <c r="Q16" s="183"/>
      <c r="R16" s="180">
        <f>IF(ISERROR(VLOOKUP(N16,POA!$A$2:$C$16,2,0)),"",VLOOKUP(N16,POA!$A$2:$C$16,2,0))</f>
        <v>309996612</v>
      </c>
      <c r="S16" s="181">
        <f t="shared" si="14"/>
        <v>813053103</v>
      </c>
      <c r="T16" s="182" t="str">
        <f t="shared" ref="T16:T24" si="19">IF(OR(S13=0,N16="",R16=""),"",IF(S13&gt;=(0.4*R16),"HABIL","NO HABIL"))</f>
        <v>HABIL</v>
      </c>
      <c r="U16" s="175">
        <f t="shared" si="4"/>
        <v>1214991392</v>
      </c>
      <c r="V16" s="182" t="str">
        <f t="shared" ref="V16:V24" si="20">IF(OR(U13=0,N16="",R16=""),"",IF(U13&gt;=(0.5*R16),"HABIL","NO HABIL"))</f>
        <v>HABIL</v>
      </c>
      <c r="W16" s="175">
        <f t="shared" si="5"/>
        <v>42.715597782414363</v>
      </c>
      <c r="X16" s="182" t="str">
        <f t="shared" si="6"/>
        <v>HABIL</v>
      </c>
      <c r="Y16" s="174">
        <f t="shared" si="7"/>
        <v>1.5788314049946229E-2</v>
      </c>
      <c r="Z16" s="182" t="str">
        <f t="shared" ref="Z16:Z24" si="21">IF(OR(Y16=0,N16="",R16=""),"",IF(Y16&lt;=$Z$9,"HABIL","NO HABIL"))</f>
        <v>HABIL</v>
      </c>
      <c r="AA16" s="183"/>
      <c r="AB16" s="174">
        <f t="shared" si="8"/>
        <v>1806.8849787848301</v>
      </c>
      <c r="AC16" s="182" t="str">
        <f t="shared" si="0"/>
        <v>HABIL</v>
      </c>
      <c r="AD16" s="182" t="str">
        <f t="shared" si="9"/>
        <v>HABIL</v>
      </c>
      <c r="AE16" s="184"/>
      <c r="AF16" s="185"/>
      <c r="AG16" s="174">
        <f t="shared" si="11"/>
        <v>6.7995868566614506E-2</v>
      </c>
      <c r="AH16" s="182" t="str">
        <f t="shared" si="16"/>
        <v>HABIL</v>
      </c>
      <c r="AI16" s="174">
        <f t="shared" ref="AI16" si="22">IF(ISERROR(SUM(L16/F16)),0,SUM(L16/F16))</f>
        <v>6.6922328439585926E-2</v>
      </c>
      <c r="AJ16" s="182" t="str">
        <f t="shared" si="1"/>
        <v>HABIL</v>
      </c>
      <c r="AK16" s="191" t="str">
        <f t="shared" si="2"/>
        <v>HABIL</v>
      </c>
    </row>
    <row r="17" spans="1:37" ht="18" customHeight="1" x14ac:dyDescent="0.3">
      <c r="A17" s="104"/>
      <c r="B17" s="70">
        <v>4</v>
      </c>
      <c r="C17" s="232" t="s">
        <v>265</v>
      </c>
      <c r="D17" s="224">
        <f>D18+D19</f>
        <v>1</v>
      </c>
      <c r="E17" s="225">
        <f>E18+E19</f>
        <v>449014561</v>
      </c>
      <c r="F17" s="225">
        <f t="shared" ref="F17:H17" si="23">F18+F19</f>
        <v>2004464561</v>
      </c>
      <c r="G17" s="225">
        <f t="shared" si="23"/>
        <v>12530748</v>
      </c>
      <c r="H17" s="225">
        <f t="shared" si="23"/>
        <v>101250586</v>
      </c>
      <c r="I17" s="225">
        <f>+I18+I19</f>
        <v>436483813</v>
      </c>
      <c r="J17" s="225">
        <f>+J18+J19</f>
        <v>1903213975</v>
      </c>
      <c r="K17" s="225">
        <f>+K18+K19</f>
        <v>1903213975</v>
      </c>
      <c r="L17" s="225">
        <f>L18+L19</f>
        <v>187538392</v>
      </c>
      <c r="M17" s="225">
        <f>M18+M19</f>
        <v>9476307</v>
      </c>
      <c r="N17" s="133">
        <v>1</v>
      </c>
      <c r="O17" s="133">
        <f>IF(ISERROR(VLOOKUP(N17,POA!$A$2:$C$16,3,0)),"",VLOOKUP(N17,POA!$A$2:$C$16,3,0))</f>
        <v>7</v>
      </c>
      <c r="P17" s="183"/>
      <c r="Q17" s="183" t="str">
        <f>IF(ISERROR(VLOOKUP(P17,POA!$A$2:$F$16,4,0)),"",VLOOKUP(P17,POA!$A$2:$F$16,4,0))</f>
        <v/>
      </c>
      <c r="R17" s="180">
        <f>IF(ISERROR(VLOOKUP(N17,POA!$A$2:$C$16,2,0)),"",VLOOKUP(N17,POA!$A$2:$C$16,2,0))</f>
        <v>309996612</v>
      </c>
      <c r="S17" s="181">
        <f t="shared" si="14"/>
        <v>436483813</v>
      </c>
      <c r="T17" s="182" t="str">
        <f t="shared" si="19"/>
        <v>HABIL</v>
      </c>
      <c r="U17" s="175">
        <f t="shared" si="4"/>
        <v>1903213975</v>
      </c>
      <c r="V17" s="182" t="str">
        <f t="shared" si="20"/>
        <v>HABIL</v>
      </c>
      <c r="W17" s="175">
        <f t="shared" si="5"/>
        <v>35.83302138068693</v>
      </c>
      <c r="X17" s="182" t="str">
        <f>IF(OR(W17=0,N17="",R17=""),"",IF(W17&gt;=$X$9,"HABIL","NO HABIL"))</f>
        <v>HABIL</v>
      </c>
      <c r="Y17" s="174">
        <f t="shared" si="7"/>
        <v>5.0512534853441093E-2</v>
      </c>
      <c r="Z17" s="182" t="str">
        <f t="shared" si="21"/>
        <v>HABIL</v>
      </c>
      <c r="AA17" s="183">
        <v>0</v>
      </c>
      <c r="AB17" s="174">
        <f t="shared" si="8"/>
        <v>19.790240227548558</v>
      </c>
      <c r="AC17" s="182" t="str">
        <f t="shared" si="0"/>
        <v>HABIL</v>
      </c>
      <c r="AD17" s="182" t="str">
        <f t="shared" si="9"/>
        <v>HABIL</v>
      </c>
      <c r="AE17" s="184">
        <f t="shared" si="10"/>
        <v>3537.082338097759</v>
      </c>
      <c r="AF17" s="185" t="str">
        <f t="shared" si="15"/>
        <v>MIPYME</v>
      </c>
      <c r="AG17" s="174">
        <f t="shared" si="11"/>
        <v>9.853773378266624E-2</v>
      </c>
      <c r="AH17" s="182" t="str">
        <f t="shared" si="16"/>
        <v>HABIL</v>
      </c>
      <c r="AI17" s="174">
        <f t="shared" si="12"/>
        <v>9.3560343070590204E-2</v>
      </c>
      <c r="AJ17" s="182" t="str">
        <f t="shared" si="1"/>
        <v>HABIL</v>
      </c>
      <c r="AK17" s="191" t="str">
        <f t="shared" si="2"/>
        <v>HABIL</v>
      </c>
    </row>
    <row r="18" spans="1:37" ht="14" x14ac:dyDescent="0.3">
      <c r="B18" s="70">
        <v>4.0999999999999996</v>
      </c>
      <c r="C18" s="232" t="s">
        <v>258</v>
      </c>
      <c r="D18" s="224">
        <v>0.5</v>
      </c>
      <c r="E18" s="225">
        <v>140129524</v>
      </c>
      <c r="F18" s="225">
        <v>140129524</v>
      </c>
      <c r="G18" s="225">
        <v>876000</v>
      </c>
      <c r="H18" s="225">
        <v>5686029</v>
      </c>
      <c r="I18" s="225">
        <f t="shared" si="17"/>
        <v>139253524</v>
      </c>
      <c r="J18" s="225">
        <f t="shared" si="17"/>
        <v>134443495</v>
      </c>
      <c r="K18" s="225">
        <f t="shared" si="18"/>
        <v>134443495</v>
      </c>
      <c r="L18" s="225">
        <v>15101640</v>
      </c>
      <c r="M18" s="225">
        <v>956307</v>
      </c>
      <c r="N18" s="133">
        <v>1</v>
      </c>
      <c r="O18" s="133">
        <f>IF(ISERROR(VLOOKUP(N18,POA!$A$2:$C$16,3,0)),"",VLOOKUP(N18,POA!$A$2:$C$16,3,0))</f>
        <v>7</v>
      </c>
      <c r="P18" s="183"/>
      <c r="Q18" s="183" t="str">
        <f>IF(ISERROR(VLOOKUP(P18,POA!$A$2:$F$16,4,0)),"",VLOOKUP(P18,POA!$A$2:$F$16,4,0))</f>
        <v/>
      </c>
      <c r="R18" s="180">
        <f>IF(ISERROR(VLOOKUP(N18,POA!$A$2:$C$16,2,0)),"",VLOOKUP(N18,POA!$A$2:$C$16,2,0))</f>
        <v>309996612</v>
      </c>
      <c r="S18" s="181">
        <f t="shared" si="14"/>
        <v>139253524</v>
      </c>
      <c r="T18" s="182" t="str">
        <f t="shared" si="19"/>
        <v>HABIL</v>
      </c>
      <c r="U18" s="175">
        <f t="shared" si="4"/>
        <v>134443495</v>
      </c>
      <c r="V18" s="182" t="str">
        <f t="shared" si="20"/>
        <v>HABIL</v>
      </c>
      <c r="W18" s="175">
        <f t="shared" si="5"/>
        <v>159.9652100456621</v>
      </c>
      <c r="X18" s="182" t="str">
        <f t="shared" si="6"/>
        <v>HABIL</v>
      </c>
      <c r="Y18" s="174">
        <f>IF(ISERROR(SUM(H18/F18)),0,SUM(H18/F18))</f>
        <v>4.057695222029014E-2</v>
      </c>
      <c r="Z18" s="182" t="str">
        <f t="shared" si="21"/>
        <v>HABIL</v>
      </c>
      <c r="AA18" s="183">
        <v>0</v>
      </c>
      <c r="AB18" s="174">
        <f t="shared" si="8"/>
        <v>15.791623401271767</v>
      </c>
      <c r="AC18" s="182" t="str">
        <f t="shared" si="0"/>
        <v>HABIL</v>
      </c>
      <c r="AD18" s="182" t="str">
        <f t="shared" si="9"/>
        <v>HABIL</v>
      </c>
      <c r="AE18" s="184">
        <f t="shared" si="10"/>
        <v>247.27284983236279</v>
      </c>
      <c r="AF18" s="185" t="str">
        <f t="shared" si="15"/>
        <v>MIPYME</v>
      </c>
      <c r="AG18" s="174">
        <f t="shared" si="11"/>
        <v>0.1123270411855925</v>
      </c>
      <c r="AH18" s="182" t="str">
        <f t="shared" si="16"/>
        <v>HABIL</v>
      </c>
      <c r="AI18" s="174">
        <f t="shared" si="12"/>
        <v>0.10776915220235815</v>
      </c>
      <c r="AJ18" s="182" t="str">
        <f t="shared" si="1"/>
        <v>HABIL</v>
      </c>
      <c r="AK18" s="191" t="str">
        <f t="shared" si="2"/>
        <v>HABIL</v>
      </c>
    </row>
    <row r="19" spans="1:37" ht="18" customHeight="1" x14ac:dyDescent="0.3">
      <c r="B19" s="70">
        <v>4.2</v>
      </c>
      <c r="C19" s="232" t="s">
        <v>259</v>
      </c>
      <c r="D19" s="224">
        <v>0.5</v>
      </c>
      <c r="E19" s="225">
        <v>308885037</v>
      </c>
      <c r="F19" s="225">
        <v>1864335037</v>
      </c>
      <c r="G19" s="225">
        <v>11654748</v>
      </c>
      <c r="H19" s="225">
        <v>95564557</v>
      </c>
      <c r="I19" s="225">
        <f t="shared" si="17"/>
        <v>297230289</v>
      </c>
      <c r="J19" s="225">
        <f t="shared" si="17"/>
        <v>1768770480</v>
      </c>
      <c r="K19" s="225">
        <f t="shared" si="18"/>
        <v>1768770480</v>
      </c>
      <c r="L19" s="225">
        <v>172436752</v>
      </c>
      <c r="M19" s="225">
        <v>8520000</v>
      </c>
      <c r="N19" s="133">
        <v>1</v>
      </c>
      <c r="O19" s="133">
        <f>IF(ISERROR(VLOOKUP(N19,POA!$A$2:$C$16,3,0)),"",VLOOKUP(N19,POA!$A$2:$C$16,3,0))</f>
        <v>7</v>
      </c>
      <c r="P19" s="183"/>
      <c r="Q19" s="183" t="str">
        <f>IF(ISERROR(VLOOKUP(P19,POA!$A$2:$F$16,4,0)),"",VLOOKUP(P19,POA!$A$2:$F$16,4,0))</f>
        <v/>
      </c>
      <c r="R19" s="180">
        <f>IF(ISERROR(VLOOKUP(N19,POA!$A$2:$C$16,2,0)),"",VLOOKUP(N19,POA!$A$2:$C$16,2,0))</f>
        <v>309996612</v>
      </c>
      <c r="S19" s="181">
        <f t="shared" si="14"/>
        <v>297230289</v>
      </c>
      <c r="T19" s="182" t="str">
        <f t="shared" si="19"/>
        <v>HABIL</v>
      </c>
      <c r="U19" s="175">
        <f t="shared" si="4"/>
        <v>1768770480</v>
      </c>
      <c r="V19" s="182" t="str">
        <f>IF(OR(U19=0,N19="",R19=""),"",IF(U16&gt;=(0.5*R19),"HABIL","NO HABIL"))</f>
        <v>HABIL</v>
      </c>
      <c r="W19" s="175">
        <f t="shared" si="5"/>
        <v>26.502935713410533</v>
      </c>
      <c r="X19" s="182" t="str">
        <f t="shared" si="6"/>
        <v>HABIL</v>
      </c>
      <c r="Y19" s="174">
        <f t="shared" si="7"/>
        <v>5.12593257667774E-2</v>
      </c>
      <c r="Z19" s="182" t="str">
        <f t="shared" si="21"/>
        <v>HABIL</v>
      </c>
      <c r="AA19" s="183">
        <v>0</v>
      </c>
      <c r="AB19" s="174">
        <f t="shared" si="8"/>
        <v>20.239055399061034</v>
      </c>
      <c r="AC19" s="182" t="str">
        <f t="shared" si="0"/>
        <v>HABIL</v>
      </c>
      <c r="AD19" s="182" t="str">
        <f t="shared" si="9"/>
        <v>HABIL</v>
      </c>
      <c r="AE19" s="184">
        <f t="shared" si="10"/>
        <v>3289.8094882653963</v>
      </c>
      <c r="AF19" s="185" t="str">
        <f t="shared" si="15"/>
        <v>MIPYME</v>
      </c>
      <c r="AG19" s="174">
        <f t="shared" si="11"/>
        <v>9.7489614367602964E-2</v>
      </c>
      <c r="AH19" s="182" t="str">
        <f t="shared" si="16"/>
        <v>HABIL</v>
      </c>
      <c r="AI19" s="174">
        <f t="shared" si="12"/>
        <v>9.2492362465856501E-2</v>
      </c>
      <c r="AJ19" s="182" t="str">
        <f t="shared" si="1"/>
        <v>HABIL</v>
      </c>
      <c r="AK19" s="191" t="str">
        <f t="shared" si="2"/>
        <v>HABIL</v>
      </c>
    </row>
    <row r="20" spans="1:37" ht="18" customHeight="1" x14ac:dyDescent="0.3">
      <c r="B20" s="70">
        <v>5</v>
      </c>
      <c r="C20" s="232" t="s">
        <v>262</v>
      </c>
      <c r="D20" s="224">
        <f>D21+D22</f>
        <v>1</v>
      </c>
      <c r="E20" s="225">
        <f>E21+E22</f>
        <v>1079066000</v>
      </c>
      <c r="F20" s="225">
        <f t="shared" ref="F20:M20" si="24">F21+F22</f>
        <v>1428993000</v>
      </c>
      <c r="G20" s="225">
        <f t="shared" si="24"/>
        <v>54511000</v>
      </c>
      <c r="H20" s="225">
        <f t="shared" si="24"/>
        <v>144711000</v>
      </c>
      <c r="I20" s="225">
        <f t="shared" si="24"/>
        <v>1024555000</v>
      </c>
      <c r="J20" s="225">
        <f t="shared" si="24"/>
        <v>1284282000</v>
      </c>
      <c r="K20" s="225">
        <f t="shared" si="24"/>
        <v>1284282000</v>
      </c>
      <c r="L20" s="225">
        <f t="shared" si="24"/>
        <v>243455000</v>
      </c>
      <c r="M20" s="225">
        <f t="shared" si="24"/>
        <v>2995000</v>
      </c>
      <c r="N20" s="133">
        <v>1</v>
      </c>
      <c r="O20" s="133">
        <f>IF(ISERROR(VLOOKUP(N20,POA!$A$2:$C$16,3,0)),"",VLOOKUP(N20,POA!$A$2:$C$16,3,0))</f>
        <v>7</v>
      </c>
      <c r="P20" s="183"/>
      <c r="Q20" s="183" t="str">
        <f>IF(ISERROR(VLOOKUP(P20,POA!$A$2:$F$16,4,0)),"",VLOOKUP(P20,POA!$A$2:$F$16,4,0))</f>
        <v/>
      </c>
      <c r="R20" s="180">
        <f>IF(ISERROR(VLOOKUP(N20,POA!$A$2:$C$16,2,0)),"",VLOOKUP(N20,POA!$A$2:$C$16,2,0))</f>
        <v>309996612</v>
      </c>
      <c r="S20" s="181">
        <f t="shared" si="14"/>
        <v>1024555000</v>
      </c>
      <c r="T20" s="182" t="str">
        <f t="shared" si="19"/>
        <v>HABIL</v>
      </c>
      <c r="U20" s="175">
        <f t="shared" si="4"/>
        <v>1284282000</v>
      </c>
      <c r="V20" s="182" t="str">
        <f t="shared" si="20"/>
        <v>HABIL</v>
      </c>
      <c r="W20" s="175">
        <f t="shared" si="5"/>
        <v>19.795380748839683</v>
      </c>
      <c r="X20" s="182" t="str">
        <f t="shared" si="6"/>
        <v>HABIL</v>
      </c>
      <c r="Y20" s="174">
        <f t="shared" si="7"/>
        <v>0.10126781586753748</v>
      </c>
      <c r="Z20" s="182" t="str">
        <f t="shared" si="21"/>
        <v>HABIL</v>
      </c>
      <c r="AA20" s="183">
        <v>0</v>
      </c>
      <c r="AB20" s="174">
        <f t="shared" si="8"/>
        <v>81.28714524207011</v>
      </c>
      <c r="AC20" s="182" t="str">
        <f t="shared" si="0"/>
        <v>HABIL</v>
      </c>
      <c r="AD20" s="182" t="str">
        <f t="shared" si="9"/>
        <v>HABIL</v>
      </c>
      <c r="AE20" s="184">
        <f t="shared" si="10"/>
        <v>2521.6040232927476</v>
      </c>
      <c r="AF20" s="185" t="str">
        <f t="shared" si="15"/>
        <v>MIPYME</v>
      </c>
      <c r="AG20" s="174">
        <f t="shared" si="11"/>
        <v>0.18956506437059772</v>
      </c>
      <c r="AH20" s="182" t="str">
        <f t="shared" si="16"/>
        <v>HABIL</v>
      </c>
      <c r="AI20" s="174">
        <f t="shared" si="12"/>
        <v>0.17036822433699816</v>
      </c>
      <c r="AJ20" s="182" t="str">
        <f t="shared" si="1"/>
        <v>HABIL</v>
      </c>
      <c r="AK20" s="191" t="str">
        <f t="shared" si="2"/>
        <v>HABIL</v>
      </c>
    </row>
    <row r="21" spans="1:37" ht="18" customHeight="1" x14ac:dyDescent="0.3">
      <c r="B21" s="70">
        <v>5.0999999999999996</v>
      </c>
      <c r="C21" s="232" t="s">
        <v>260</v>
      </c>
      <c r="D21" s="224">
        <v>0.5</v>
      </c>
      <c r="E21" s="225">
        <v>510266000</v>
      </c>
      <c r="F21" s="225">
        <v>711266000</v>
      </c>
      <c r="G21" s="225">
        <v>1011000</v>
      </c>
      <c r="H21" s="225">
        <v>72011000</v>
      </c>
      <c r="I21" s="225">
        <f t="shared" si="17"/>
        <v>509255000</v>
      </c>
      <c r="J21" s="225">
        <f t="shared" si="17"/>
        <v>639255000</v>
      </c>
      <c r="K21" s="225">
        <f t="shared" si="18"/>
        <v>639255000</v>
      </c>
      <c r="L21" s="225">
        <v>31000000</v>
      </c>
      <c r="M21" s="225">
        <v>2150000</v>
      </c>
      <c r="N21" s="133">
        <v>1</v>
      </c>
      <c r="O21" s="133">
        <f>IF(ISERROR(VLOOKUP(N21,POA!$A$2:$C$16,3,0)),"",VLOOKUP(N21,POA!$A$2:$C$16,3,0))</f>
        <v>7</v>
      </c>
      <c r="P21" s="183"/>
      <c r="Q21" s="183" t="str">
        <f>IF(ISERROR(VLOOKUP(P21,POA!$A$2:$F$16,4,0)),"",VLOOKUP(P21,POA!$A$2:$F$16,4,0))</f>
        <v/>
      </c>
      <c r="R21" s="180">
        <f>IF(ISERROR(VLOOKUP(N21,POA!$A$2:$C$16,2,0)),"",VLOOKUP(N21,POA!$A$2:$C$16,2,0))</f>
        <v>309996612</v>
      </c>
      <c r="S21" s="181">
        <f t="shared" si="14"/>
        <v>509255000</v>
      </c>
      <c r="T21" s="182" t="str">
        <f t="shared" si="19"/>
        <v>HABIL</v>
      </c>
      <c r="U21" s="175">
        <f t="shared" si="4"/>
        <v>639255000</v>
      </c>
      <c r="V21" s="182" t="str">
        <f t="shared" si="20"/>
        <v>NO HABIL</v>
      </c>
      <c r="W21" s="175">
        <f t="shared" si="5"/>
        <v>504.7141444114738</v>
      </c>
      <c r="X21" s="182" t="str">
        <f t="shared" si="6"/>
        <v>HABIL</v>
      </c>
      <c r="Y21" s="174">
        <f t="shared" si="7"/>
        <v>0.10124341666830694</v>
      </c>
      <c r="Z21" s="182" t="str">
        <f t="shared" si="21"/>
        <v>HABIL</v>
      </c>
      <c r="AA21" s="183">
        <v>0</v>
      </c>
      <c r="AB21" s="174">
        <f t="shared" si="8"/>
        <v>14.418604651162791</v>
      </c>
      <c r="AC21" s="182" t="str">
        <f t="shared" si="0"/>
        <v>HABIL</v>
      </c>
      <c r="AD21" s="182" t="str">
        <f t="shared" si="9"/>
        <v>NO HABIL</v>
      </c>
      <c r="AE21" s="184">
        <f t="shared" si="10"/>
        <v>1255.1014646197282</v>
      </c>
      <c r="AF21" s="185" t="str">
        <f t="shared" si="15"/>
        <v>MIPYME</v>
      </c>
      <c r="AG21" s="174">
        <f t="shared" si="11"/>
        <v>4.849394998865867E-2</v>
      </c>
      <c r="AH21" s="182" t="str">
        <f t="shared" si="16"/>
        <v>HABIL</v>
      </c>
      <c r="AI21" s="174">
        <f t="shared" si="12"/>
        <v>4.3584256804064865E-2</v>
      </c>
      <c r="AJ21" s="182" t="str">
        <f t="shared" si="1"/>
        <v>HABIL</v>
      </c>
      <c r="AK21" s="191" t="str">
        <f t="shared" si="2"/>
        <v>HABIL</v>
      </c>
    </row>
    <row r="22" spans="1:37" ht="18" customHeight="1" x14ac:dyDescent="0.3">
      <c r="B22" s="70">
        <v>5.2</v>
      </c>
      <c r="C22" s="232" t="s">
        <v>261</v>
      </c>
      <c r="D22" s="224">
        <v>0.5</v>
      </c>
      <c r="E22" s="225">
        <v>568800000</v>
      </c>
      <c r="F22" s="225">
        <v>717727000</v>
      </c>
      <c r="G22" s="225">
        <v>53500000</v>
      </c>
      <c r="H22" s="225">
        <v>72700000</v>
      </c>
      <c r="I22" s="225">
        <f t="shared" si="17"/>
        <v>515300000</v>
      </c>
      <c r="J22" s="225">
        <f t="shared" si="17"/>
        <v>645027000</v>
      </c>
      <c r="K22" s="225">
        <f t="shared" si="18"/>
        <v>645027000</v>
      </c>
      <c r="L22" s="225">
        <v>212455000</v>
      </c>
      <c r="M22" s="225">
        <v>845000</v>
      </c>
      <c r="N22" s="133">
        <v>1</v>
      </c>
      <c r="O22" s="133">
        <f>IF(ISERROR(VLOOKUP(N22,POA!$A$2:$C$16,3,0)),"",VLOOKUP(N22,POA!$A$2:$C$16,3,0))</f>
        <v>7</v>
      </c>
      <c r="P22" s="183"/>
      <c r="Q22" s="183"/>
      <c r="R22" s="180">
        <f>IF(ISERROR(VLOOKUP(N22,POA!$A$2:$C$16,2,0)),"",VLOOKUP(N22,POA!$A$2:$C$16,2,0))</f>
        <v>309996612</v>
      </c>
      <c r="S22" s="181">
        <f t="shared" si="14"/>
        <v>515300000</v>
      </c>
      <c r="T22" s="182" t="str">
        <f t="shared" si="19"/>
        <v>HABIL</v>
      </c>
      <c r="U22" s="175">
        <f t="shared" si="4"/>
        <v>645027000</v>
      </c>
      <c r="V22" s="182" t="str">
        <f t="shared" si="20"/>
        <v>HABIL</v>
      </c>
      <c r="W22" s="175">
        <f t="shared" si="5"/>
        <v>10.631775700934579</v>
      </c>
      <c r="X22" s="182" t="str">
        <f>IF(OR(W22=0,N22="",R22=""),"",IF(W22&gt;=$X$9,"HABIL","NO HABIL"))</f>
        <v>HABIL</v>
      </c>
      <c r="Y22" s="174">
        <f t="shared" si="7"/>
        <v>0.10129199542444411</v>
      </c>
      <c r="Z22" s="182" t="str">
        <f t="shared" si="21"/>
        <v>HABIL</v>
      </c>
      <c r="AA22" s="183"/>
      <c r="AB22" s="174">
        <f t="shared" si="8"/>
        <v>251.42603550295857</v>
      </c>
      <c r="AC22" s="182" t="str">
        <f t="shared" si="0"/>
        <v>HABIL</v>
      </c>
      <c r="AD22" s="182" t="str">
        <f t="shared" si="9"/>
        <v>HABIL</v>
      </c>
      <c r="AE22" s="184">
        <f t="shared" si="10"/>
        <v>1266.5025586730192</v>
      </c>
      <c r="AF22" s="185" t="str">
        <f t="shared" si="15"/>
        <v>MIPYME</v>
      </c>
      <c r="AG22" s="174">
        <f t="shared" si="11"/>
        <v>0.32937380915837633</v>
      </c>
      <c r="AH22" s="182" t="str">
        <f t="shared" si="16"/>
        <v>HABIL</v>
      </c>
      <c r="AI22" s="174">
        <f t="shared" si="12"/>
        <v>0.29601087878817434</v>
      </c>
      <c r="AJ22" s="182" t="str">
        <f t="shared" si="1"/>
        <v>HABIL</v>
      </c>
      <c r="AK22" s="191" t="str">
        <f t="shared" si="2"/>
        <v>HABIL</v>
      </c>
    </row>
    <row r="23" spans="1:37" ht="18" customHeight="1" x14ac:dyDescent="0.3">
      <c r="B23" s="70">
        <v>6</v>
      </c>
      <c r="C23" s="232" t="s">
        <v>266</v>
      </c>
      <c r="D23" s="224">
        <f>D24+D25</f>
        <v>1</v>
      </c>
      <c r="E23" s="225">
        <f>E24+E25</f>
        <v>1673054437</v>
      </c>
      <c r="F23" s="225">
        <f t="shared" ref="F23:M23" si="25">F24+F25</f>
        <v>2309546870</v>
      </c>
      <c r="G23" s="225">
        <f t="shared" si="25"/>
        <v>343979157</v>
      </c>
      <c r="H23" s="225">
        <f t="shared" si="25"/>
        <v>993024867</v>
      </c>
      <c r="I23" s="225">
        <f t="shared" si="25"/>
        <v>1329075280</v>
      </c>
      <c r="J23" s="225">
        <f t="shared" si="25"/>
        <v>1316522003</v>
      </c>
      <c r="K23" s="225">
        <f t="shared" si="25"/>
        <v>1316522003</v>
      </c>
      <c r="L23" s="225">
        <f t="shared" si="25"/>
        <v>195594318</v>
      </c>
      <c r="M23" s="225">
        <f t="shared" si="25"/>
        <v>28117881</v>
      </c>
      <c r="N23" s="133">
        <v>1</v>
      </c>
      <c r="O23" s="133">
        <f>IF(ISERROR(VLOOKUP(N23,POA!$A$2:$C$16,3,0)),"",VLOOKUP(N23,POA!$A$2:$C$16,3,0))</f>
        <v>7</v>
      </c>
      <c r="P23" s="183"/>
      <c r="Q23" s="183"/>
      <c r="R23" s="180">
        <f>IF(ISERROR(VLOOKUP(N23,POA!$A$2:$C$16,2,0)),"",VLOOKUP(N23,POA!$A$2:$C$16,2,0))</f>
        <v>309996612</v>
      </c>
      <c r="S23" s="181">
        <f t="shared" si="14"/>
        <v>1329075280</v>
      </c>
      <c r="T23" s="182" t="str">
        <f t="shared" si="19"/>
        <v>HABIL</v>
      </c>
      <c r="U23" s="175">
        <f t="shared" si="4"/>
        <v>1316522003</v>
      </c>
      <c r="V23" s="182" t="str">
        <f t="shared" si="20"/>
        <v>HABIL</v>
      </c>
      <c r="W23" s="175">
        <f t="shared" si="5"/>
        <v>4.8638250398410037</v>
      </c>
      <c r="X23" s="182" t="str">
        <f t="shared" si="6"/>
        <v>HABIL</v>
      </c>
      <c r="Y23" s="174">
        <f t="shared" si="7"/>
        <v>0.42996523686051019</v>
      </c>
      <c r="Z23" s="182" t="str">
        <f t="shared" si="21"/>
        <v>HABIL</v>
      </c>
      <c r="AA23" s="183"/>
      <c r="AB23" s="174">
        <f t="shared" si="8"/>
        <v>6.9562253997731904</v>
      </c>
      <c r="AC23" s="182" t="str">
        <f t="shared" si="0"/>
        <v>HABIL</v>
      </c>
      <c r="AD23" s="182" t="str">
        <f t="shared" si="9"/>
        <v>HABIL</v>
      </c>
      <c r="AE23" s="184"/>
      <c r="AF23" s="185"/>
      <c r="AG23" s="174">
        <f t="shared" si="11"/>
        <v>0.14856897002427083</v>
      </c>
      <c r="AH23" s="182" t="str">
        <f t="shared" si="16"/>
        <v>HABIL</v>
      </c>
      <c r="AI23" s="174">
        <f t="shared" si="12"/>
        <v>8.4689477637663185E-2</v>
      </c>
      <c r="AJ23" s="182" t="str">
        <f t="shared" si="1"/>
        <v>HABIL</v>
      </c>
      <c r="AK23" s="191" t="str">
        <f t="shared" si="2"/>
        <v>HABIL</v>
      </c>
    </row>
    <row r="24" spans="1:37" ht="18" customHeight="1" x14ac:dyDescent="0.3">
      <c r="B24" s="70">
        <v>6.1</v>
      </c>
      <c r="C24" s="233" t="s">
        <v>263</v>
      </c>
      <c r="D24" s="224">
        <v>0.5</v>
      </c>
      <c r="E24" s="225">
        <v>1673054437</v>
      </c>
      <c r="F24" s="225">
        <v>2309546870</v>
      </c>
      <c r="G24" s="225">
        <v>343979157</v>
      </c>
      <c r="H24" s="225">
        <v>993024867</v>
      </c>
      <c r="I24" s="225">
        <f t="shared" si="17"/>
        <v>1329075280</v>
      </c>
      <c r="J24" s="225">
        <f t="shared" si="17"/>
        <v>1316522003</v>
      </c>
      <c r="K24" s="225">
        <f t="shared" si="18"/>
        <v>1316522003</v>
      </c>
      <c r="L24" s="225">
        <v>195594318</v>
      </c>
      <c r="M24" s="225">
        <v>28117881</v>
      </c>
      <c r="N24" s="133">
        <v>1</v>
      </c>
      <c r="O24" s="133">
        <f>IF(ISERROR(VLOOKUP(N24,POA!$A$2:$C$16,3,0)),"",VLOOKUP(N24,POA!$A$2:$C$16,3,0))</f>
        <v>7</v>
      </c>
      <c r="P24" s="183"/>
      <c r="Q24" s="183"/>
      <c r="R24" s="180">
        <f>IF(ISERROR(VLOOKUP(N24,POA!$A$2:$C$16,2,0)),"",VLOOKUP(N24,POA!$A$2:$C$16,2,0))</f>
        <v>309996612</v>
      </c>
      <c r="S24" s="181">
        <f>E24-G24</f>
        <v>1329075280</v>
      </c>
      <c r="T24" s="182" t="str">
        <f t="shared" si="19"/>
        <v>HABIL</v>
      </c>
      <c r="U24" s="175">
        <f t="shared" si="4"/>
        <v>1316522003</v>
      </c>
      <c r="V24" s="182" t="str">
        <f t="shared" si="20"/>
        <v>HABIL</v>
      </c>
      <c r="W24" s="175">
        <f t="shared" si="5"/>
        <v>4.8638250398410037</v>
      </c>
      <c r="X24" s="182" t="str">
        <f t="shared" si="6"/>
        <v>HABIL</v>
      </c>
      <c r="Y24" s="174">
        <f t="shared" si="7"/>
        <v>0.42996523686051019</v>
      </c>
      <c r="Z24" s="182" t="str">
        <f t="shared" si="21"/>
        <v>HABIL</v>
      </c>
      <c r="AA24" s="183"/>
      <c r="AB24" s="174">
        <f t="shared" si="8"/>
        <v>6.9562253997731904</v>
      </c>
      <c r="AC24" s="182" t="str">
        <f t="shared" si="0"/>
        <v>HABIL</v>
      </c>
      <c r="AD24" s="182" t="str">
        <f t="shared" si="9"/>
        <v>HABIL</v>
      </c>
      <c r="AE24" s="184"/>
      <c r="AF24" s="185"/>
      <c r="AG24" s="174">
        <f t="shared" si="11"/>
        <v>0.14856897002427083</v>
      </c>
      <c r="AH24" s="182" t="str">
        <f t="shared" si="16"/>
        <v>HABIL</v>
      </c>
      <c r="AI24" s="174">
        <f t="shared" si="12"/>
        <v>8.4689477637663185E-2</v>
      </c>
      <c r="AJ24" s="182" t="str">
        <f t="shared" si="1"/>
        <v>HABIL</v>
      </c>
      <c r="AK24" s="191" t="str">
        <f t="shared" si="2"/>
        <v>HABIL</v>
      </c>
    </row>
    <row r="25" spans="1:37" ht="18.75" customHeight="1" thickBot="1" x14ac:dyDescent="0.35">
      <c r="B25" s="79">
        <v>6.2</v>
      </c>
      <c r="C25" s="234" t="s">
        <v>267</v>
      </c>
      <c r="D25" s="226">
        <v>0.5</v>
      </c>
      <c r="E25" s="227">
        <v>0</v>
      </c>
      <c r="F25" s="227">
        <v>0</v>
      </c>
      <c r="G25" s="227">
        <v>0</v>
      </c>
      <c r="H25" s="227">
        <v>0</v>
      </c>
      <c r="I25" s="227">
        <f t="shared" si="17"/>
        <v>0</v>
      </c>
      <c r="J25" s="227">
        <f t="shared" si="17"/>
        <v>0</v>
      </c>
      <c r="K25" s="227">
        <f t="shared" si="18"/>
        <v>0</v>
      </c>
      <c r="L25" s="227">
        <v>0</v>
      </c>
      <c r="M25" s="227">
        <v>0</v>
      </c>
      <c r="N25" s="218">
        <v>1</v>
      </c>
      <c r="O25" s="218">
        <f>IF(ISERROR(VLOOKUP(N25,POA!$A$2:$C$16,3,0)),"",VLOOKUP(N25,POA!$A$2:$C$16,3,0))</f>
        <v>7</v>
      </c>
      <c r="P25" s="76"/>
      <c r="Q25" s="76" t="str">
        <f>IF(ISERROR(VLOOKUP(P25,POA!$A$2:$F$16,4,0)),"",VLOOKUP(P25,POA!$A$2:$F$16,4,0))</f>
        <v/>
      </c>
      <c r="R25" s="73">
        <f>IF(ISERROR(VLOOKUP(N25,POA!$A$2:$C$16,2,0)),"",VLOOKUP(N25,POA!$A$2:$C$16,2,0))</f>
        <v>309996612</v>
      </c>
      <c r="S25" s="78">
        <f t="shared" si="14"/>
        <v>0</v>
      </c>
      <c r="T25" s="77" t="str">
        <f>IF(OR(S12=0,N25="",R25=""),"",IF(S12&gt;=(0.4*R25),"HABIL","NO HABIL"))</f>
        <v>HABIL</v>
      </c>
      <c r="U25" s="219">
        <f t="shared" si="4"/>
        <v>0</v>
      </c>
      <c r="V25" s="77" t="str">
        <f>IF(OR(U25=0,N25="",R25=""),"",IF(U22&gt;=(0.5*R25),"HABIL","NO HABIL"))</f>
        <v/>
      </c>
      <c r="W25" s="219">
        <f t="shared" si="5"/>
        <v>0</v>
      </c>
      <c r="X25" s="77" t="str">
        <f t="shared" si="6"/>
        <v/>
      </c>
      <c r="Y25" s="220">
        <f>IF(ISERROR(SUM(H25/F25)),0,SUM(H25/F25))</f>
        <v>0</v>
      </c>
      <c r="Z25" s="77" t="str">
        <f>IF(OR(Y12=0,N25="",R25=""),"",IF(Y12&lt;=$Z$9,"HABIL","NO HABIL"))</f>
        <v>HABIL</v>
      </c>
      <c r="AA25" s="76">
        <v>0</v>
      </c>
      <c r="AB25" s="220">
        <f t="shared" ref="AB25" si="26">IF(ISERROR(SUM(L25/M25)),0,SUM(L25/M25))</f>
        <v>0</v>
      </c>
      <c r="AC25" s="77" t="str">
        <f t="shared" ref="AC25" si="27">IF(OR(AB22=0,N25="",R25=""),"",IF(AB22&gt;=$AC$9,"HABIL","NO HABIL"))</f>
        <v>HABIL</v>
      </c>
      <c r="AD25" s="77" t="str">
        <f t="shared" ref="AD25" si="28">IF(OR(T25="",V25="",X25="",Z25="",AC25=""),"",IF(T25="NO HABIL","NO HABIL",IF(V25="NO HABIL","NO HABIL",IF(X25="NO HABIL","NO HABIL",IF(Z25="NO HABIL","NO HABIL",IF(AC25="NO HABIL","NO HABIL",IF(AC25="NO HABIL","NO HABIL","HABIL")))))))</f>
        <v/>
      </c>
      <c r="AE25" s="192">
        <f t="shared" si="10"/>
        <v>0</v>
      </c>
      <c r="AF25" s="193" t="str">
        <f t="shared" si="15"/>
        <v>MIPYME</v>
      </c>
      <c r="AG25" s="220">
        <f t="shared" si="11"/>
        <v>0</v>
      </c>
      <c r="AH25" s="77" t="str">
        <f t="shared" ref="AH25" si="29">IF(OR(AG16=0,N25="",R25=""),"",IF(AG16&gt;=$AH$9,"HABIL","NO HABIL"))</f>
        <v>HABIL</v>
      </c>
      <c r="AI25" s="220">
        <f t="shared" si="12"/>
        <v>0</v>
      </c>
      <c r="AJ25" s="77" t="str">
        <f t="shared" ref="AJ25" si="30">IF(OR(AI25=0,N25="",R25=""),"",IF(AI16&gt;=$AJ$9,"HABIL","NO HABIL"))</f>
        <v/>
      </c>
      <c r="AK25" s="221" t="str">
        <f t="shared" si="2"/>
        <v/>
      </c>
    </row>
    <row r="26" spans="1:37" ht="18" customHeight="1" x14ac:dyDescent="0.25">
      <c r="C26" s="173"/>
      <c r="AE26" s="102">
        <f t="shared" si="10"/>
        <v>0</v>
      </c>
      <c r="AF26" s="102" t="str">
        <f t="shared" si="15"/>
        <v>MIPYME</v>
      </c>
    </row>
    <row r="27" spans="1:37" ht="18" customHeight="1" x14ac:dyDescent="0.25">
      <c r="C27" s="173"/>
      <c r="G27" s="179"/>
      <c r="AE27" s="102">
        <f t="shared" si="10"/>
        <v>0</v>
      </c>
      <c r="AF27" s="102" t="str">
        <f t="shared" si="15"/>
        <v>MIPYME</v>
      </c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
&amp;D</oddFooter>
      </headerFooter>
    </customSheetView>
  </customSheetViews>
  <mergeCells count="40">
    <mergeCell ref="S7:T7"/>
    <mergeCell ref="S8:T8"/>
    <mergeCell ref="U7:V7"/>
    <mergeCell ref="U8:V8"/>
    <mergeCell ref="AI7:AJ7"/>
    <mergeCell ref="AI8:AJ8"/>
    <mergeCell ref="AK8:AK10"/>
    <mergeCell ref="AB7:AC7"/>
    <mergeCell ref="AB8:AC8"/>
    <mergeCell ref="AG7:AH7"/>
    <mergeCell ref="AG8:AH8"/>
    <mergeCell ref="AE7:AF7"/>
    <mergeCell ref="B8:B10"/>
    <mergeCell ref="P8:P10"/>
    <mergeCell ref="AD8:AD10"/>
    <mergeCell ref="W8:X8"/>
    <mergeCell ref="Y8:Z8"/>
    <mergeCell ref="G8:G10"/>
    <mergeCell ref="AA8:AA10"/>
    <mergeCell ref="D8:D10"/>
    <mergeCell ref="F8:F10"/>
    <mergeCell ref="H8:H10"/>
    <mergeCell ref="I8:I10"/>
    <mergeCell ref="K8:K10"/>
    <mergeCell ref="B1:AD1"/>
    <mergeCell ref="B4:AK4"/>
    <mergeCell ref="B3:AK3"/>
    <mergeCell ref="B2:AK2"/>
    <mergeCell ref="R8:R10"/>
    <mergeCell ref="O8:O10"/>
    <mergeCell ref="Q8:Q10"/>
    <mergeCell ref="N8:N10"/>
    <mergeCell ref="C8:C10"/>
    <mergeCell ref="J8:J10"/>
    <mergeCell ref="E8:E10"/>
    <mergeCell ref="B7:D7"/>
    <mergeCell ref="W7:X7"/>
    <mergeCell ref="Y7:Z7"/>
    <mergeCell ref="E7:J7"/>
    <mergeCell ref="B5:AK5"/>
  </mergeCells>
  <phoneticPr fontId="0" type="noConversion"/>
  <conditionalFormatting sqref="AD7:AD10 AE11 AE7:AE9 AF8:AF9 AE10:AF10 AK7:AK11 AL1:JA11 AE1:AK1 J15:K16 AE12:AF25 J18:K19 C12:C23 D12:D25 J21:K22 J24:K25 U12:U25 W12:W25 AA12:AC25 N12:S25 AG11:AJ25">
    <cfRule type="cellIs" dxfId="74" priority="7895" stopIfTrue="1" operator="equal">
      <formula>"NO ADMISIBLE"</formula>
    </cfRule>
  </conditionalFormatting>
  <conditionalFormatting sqref="AH12:AK25 V12:V25 AB12:AD25 T12:T25 X12:Z25">
    <cfRule type="cellIs" dxfId="73" priority="7896" stopIfTrue="1" operator="equal">
      <formula>"NO ADMISIBLE"</formula>
    </cfRule>
    <cfRule type="cellIs" dxfId="72" priority="7897" stopIfTrue="1" operator="equal">
      <formula>"ADMISIBLE"</formula>
    </cfRule>
  </conditionalFormatting>
  <conditionalFormatting sqref="AG12:AG25">
    <cfRule type="cellIs" dxfId="71" priority="6761" stopIfTrue="1" operator="equal">
      <formula>"NO ADMISIBLE"</formula>
    </cfRule>
    <cfRule type="cellIs" dxfId="70" priority="6762" stopIfTrue="1" operator="equal">
      <formula>"ADMISIBLE"</formula>
    </cfRule>
  </conditionalFormatting>
  <conditionalFormatting sqref="J14:K14">
    <cfRule type="cellIs" dxfId="69" priority="1" stopIfTrue="1" operator="equal">
      <formula>"NO ADMISIBLE"</formula>
    </cfRule>
  </conditionalFormatting>
  <dataValidations count="1">
    <dataValidation type="list" allowBlank="1" showInputMessage="1" showErrorMessage="1" sqref="D24 C25:D25 C12:D23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
&amp;D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8" r:id="rId5" name="Button 34">
              <controlPr defaultSize="0" print="0" autoFill="0" autoPict="0" macro="[0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1"/>
  <dimension ref="A2:O16"/>
  <sheetViews>
    <sheetView zoomScale="90" zoomScaleNormal="90" workbookViewId="0">
      <selection activeCell="H9" sqref="H9"/>
    </sheetView>
  </sheetViews>
  <sheetFormatPr baseColWidth="10" defaultColWidth="11.453125" defaultRowHeight="12.5" x14ac:dyDescent="0.25"/>
  <cols>
    <col min="1" max="1" width="11.453125" style="117" customWidth="1"/>
    <col min="2" max="2" width="11.26953125" style="117" customWidth="1"/>
    <col min="3" max="3" width="7.7265625" style="117" customWidth="1"/>
    <col min="4" max="4" width="29.453125" style="117" customWidth="1"/>
    <col min="5" max="5" width="15" style="117" customWidth="1"/>
    <col min="6" max="6" width="22.26953125" style="117" customWidth="1"/>
    <col min="7" max="8" width="17" style="117" customWidth="1"/>
    <col min="9" max="9" width="13.81640625" style="107" customWidth="1"/>
    <col min="10" max="10" width="36.1796875" style="107" customWidth="1"/>
    <col min="11" max="11" width="32.26953125" style="117" customWidth="1"/>
    <col min="12" max="12" width="13.81640625" style="128" customWidth="1"/>
    <col min="13" max="13" width="9.7265625" style="129" customWidth="1"/>
    <col min="14" max="14" width="12.54296875" style="117" customWidth="1"/>
    <col min="15" max="15" width="12.7265625" style="117" customWidth="1"/>
    <col min="16" max="16384" width="11.453125" style="117"/>
  </cols>
  <sheetData>
    <row r="2" spans="1:15" s="119" customFormat="1" ht="20.25" customHeight="1" x14ac:dyDescent="0.3">
      <c r="C2" s="342" t="s">
        <v>198</v>
      </c>
      <c r="D2" s="342"/>
      <c r="E2" s="342"/>
      <c r="F2" s="342"/>
      <c r="G2" s="342"/>
      <c r="H2" s="342"/>
      <c r="I2" s="342"/>
      <c r="J2" s="342"/>
      <c r="L2" s="120"/>
      <c r="M2" s="121"/>
    </row>
    <row r="3" spans="1:15" s="119" customFormat="1" ht="18" customHeight="1" x14ac:dyDescent="0.3">
      <c r="C3" s="343" t="s">
        <v>212</v>
      </c>
      <c r="D3" s="343"/>
      <c r="E3" s="343"/>
      <c r="F3" s="343"/>
      <c r="G3" s="343"/>
      <c r="H3" s="343"/>
      <c r="I3" s="343"/>
      <c r="J3" s="343"/>
      <c r="L3" s="120"/>
      <c r="M3" s="121"/>
    </row>
    <row r="4" spans="1:15" s="119" customFormat="1" ht="13.5" customHeight="1" x14ac:dyDescent="0.3">
      <c r="C4" s="344" t="s">
        <v>282</v>
      </c>
      <c r="D4" s="344"/>
      <c r="E4" s="344"/>
      <c r="F4" s="344"/>
      <c r="G4" s="344"/>
      <c r="H4" s="344"/>
      <c r="I4" s="344"/>
      <c r="J4" s="344"/>
      <c r="L4" s="120"/>
      <c r="M4" s="121"/>
    </row>
    <row r="5" spans="1:15" s="119" customFormat="1" ht="13.5" customHeight="1" x14ac:dyDescent="0.3">
      <c r="C5" s="344" t="s">
        <v>214</v>
      </c>
      <c r="D5" s="344"/>
      <c r="E5" s="344"/>
      <c r="F5" s="344"/>
      <c r="G5" s="344"/>
      <c r="H5" s="344"/>
      <c r="I5" s="344"/>
      <c r="J5" s="344"/>
      <c r="L5" s="120"/>
      <c r="M5" s="121"/>
    </row>
    <row r="6" spans="1:15" s="119" customFormat="1" ht="13.5" thickBot="1" x14ac:dyDescent="0.35">
      <c r="C6" s="122"/>
      <c r="D6" s="122"/>
      <c r="E6" s="123"/>
      <c r="F6" s="123"/>
      <c r="G6" s="123"/>
      <c r="H6" s="124"/>
      <c r="I6" s="126"/>
      <c r="J6" s="126"/>
      <c r="L6" s="120"/>
      <c r="M6" s="121"/>
    </row>
    <row r="7" spans="1:15" ht="69" customHeight="1" x14ac:dyDescent="0.25">
      <c r="C7" s="345" t="s">
        <v>158</v>
      </c>
      <c r="D7" s="347" t="s">
        <v>157</v>
      </c>
      <c r="E7" s="349" t="s">
        <v>215</v>
      </c>
      <c r="F7" s="349" t="s">
        <v>232</v>
      </c>
      <c r="G7" s="349" t="s">
        <v>233</v>
      </c>
      <c r="H7" s="349" t="s">
        <v>234</v>
      </c>
      <c r="I7" s="340" t="s">
        <v>214</v>
      </c>
      <c r="J7" s="341"/>
    </row>
    <row r="8" spans="1:15" ht="103.5" customHeight="1" thickBot="1" x14ac:dyDescent="0.3">
      <c r="C8" s="346"/>
      <c r="D8" s="348"/>
      <c r="E8" s="350"/>
      <c r="F8" s="350"/>
      <c r="G8" s="350"/>
      <c r="H8" s="350"/>
      <c r="I8" s="278" t="s">
        <v>216</v>
      </c>
      <c r="J8" s="279" t="s">
        <v>217</v>
      </c>
    </row>
    <row r="9" spans="1:15" ht="26.25" customHeight="1" thickBot="1" x14ac:dyDescent="0.3">
      <c r="A9" s="144" t="s">
        <v>218</v>
      </c>
      <c r="C9" s="82">
        <v>1</v>
      </c>
      <c r="D9" s="208" t="s">
        <v>273</v>
      </c>
      <c r="E9" s="177">
        <v>1</v>
      </c>
      <c r="F9" s="277">
        <v>8818688764</v>
      </c>
      <c r="G9" s="248">
        <v>9706.5893150003412</v>
      </c>
      <c r="H9" s="248">
        <v>341.20830003764337</v>
      </c>
      <c r="I9" s="275">
        <v>28.447694015442984</v>
      </c>
      <c r="J9" s="273">
        <v>120</v>
      </c>
      <c r="K9" s="173"/>
      <c r="L9" s="130"/>
      <c r="M9" s="131"/>
      <c r="N9" s="118"/>
      <c r="O9" s="118"/>
    </row>
    <row r="10" spans="1:15" ht="26.25" customHeight="1" thickBot="1" x14ac:dyDescent="0.3">
      <c r="A10" s="148">
        <v>1</v>
      </c>
      <c r="C10" s="247" t="s">
        <v>278</v>
      </c>
      <c r="D10" s="252" t="s">
        <v>279</v>
      </c>
      <c r="E10" s="253">
        <v>0.95</v>
      </c>
      <c r="F10" s="250">
        <v>0</v>
      </c>
      <c r="G10" s="249">
        <v>0</v>
      </c>
      <c r="H10" s="250"/>
      <c r="I10" s="205"/>
      <c r="J10" s="212"/>
      <c r="K10" s="173"/>
      <c r="L10" s="130"/>
      <c r="M10" s="131"/>
      <c r="N10" s="118"/>
      <c r="O10" s="118"/>
    </row>
    <row r="11" spans="1:15" ht="26.25" customHeight="1" x14ac:dyDescent="0.25">
      <c r="A11" s="240"/>
      <c r="C11" s="247" t="s">
        <v>280</v>
      </c>
      <c r="D11" s="252" t="s">
        <v>281</v>
      </c>
      <c r="E11" s="253">
        <v>0.05</v>
      </c>
      <c r="F11" s="250">
        <v>8818688764</v>
      </c>
      <c r="G11" s="260">
        <v>9706.5893150003412</v>
      </c>
      <c r="H11" s="250"/>
      <c r="I11" s="214"/>
      <c r="J11" s="215"/>
      <c r="K11" s="173"/>
      <c r="L11" s="130"/>
      <c r="M11" s="131"/>
      <c r="N11" s="118"/>
      <c r="O11" s="118"/>
    </row>
    <row r="12" spans="1:15" ht="13" x14ac:dyDescent="0.25">
      <c r="A12" s="240"/>
      <c r="C12" s="176">
        <v>2</v>
      </c>
      <c r="D12" s="208" t="s">
        <v>274</v>
      </c>
      <c r="E12" s="177">
        <v>1</v>
      </c>
      <c r="F12" s="172">
        <v>7798925279.9499998</v>
      </c>
      <c r="G12" s="172">
        <v>8584.1519999977991</v>
      </c>
      <c r="H12" s="248">
        <v>341.20830003764337</v>
      </c>
      <c r="I12" s="151">
        <v>25.158098437379053</v>
      </c>
      <c r="J12" s="152">
        <v>120</v>
      </c>
      <c r="K12" s="173"/>
    </row>
    <row r="13" spans="1:15" ht="17.25" customHeight="1" x14ac:dyDescent="0.25">
      <c r="A13" s="240"/>
      <c r="C13" s="176">
        <v>3</v>
      </c>
      <c r="D13" s="208" t="s">
        <v>275</v>
      </c>
      <c r="E13" s="177">
        <v>1</v>
      </c>
      <c r="F13" s="172">
        <v>58185687125.360001</v>
      </c>
      <c r="G13" s="172">
        <v>64044.052812313574</v>
      </c>
      <c r="H13" s="248">
        <v>341.20830003764337</v>
      </c>
      <c r="I13" s="151">
        <v>187.697816276005</v>
      </c>
      <c r="J13" s="152">
        <v>120</v>
      </c>
      <c r="K13" s="173"/>
      <c r="L13" s="130"/>
      <c r="M13" s="131"/>
      <c r="N13" s="118"/>
      <c r="O13" s="118"/>
    </row>
    <row r="14" spans="1:15" ht="19.5" customHeight="1" x14ac:dyDescent="0.25">
      <c r="A14" s="240"/>
      <c r="C14" s="176">
        <v>4</v>
      </c>
      <c r="D14" s="208" t="s">
        <v>276</v>
      </c>
      <c r="E14" s="177">
        <v>1</v>
      </c>
      <c r="F14" s="172">
        <v>9402706252.6100006</v>
      </c>
      <c r="G14" s="172">
        <v>10349.408000002202</v>
      </c>
      <c r="H14" s="248">
        <v>341.20830003764337</v>
      </c>
      <c r="I14" s="151">
        <v>30.331641987784053</v>
      </c>
      <c r="J14" s="152">
        <v>120</v>
      </c>
      <c r="K14" s="173"/>
    </row>
    <row r="15" spans="1:15" ht="19.5" customHeight="1" x14ac:dyDescent="0.25">
      <c r="A15" s="240"/>
      <c r="C15" s="176">
        <v>5</v>
      </c>
      <c r="D15" s="208" t="s">
        <v>271</v>
      </c>
      <c r="E15" s="177">
        <v>1</v>
      </c>
      <c r="F15" s="172">
        <v>6488833604</v>
      </c>
      <c r="G15" s="172">
        <v>7142.1550995788784</v>
      </c>
      <c r="H15" s="248">
        <v>341.20830003764337</v>
      </c>
      <c r="I15" s="151">
        <v>20.931950069183337</v>
      </c>
      <c r="J15" s="152">
        <v>120</v>
      </c>
      <c r="K15" s="173"/>
      <c r="L15" s="130"/>
      <c r="M15" s="131"/>
      <c r="N15" s="118"/>
      <c r="O15" s="118"/>
    </row>
    <row r="16" spans="1:15" ht="20.25" customHeight="1" thickBot="1" x14ac:dyDescent="0.3">
      <c r="A16" s="239"/>
      <c r="C16" s="241">
        <v>6</v>
      </c>
      <c r="D16" s="242" t="s">
        <v>277</v>
      </c>
      <c r="E16" s="243">
        <v>1</v>
      </c>
      <c r="F16" s="244">
        <v>19113907678.98</v>
      </c>
      <c r="G16" s="244">
        <v>21038.371691046817</v>
      </c>
      <c r="H16" s="251">
        <v>341.20830003764337</v>
      </c>
      <c r="I16" s="245">
        <v>61.658440573473115</v>
      </c>
      <c r="J16" s="246">
        <v>120</v>
      </c>
      <c r="K16" s="173"/>
    </row>
  </sheetData>
  <sheetProtection selectLockedCells="1" selectUnlockedCells="1"/>
  <mergeCells count="11">
    <mergeCell ref="I7:J7"/>
    <mergeCell ref="C2:J2"/>
    <mergeCell ref="C3:J3"/>
    <mergeCell ref="C4:J4"/>
    <mergeCell ref="C5:J5"/>
    <mergeCell ref="C7:C8"/>
    <mergeCell ref="D7:D8"/>
    <mergeCell ref="E7:E8"/>
    <mergeCell ref="F7:F8"/>
    <mergeCell ref="H7:H8"/>
    <mergeCell ref="G7:G8"/>
  </mergeCells>
  <conditionalFormatting sqref="E6:H6">
    <cfRule type="expression" dxfId="68" priority="1112" stopIfTrue="1">
      <formula>IF($B6-INT($B6)&gt;0,TRUE,FALSE)</formula>
    </cfRule>
  </conditionalFormatting>
  <conditionalFormatting sqref="D6 I6:J6 D9:D12">
    <cfRule type="cellIs" dxfId="67" priority="1113" stopIfTrue="1" operator="equal">
      <formula>"NO ADMISIBLE"</formula>
    </cfRule>
  </conditionalFormatting>
  <conditionalFormatting sqref="J9">
    <cfRule type="expression" dxfId="66" priority="1107" stopIfTrue="1">
      <formula>IF($B1-INT($B1)&gt;0,TRUE,FALSE)</formula>
    </cfRule>
  </conditionalFormatting>
  <conditionalFormatting sqref="E9:E12">
    <cfRule type="expression" dxfId="65" priority="1114" stopIfTrue="1">
      <formula>IF(#REF!-INT(#REF!)&gt;0,TRUE,FALSE)</formula>
    </cfRule>
  </conditionalFormatting>
  <conditionalFormatting sqref="F12:G12 F9:H11">
    <cfRule type="expression" dxfId="64" priority="1106" stopIfTrue="1">
      <formula>IF(#REF!-INT(#REF!)&gt;0,TRUE,FALSE)</formula>
    </cfRule>
  </conditionalFormatting>
  <conditionalFormatting sqref="D13:D16">
    <cfRule type="cellIs" dxfId="63" priority="11" stopIfTrue="1" operator="equal">
      <formula>"NO ADMISIBLE"</formula>
    </cfRule>
  </conditionalFormatting>
  <conditionalFormatting sqref="I12:J12 I13 I14:J16">
    <cfRule type="expression" dxfId="62" priority="10" stopIfTrue="1">
      <formula>IF($B2-INT($B2)&gt;0,TRUE,FALSE)</formula>
    </cfRule>
  </conditionalFormatting>
  <conditionalFormatting sqref="E13:E16">
    <cfRule type="expression" dxfId="61" priority="12" stopIfTrue="1">
      <formula>IF(#REF!-INT(#REF!)&gt;0,TRUE,FALSE)</formula>
    </cfRule>
  </conditionalFormatting>
  <conditionalFormatting sqref="F13:G16">
    <cfRule type="expression" dxfId="60" priority="9" stopIfTrue="1">
      <formula>IF(#REF!-INT(#REF!)&gt;0,TRUE,FALSE)</formula>
    </cfRule>
  </conditionalFormatting>
  <conditionalFormatting sqref="J13">
    <cfRule type="expression" dxfId="59" priority="8" stopIfTrue="1">
      <formula>IF($B3-INT($B3)&gt;0,TRUE,FALSE)</formula>
    </cfRule>
  </conditionalFormatting>
  <conditionalFormatting sqref="I9">
    <cfRule type="expression" dxfId="58" priority="6" stopIfTrue="1">
      <formula>IF($B1048575-INT($B1048575)&gt;0,TRUE,FALSE)</formula>
    </cfRule>
  </conditionalFormatting>
  <conditionalFormatting sqref="H12:H16">
    <cfRule type="expression" dxfId="57" priority="5" stopIfTrue="1">
      <formula>IF(#REF!-INT(#REF!)&gt;0,TRUE,FALSE)</formula>
    </cfRule>
  </conditionalFormatting>
  <conditionalFormatting sqref="I10">
    <cfRule type="expression" dxfId="56" priority="4" stopIfTrue="1">
      <formula>IF($B1048576-INT($B1048576)&gt;0,TRUE,FALSE)</formula>
    </cfRule>
  </conditionalFormatting>
  <conditionalFormatting sqref="I11">
    <cfRule type="expression" dxfId="55" priority="3" stopIfTrue="1">
      <formula>IF($B1-INT($B1)&gt;0,TRUE,FALSE)</formula>
    </cfRule>
  </conditionalFormatting>
  <conditionalFormatting sqref="J11">
    <cfRule type="expression" dxfId="54" priority="2" stopIfTrue="1">
      <formula>IF($B1-INT($B1)&gt;0,TRUE,FALSE)</formula>
    </cfRule>
  </conditionalFormatting>
  <conditionalFormatting sqref="J10">
    <cfRule type="expression" dxfId="53" priority="1" stopIfTrue="1">
      <formula>IF($B1048576-INT($B1048576)&gt;0,TRUE,FALSE)</formula>
    </cfRule>
  </conditionalFormatting>
  <dataValidations count="1">
    <dataValidation type="list" allowBlank="1" showInputMessage="1" showErrorMessage="1" sqref="D6 D9:D16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4" name="Button 1">
              <controlPr defaultSize="0" print="0" autoFill="0" autoPict="0" macro="[0]!MacroExp">
                <anchor moveWithCells="1" sizeWithCells="1">
                  <from>
                    <xdr:col>0</xdr:col>
                    <xdr:colOff>222250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3"/>
  <dimension ref="C2:K14"/>
  <sheetViews>
    <sheetView zoomScale="85" zoomScaleNormal="85" workbookViewId="0">
      <selection activeCell="F11" sqref="F11"/>
    </sheetView>
  </sheetViews>
  <sheetFormatPr baseColWidth="10" defaultColWidth="11.453125" defaultRowHeight="12.5" x14ac:dyDescent="0.25"/>
  <cols>
    <col min="1" max="1" width="11.453125" style="117" customWidth="1"/>
    <col min="2" max="2" width="11.26953125" style="117" customWidth="1"/>
    <col min="3" max="3" width="5.7265625" style="117" customWidth="1"/>
    <col min="4" max="4" width="29.453125" style="117" customWidth="1"/>
    <col min="5" max="5" width="35" style="116" customWidth="1"/>
    <col min="6" max="6" width="35" style="147" customWidth="1"/>
    <col min="7" max="7" width="11.453125" style="117"/>
    <col min="8" max="8" width="13.81640625" style="128" customWidth="1"/>
    <col min="9" max="9" width="9.7265625" style="129" customWidth="1"/>
    <col min="10" max="10" width="12.54296875" style="117" customWidth="1"/>
    <col min="11" max="11" width="12.7265625" style="117" customWidth="1"/>
    <col min="12" max="16384" width="11.453125" style="117"/>
  </cols>
  <sheetData>
    <row r="2" spans="3:11" s="119" customFormat="1" ht="20.25" customHeight="1" x14ac:dyDescent="0.3">
      <c r="C2" s="342" t="s">
        <v>198</v>
      </c>
      <c r="D2" s="342"/>
      <c r="E2" s="342"/>
      <c r="F2" s="342"/>
      <c r="H2" s="120"/>
      <c r="I2" s="121"/>
    </row>
    <row r="3" spans="3:11" s="119" customFormat="1" ht="18" customHeight="1" x14ac:dyDescent="0.3">
      <c r="C3" s="343" t="s">
        <v>212</v>
      </c>
      <c r="D3" s="343"/>
      <c r="E3" s="343"/>
      <c r="F3" s="343"/>
      <c r="H3" s="120"/>
      <c r="I3" s="121"/>
    </row>
    <row r="4" spans="3:11" s="119" customFormat="1" ht="13.5" customHeight="1" x14ac:dyDescent="0.3">
      <c r="C4" s="344" t="s">
        <v>282</v>
      </c>
      <c r="D4" s="344"/>
      <c r="E4" s="344"/>
      <c r="F4" s="344"/>
      <c r="H4" s="120"/>
      <c r="I4" s="121"/>
    </row>
    <row r="5" spans="3:11" s="119" customFormat="1" ht="13.5" customHeight="1" x14ac:dyDescent="0.3">
      <c r="C5" s="344" t="s">
        <v>211</v>
      </c>
      <c r="D5" s="344"/>
      <c r="E5" s="344"/>
      <c r="F5" s="344"/>
      <c r="H5" s="120"/>
      <c r="I5" s="121"/>
    </row>
    <row r="6" spans="3:11" s="119" customFormat="1" ht="13.5" thickBot="1" x14ac:dyDescent="0.35">
      <c r="C6" s="122"/>
      <c r="D6" s="122"/>
      <c r="E6" s="125"/>
      <c r="F6" s="126"/>
      <c r="H6" s="120"/>
      <c r="I6" s="121"/>
    </row>
    <row r="7" spans="3:11" ht="19.5" customHeight="1" x14ac:dyDescent="0.25">
      <c r="C7" s="345" t="s">
        <v>158</v>
      </c>
      <c r="D7" s="347" t="s">
        <v>157</v>
      </c>
      <c r="E7" s="149" t="s">
        <v>201</v>
      </c>
      <c r="F7" s="150" t="s">
        <v>211</v>
      </c>
    </row>
    <row r="8" spans="3:11" ht="67.5" customHeight="1" thickBot="1" x14ac:dyDescent="0.3">
      <c r="C8" s="346"/>
      <c r="D8" s="348"/>
      <c r="E8" s="278" t="s">
        <v>202</v>
      </c>
      <c r="F8" s="279" t="s">
        <v>213</v>
      </c>
    </row>
    <row r="9" spans="3:11" ht="26" x14ac:dyDescent="0.25">
      <c r="C9" s="209">
        <v>1</v>
      </c>
      <c r="D9" s="198" t="s">
        <v>273</v>
      </c>
      <c r="E9" s="228">
        <v>3</v>
      </c>
      <c r="F9" s="210">
        <v>20</v>
      </c>
      <c r="H9" s="130"/>
      <c r="I9" s="131"/>
      <c r="J9" s="118"/>
      <c r="K9" s="118"/>
    </row>
    <row r="10" spans="3:11" ht="13" x14ac:dyDescent="0.25">
      <c r="C10" s="211">
        <v>2</v>
      </c>
      <c r="D10" s="203" t="s">
        <v>274</v>
      </c>
      <c r="E10" s="229">
        <v>1</v>
      </c>
      <c r="F10" s="212">
        <v>20</v>
      </c>
      <c r="G10" s="173"/>
    </row>
    <row r="11" spans="3:11" ht="13" x14ac:dyDescent="0.25">
      <c r="C11" s="211">
        <v>3</v>
      </c>
      <c r="D11" s="203" t="s">
        <v>275</v>
      </c>
      <c r="E11" s="229">
        <v>2</v>
      </c>
      <c r="F11" s="212">
        <v>20</v>
      </c>
      <c r="G11" s="173"/>
    </row>
    <row r="12" spans="3:11" ht="13" x14ac:dyDescent="0.25">
      <c r="C12" s="211">
        <v>4</v>
      </c>
      <c r="D12" s="203" t="s">
        <v>276</v>
      </c>
      <c r="E12" s="229">
        <v>1</v>
      </c>
      <c r="F12" s="212">
        <v>20</v>
      </c>
      <c r="G12" s="173"/>
    </row>
    <row r="13" spans="3:11" ht="13" x14ac:dyDescent="0.25">
      <c r="C13" s="211">
        <v>5</v>
      </c>
      <c r="D13" s="203" t="s">
        <v>271</v>
      </c>
      <c r="E13" s="229">
        <v>1</v>
      </c>
      <c r="F13" s="212">
        <v>20</v>
      </c>
      <c r="G13" s="173"/>
    </row>
    <row r="14" spans="3:11" ht="13" x14ac:dyDescent="0.25">
      <c r="C14" s="211">
        <v>6</v>
      </c>
      <c r="D14" s="203" t="s">
        <v>277</v>
      </c>
      <c r="E14" s="229">
        <v>1</v>
      </c>
      <c r="F14" s="212">
        <v>20</v>
      </c>
      <c r="G14" s="173"/>
    </row>
  </sheetData>
  <sheetProtection selectLockedCells="1" selectUnlockedCells="1"/>
  <mergeCells count="6">
    <mergeCell ref="C2:F2"/>
    <mergeCell ref="C3:F3"/>
    <mergeCell ref="C4:F4"/>
    <mergeCell ref="C5:F5"/>
    <mergeCell ref="C7:C8"/>
    <mergeCell ref="D7:D8"/>
  </mergeCells>
  <conditionalFormatting sqref="E6">
    <cfRule type="expression" dxfId="52" priority="252" stopIfTrue="1">
      <formula>IF($B6-INT($B6)&gt;0,TRUE,FALSE)</formula>
    </cfRule>
  </conditionalFormatting>
  <conditionalFormatting sqref="D6 F6 D9:D10">
    <cfRule type="cellIs" dxfId="51" priority="253" stopIfTrue="1" operator="equal">
      <formula>"NO ADMISIBLE"</formula>
    </cfRule>
  </conditionalFormatting>
  <conditionalFormatting sqref="F9:F10">
    <cfRule type="expression" dxfId="50" priority="247" stopIfTrue="1">
      <formula>IF($B1-INT($B1)&gt;0,TRUE,FALSE)</formula>
    </cfRule>
  </conditionalFormatting>
  <conditionalFormatting sqref="E9:E10">
    <cfRule type="expression" dxfId="49" priority="254" stopIfTrue="1">
      <formula>IF(#REF!-INT(#REF!)&gt;0,TRUE,FALSE)</formula>
    </cfRule>
  </conditionalFormatting>
  <conditionalFormatting sqref="F11:F14">
    <cfRule type="expression" dxfId="48" priority="1" stopIfTrue="1">
      <formula>IF($B3-INT($B3)&gt;0,TRUE,FALSE)</formula>
    </cfRule>
  </conditionalFormatting>
  <conditionalFormatting sqref="D11:D14">
    <cfRule type="cellIs" dxfId="47" priority="2" stopIfTrue="1" operator="equal">
      <formula>"NO ADMISIBLE"</formula>
    </cfRule>
  </conditionalFormatting>
  <conditionalFormatting sqref="E11:E14">
    <cfRule type="expression" dxfId="46" priority="3" stopIfTrue="1">
      <formula>IF(#REF!-INT(#REF!)&gt;0,TRUE,FALSE)</formula>
    </cfRule>
  </conditionalFormatting>
  <dataValidations count="1">
    <dataValidation type="list" allowBlank="1" showInputMessage="1" showErrorMessage="1" sqref="D6 D9:D14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MacroCT">
                <anchor moveWithCells="1" sizeWithCells="1">
                  <from>
                    <xdr:col>0</xdr:col>
                    <xdr:colOff>222250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0"/>
  <dimension ref="C2:M16"/>
  <sheetViews>
    <sheetView zoomScale="70" zoomScaleNormal="70" workbookViewId="0">
      <selection activeCell="H9" sqref="H9"/>
    </sheetView>
  </sheetViews>
  <sheetFormatPr baseColWidth="10" defaultColWidth="11.453125" defaultRowHeight="12.5" x14ac:dyDescent="0.25"/>
  <cols>
    <col min="1" max="1" width="11.453125" style="117" customWidth="1"/>
    <col min="2" max="2" width="11.26953125" style="117" customWidth="1"/>
    <col min="3" max="3" width="3.81640625" style="117" customWidth="1"/>
    <col min="4" max="4" width="29.453125" style="117" customWidth="1"/>
    <col min="5" max="5" width="20.1796875" style="107" customWidth="1"/>
    <col min="6" max="6" width="18.7265625" style="107" customWidth="1"/>
    <col min="7" max="7" width="14.7265625" style="107" bestFit="1" customWidth="1"/>
    <col min="8" max="8" width="42.453125" style="107" customWidth="1"/>
    <col min="9" max="9" width="11.453125" style="117"/>
    <col min="10" max="10" width="13.81640625" style="128" customWidth="1"/>
    <col min="11" max="11" width="9.7265625" style="129" customWidth="1"/>
    <col min="12" max="12" width="12.54296875" style="117" customWidth="1"/>
    <col min="13" max="13" width="12.7265625" style="117" customWidth="1"/>
    <col min="14" max="16384" width="11.453125" style="117"/>
  </cols>
  <sheetData>
    <row r="2" spans="3:13" s="119" customFormat="1" ht="20.25" customHeight="1" x14ac:dyDescent="0.3">
      <c r="C2" s="342" t="s">
        <v>198</v>
      </c>
      <c r="D2" s="342"/>
      <c r="E2" s="342"/>
      <c r="F2" s="342"/>
      <c r="G2" s="342"/>
      <c r="H2" s="342"/>
      <c r="J2" s="120"/>
      <c r="K2" s="121"/>
    </row>
    <row r="3" spans="3:13" s="119" customFormat="1" ht="18" customHeight="1" x14ac:dyDescent="0.3">
      <c r="C3" s="343" t="s">
        <v>212</v>
      </c>
      <c r="D3" s="343"/>
      <c r="E3" s="343"/>
      <c r="F3" s="343"/>
      <c r="G3" s="343"/>
      <c r="H3" s="343"/>
      <c r="J3" s="120"/>
      <c r="K3" s="121"/>
    </row>
    <row r="4" spans="3:13" s="119" customFormat="1" ht="13.5" customHeight="1" x14ac:dyDescent="0.3">
      <c r="C4" s="344" t="s">
        <v>282</v>
      </c>
      <c r="D4" s="344"/>
      <c r="E4" s="344"/>
      <c r="F4" s="344"/>
      <c r="G4" s="344"/>
      <c r="H4" s="344"/>
      <c r="J4" s="120"/>
      <c r="K4" s="121"/>
    </row>
    <row r="5" spans="3:13" s="119" customFormat="1" ht="13.5" customHeight="1" x14ac:dyDescent="0.3">
      <c r="C5" s="344" t="s">
        <v>219</v>
      </c>
      <c r="D5" s="344"/>
      <c r="E5" s="344"/>
      <c r="F5" s="344"/>
      <c r="G5" s="344"/>
      <c r="H5" s="344"/>
      <c r="J5" s="120"/>
      <c r="K5" s="121"/>
    </row>
    <row r="6" spans="3:13" s="119" customFormat="1" ht="13.5" thickBot="1" x14ac:dyDescent="0.35">
      <c r="C6" s="122"/>
      <c r="D6" s="122"/>
      <c r="E6" s="126"/>
      <c r="F6" s="126"/>
      <c r="G6" s="126"/>
      <c r="H6" s="126"/>
      <c r="J6" s="120"/>
      <c r="K6" s="121"/>
    </row>
    <row r="7" spans="3:13" ht="43.5" customHeight="1" x14ac:dyDescent="0.25">
      <c r="C7" s="345" t="s">
        <v>158</v>
      </c>
      <c r="D7" s="347" t="s">
        <v>157</v>
      </c>
      <c r="E7" s="349" t="s">
        <v>220</v>
      </c>
      <c r="F7" s="351" t="s">
        <v>221</v>
      </c>
      <c r="G7" s="351" t="s">
        <v>222</v>
      </c>
      <c r="H7" s="150" t="s">
        <v>219</v>
      </c>
    </row>
    <row r="8" spans="3:13" ht="84.75" customHeight="1" thickBot="1" x14ac:dyDescent="0.3">
      <c r="C8" s="346"/>
      <c r="D8" s="348"/>
      <c r="E8" s="350"/>
      <c r="F8" s="352"/>
      <c r="G8" s="352"/>
      <c r="H8" s="279" t="s">
        <v>223</v>
      </c>
    </row>
    <row r="9" spans="3:13" ht="26" x14ac:dyDescent="0.25">
      <c r="C9" s="194">
        <v>1</v>
      </c>
      <c r="D9" s="198" t="s">
        <v>273</v>
      </c>
      <c r="E9" s="271">
        <v>5824766292</v>
      </c>
      <c r="F9" s="271">
        <v>460521096</v>
      </c>
      <c r="G9" s="272">
        <v>12.648207308183771</v>
      </c>
      <c r="H9" s="273">
        <v>40</v>
      </c>
      <c r="J9" s="130"/>
      <c r="K9" s="131"/>
      <c r="L9" s="118"/>
      <c r="M9" s="118"/>
    </row>
    <row r="10" spans="3:13" ht="21" customHeight="1" x14ac:dyDescent="0.25">
      <c r="C10" s="254" t="s">
        <v>278</v>
      </c>
      <c r="D10" s="255" t="s">
        <v>279</v>
      </c>
      <c r="E10" s="256">
        <v>5140608292</v>
      </c>
      <c r="F10" s="256">
        <v>392201096</v>
      </c>
      <c r="G10" s="214"/>
      <c r="H10" s="215"/>
      <c r="J10" s="130"/>
      <c r="K10" s="131"/>
      <c r="L10" s="118"/>
      <c r="M10" s="118"/>
    </row>
    <row r="11" spans="3:13" ht="24.75" customHeight="1" x14ac:dyDescent="0.25">
      <c r="C11" s="254" t="s">
        <v>280</v>
      </c>
      <c r="D11" s="255" t="s">
        <v>281</v>
      </c>
      <c r="E11" s="256">
        <v>684158000</v>
      </c>
      <c r="F11" s="256">
        <v>68320000</v>
      </c>
      <c r="G11" s="214"/>
      <c r="H11" s="215"/>
      <c r="J11" s="130"/>
      <c r="K11" s="131"/>
      <c r="L11" s="118"/>
      <c r="M11" s="118"/>
    </row>
    <row r="12" spans="3:13" ht="26.25" customHeight="1" x14ac:dyDescent="0.25">
      <c r="C12" s="213">
        <v>2</v>
      </c>
      <c r="D12" s="203" t="s">
        <v>274</v>
      </c>
      <c r="E12" s="274">
        <v>370846798</v>
      </c>
      <c r="F12" s="274">
        <v>75000000</v>
      </c>
      <c r="G12" s="275">
        <v>4.944623973333333</v>
      </c>
      <c r="H12" s="276">
        <v>40</v>
      </c>
    </row>
    <row r="13" spans="3:13" ht="26.25" customHeight="1" x14ac:dyDescent="0.25">
      <c r="C13" s="213">
        <v>3</v>
      </c>
      <c r="D13" s="203" t="s">
        <v>275</v>
      </c>
      <c r="E13" s="274">
        <v>1664755787</v>
      </c>
      <c r="F13" s="274">
        <v>117164706</v>
      </c>
      <c r="G13" s="275">
        <v>14.20867976231682</v>
      </c>
      <c r="H13" s="276">
        <v>40</v>
      </c>
    </row>
    <row r="14" spans="3:13" ht="26.25" customHeight="1" x14ac:dyDescent="0.25">
      <c r="C14" s="213">
        <v>4</v>
      </c>
      <c r="D14" s="203" t="s">
        <v>276</v>
      </c>
      <c r="E14" s="274">
        <v>673997885</v>
      </c>
      <c r="F14" s="274">
        <v>12389204</v>
      </c>
      <c r="G14" s="275">
        <v>54.402033011967518</v>
      </c>
      <c r="H14" s="276">
        <v>40</v>
      </c>
    </row>
    <row r="15" spans="3:13" ht="26.25" customHeight="1" x14ac:dyDescent="0.25">
      <c r="C15" s="213">
        <v>5</v>
      </c>
      <c r="D15" s="203" t="s">
        <v>271</v>
      </c>
      <c r="E15" s="274">
        <v>323703581</v>
      </c>
      <c r="F15" s="274">
        <v>6310000</v>
      </c>
      <c r="G15" s="275">
        <v>51.300092076069731</v>
      </c>
      <c r="H15" s="276">
        <v>40</v>
      </c>
    </row>
    <row r="16" spans="3:13" ht="26.25" customHeight="1" x14ac:dyDescent="0.25">
      <c r="C16" s="213">
        <v>6</v>
      </c>
      <c r="D16" s="203" t="s">
        <v>277</v>
      </c>
      <c r="E16" s="274">
        <v>1377407022</v>
      </c>
      <c r="F16" s="274">
        <v>192651158</v>
      </c>
      <c r="G16" s="275">
        <v>7.1497469119806691</v>
      </c>
      <c r="H16" s="276">
        <v>40</v>
      </c>
    </row>
  </sheetData>
  <sheetProtection selectLockedCells="1" selectUnlockedCells="1"/>
  <mergeCells count="9">
    <mergeCell ref="E7:E8"/>
    <mergeCell ref="F7:F8"/>
    <mergeCell ref="G7:G8"/>
    <mergeCell ref="C2:H2"/>
    <mergeCell ref="C3:H3"/>
    <mergeCell ref="C4:H4"/>
    <mergeCell ref="C5:H5"/>
    <mergeCell ref="C7:C8"/>
    <mergeCell ref="D7:D8"/>
  </mergeCells>
  <conditionalFormatting sqref="D6:H6">
    <cfRule type="cellIs" dxfId="45" priority="498" stopIfTrue="1" operator="equal">
      <formula>"NO ADMISIBLE"</formula>
    </cfRule>
  </conditionalFormatting>
  <conditionalFormatting sqref="G9:H9">
    <cfRule type="expression" dxfId="44" priority="492" stopIfTrue="1">
      <formula>IF($B1-INT($B1)&gt;0,TRUE,FALSE)</formula>
    </cfRule>
  </conditionalFormatting>
  <conditionalFormatting sqref="D9:D12">
    <cfRule type="cellIs" dxfId="43" priority="4" stopIfTrue="1" operator="equal">
      <formula>"NO ADMISIBLE"</formula>
    </cfRule>
  </conditionalFormatting>
  <conditionalFormatting sqref="G12:H16">
    <cfRule type="expression" dxfId="42" priority="5" stopIfTrue="1">
      <formula>IF($B2-INT($B2)&gt;0,TRUE,FALSE)</formula>
    </cfRule>
  </conditionalFormatting>
  <conditionalFormatting sqref="D13:D16">
    <cfRule type="cellIs" dxfId="41" priority="3" stopIfTrue="1" operator="equal">
      <formula>"NO ADMISIBLE"</formula>
    </cfRule>
  </conditionalFormatting>
  <conditionalFormatting sqref="G10:G11">
    <cfRule type="expression" dxfId="40" priority="2" stopIfTrue="1">
      <formula>IF($B1048576-INT($B1048576)&gt;0,TRUE,FALSE)</formula>
    </cfRule>
  </conditionalFormatting>
  <conditionalFormatting sqref="H10:H11">
    <cfRule type="expression" dxfId="39" priority="1" stopIfTrue="1">
      <formula>IF($B1048576-INT($B1048576)&gt;0,TRUE,FALSE)</formula>
    </cfRule>
  </conditionalFormatting>
  <dataValidations count="1">
    <dataValidation type="list" allowBlank="1" showInputMessage="1" showErrorMessage="1" sqref="D6 D9:D16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1" r:id="rId4" name="Button 1">
              <controlPr defaultSize="0" print="0" autoFill="0" autoPict="0" macro="[0]!MacroCF">
                <anchor moveWithCells="1" sizeWithCells="1">
                  <from>
                    <xdr:col>0</xdr:col>
                    <xdr:colOff>222250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2"/>
  <dimension ref="C2:J16"/>
  <sheetViews>
    <sheetView zoomScale="85" zoomScaleNormal="85" workbookViewId="0">
      <selection activeCell="E12" sqref="E12"/>
    </sheetView>
  </sheetViews>
  <sheetFormatPr baseColWidth="10" defaultColWidth="11.453125" defaultRowHeight="12.5" x14ac:dyDescent="0.25"/>
  <cols>
    <col min="1" max="1" width="11.453125" style="117" customWidth="1"/>
    <col min="2" max="2" width="11.26953125" style="117" customWidth="1"/>
    <col min="3" max="3" width="3.81640625" style="117" customWidth="1"/>
    <col min="4" max="4" width="34.1796875" style="117" customWidth="1"/>
    <col min="5" max="5" width="42" style="107" customWidth="1"/>
    <col min="6" max="6" width="11.453125" style="117"/>
    <col min="7" max="7" width="13.81640625" style="128" customWidth="1"/>
    <col min="8" max="8" width="9.7265625" style="129" customWidth="1"/>
    <col min="9" max="9" width="12.54296875" style="117" customWidth="1"/>
    <col min="10" max="10" width="12.7265625" style="117" customWidth="1"/>
    <col min="11" max="16384" width="11.453125" style="117"/>
  </cols>
  <sheetData>
    <row r="2" spans="3:10" s="119" customFormat="1" ht="20.25" customHeight="1" x14ac:dyDescent="0.3">
      <c r="C2" s="342" t="s">
        <v>198</v>
      </c>
      <c r="D2" s="342"/>
      <c r="E2" s="342"/>
      <c r="G2" s="120"/>
      <c r="H2" s="121"/>
    </row>
    <row r="3" spans="3:10" s="119" customFormat="1" ht="18" customHeight="1" x14ac:dyDescent="0.3">
      <c r="C3" s="343" t="s">
        <v>212</v>
      </c>
      <c r="D3" s="343"/>
      <c r="E3" s="343"/>
      <c r="G3" s="120"/>
      <c r="H3" s="121"/>
    </row>
    <row r="4" spans="3:10" s="119" customFormat="1" ht="13.5" customHeight="1" x14ac:dyDescent="0.3">
      <c r="C4" s="344" t="s">
        <v>282</v>
      </c>
      <c r="D4" s="344"/>
      <c r="E4" s="344"/>
      <c r="G4" s="120"/>
      <c r="H4" s="121"/>
    </row>
    <row r="5" spans="3:10" s="119" customFormat="1" ht="13.5" customHeight="1" x14ac:dyDescent="0.3">
      <c r="C5" s="344" t="s">
        <v>224</v>
      </c>
      <c r="D5" s="344"/>
      <c r="E5" s="344"/>
      <c r="G5" s="120"/>
      <c r="H5" s="121"/>
    </row>
    <row r="6" spans="3:10" s="119" customFormat="1" ht="13.5" thickBot="1" x14ac:dyDescent="0.35">
      <c r="C6" s="122"/>
      <c r="D6" s="122"/>
      <c r="E6" s="126"/>
      <c r="G6" s="120"/>
      <c r="H6" s="121"/>
    </row>
    <row r="7" spans="3:10" ht="36" customHeight="1" x14ac:dyDescent="0.25">
      <c r="C7" s="345" t="s">
        <v>158</v>
      </c>
      <c r="D7" s="347" t="s">
        <v>157</v>
      </c>
      <c r="E7" s="353" t="s">
        <v>225</v>
      </c>
    </row>
    <row r="8" spans="3:10" ht="36" customHeight="1" thickBot="1" x14ac:dyDescent="0.3">
      <c r="C8" s="346"/>
      <c r="D8" s="348"/>
      <c r="E8" s="354"/>
    </row>
    <row r="9" spans="3:10" ht="13" x14ac:dyDescent="0.3">
      <c r="C9" s="194">
        <v>1</v>
      </c>
      <c r="D9" s="198" t="s">
        <v>273</v>
      </c>
      <c r="E9" s="236">
        <v>0</v>
      </c>
      <c r="G9" s="130"/>
      <c r="H9" s="131"/>
      <c r="I9" s="118"/>
      <c r="J9" s="118"/>
    </row>
    <row r="10" spans="3:10" ht="13" x14ac:dyDescent="0.3">
      <c r="C10" s="254" t="s">
        <v>278</v>
      </c>
      <c r="D10" s="255" t="s">
        <v>279</v>
      </c>
      <c r="E10" s="259">
        <v>0</v>
      </c>
      <c r="G10" s="130"/>
      <c r="H10" s="131"/>
      <c r="I10" s="118"/>
      <c r="J10" s="118"/>
    </row>
    <row r="11" spans="3:10" ht="13" x14ac:dyDescent="0.3">
      <c r="C11" s="254" t="s">
        <v>280</v>
      </c>
      <c r="D11" s="255" t="s">
        <v>281</v>
      </c>
      <c r="E11" s="259">
        <v>0</v>
      </c>
      <c r="G11" s="130"/>
      <c r="H11" s="131"/>
      <c r="I11" s="118"/>
      <c r="J11" s="118"/>
    </row>
    <row r="12" spans="3:10" ht="13" x14ac:dyDescent="0.3">
      <c r="C12" s="213">
        <v>2</v>
      </c>
      <c r="D12" s="203" t="s">
        <v>274</v>
      </c>
      <c r="E12" s="237">
        <v>34953996.659999996</v>
      </c>
      <c r="F12" s="173"/>
    </row>
    <row r="13" spans="3:10" ht="13" x14ac:dyDescent="0.3">
      <c r="C13" s="213">
        <v>3</v>
      </c>
      <c r="D13" s="203" t="s">
        <v>275</v>
      </c>
      <c r="E13" s="237">
        <v>0</v>
      </c>
      <c r="F13" s="173"/>
    </row>
    <row r="14" spans="3:10" ht="13" x14ac:dyDescent="0.3">
      <c r="C14" s="213">
        <v>4</v>
      </c>
      <c r="D14" s="203" t="s">
        <v>276</v>
      </c>
      <c r="E14" s="237">
        <v>0</v>
      </c>
      <c r="F14" s="173"/>
    </row>
    <row r="15" spans="3:10" ht="13" x14ac:dyDescent="0.3">
      <c r="C15" s="213">
        <v>5</v>
      </c>
      <c r="D15" s="203" t="s">
        <v>271</v>
      </c>
      <c r="E15" s="237">
        <v>45576544.689999998</v>
      </c>
      <c r="F15" s="173"/>
    </row>
    <row r="16" spans="3:10" ht="13.5" thickBot="1" x14ac:dyDescent="0.35">
      <c r="C16" s="257">
        <v>6</v>
      </c>
      <c r="D16" s="203" t="s">
        <v>277</v>
      </c>
      <c r="E16" s="258">
        <v>0</v>
      </c>
      <c r="F16" s="173"/>
    </row>
  </sheetData>
  <sheetProtection selectLockedCells="1" selectUnlockedCells="1"/>
  <mergeCells count="7">
    <mergeCell ref="E7:E8"/>
    <mergeCell ref="C2:E2"/>
    <mergeCell ref="C3:E3"/>
    <mergeCell ref="C4:E4"/>
    <mergeCell ref="C5:E5"/>
    <mergeCell ref="C7:C8"/>
    <mergeCell ref="D7:D8"/>
  </mergeCells>
  <conditionalFormatting sqref="D6:E6">
    <cfRule type="cellIs" dxfId="38" priority="499" stopIfTrue="1" operator="equal">
      <formula>"NO ADMISIBLE"</formula>
    </cfRule>
  </conditionalFormatting>
  <conditionalFormatting sqref="D13:D16">
    <cfRule type="cellIs" dxfId="37" priority="2" stopIfTrue="1" operator="equal">
      <formula>"NO ADMISIBLE"</formula>
    </cfRule>
  </conditionalFormatting>
  <conditionalFormatting sqref="D9 D12">
    <cfRule type="cellIs" dxfId="36" priority="3" stopIfTrue="1" operator="equal">
      <formula>"NO ADMISIBLE"</formula>
    </cfRule>
  </conditionalFormatting>
  <conditionalFormatting sqref="D10:D11">
    <cfRule type="cellIs" dxfId="35" priority="1" stopIfTrue="1" operator="equal">
      <formula>"NO ADMISIBLE"</formula>
    </cfRule>
  </conditionalFormatting>
  <dataValidations disablePrompts="1" count="1">
    <dataValidation type="list" allowBlank="1" showInputMessage="1" showErrorMessage="1" sqref="D6 D9:D16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69" r:id="rId4" name="Button 1">
              <controlPr defaultSize="0" print="0" autoFill="0" autoPict="0" macro="[0]!MacroSaldoContratos">
                <anchor moveWithCells="1" sizeWithCells="1">
                  <from>
                    <xdr:col>0</xdr:col>
                    <xdr:colOff>222250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8"/>
  <dimension ref="C2:J16"/>
  <sheetViews>
    <sheetView zoomScale="85" zoomScaleNormal="85" workbookViewId="0">
      <selection activeCell="E10" sqref="E10"/>
    </sheetView>
  </sheetViews>
  <sheetFormatPr baseColWidth="10" defaultColWidth="11.453125" defaultRowHeight="12.5" x14ac:dyDescent="0.25"/>
  <cols>
    <col min="1" max="1" width="11.453125" style="117" customWidth="1"/>
    <col min="2" max="2" width="11.26953125" style="117" customWidth="1"/>
    <col min="3" max="3" width="3.81640625" style="117" customWidth="1"/>
    <col min="4" max="4" width="35.1796875" style="117" customWidth="1"/>
    <col min="5" max="5" width="68.1796875" style="107" customWidth="1"/>
    <col min="6" max="6" width="11.453125" style="117"/>
    <col min="7" max="7" width="13.81640625" style="128" customWidth="1"/>
    <col min="8" max="8" width="9.7265625" style="129" customWidth="1"/>
    <col min="9" max="9" width="12.54296875" style="117" customWidth="1"/>
    <col min="10" max="10" width="12.7265625" style="117" customWidth="1"/>
    <col min="11" max="16384" width="11.453125" style="117"/>
  </cols>
  <sheetData>
    <row r="2" spans="3:10" s="119" customFormat="1" ht="20.25" customHeight="1" x14ac:dyDescent="0.3">
      <c r="C2" s="342" t="s">
        <v>198</v>
      </c>
      <c r="D2" s="342"/>
      <c r="E2" s="342"/>
      <c r="G2" s="120"/>
      <c r="H2" s="121"/>
    </row>
    <row r="3" spans="3:10" s="119" customFormat="1" ht="18" customHeight="1" x14ac:dyDescent="0.3">
      <c r="C3" s="343" t="s">
        <v>212</v>
      </c>
      <c r="D3" s="343"/>
      <c r="E3" s="343"/>
      <c r="G3" s="120"/>
      <c r="H3" s="121"/>
    </row>
    <row r="4" spans="3:10" s="119" customFormat="1" ht="13.5" customHeight="1" x14ac:dyDescent="0.3">
      <c r="C4" s="344" t="s">
        <v>282</v>
      </c>
      <c r="D4" s="344"/>
      <c r="E4" s="344"/>
      <c r="G4" s="120"/>
      <c r="H4" s="121"/>
    </row>
    <row r="5" spans="3:10" s="119" customFormat="1" ht="13.5" customHeight="1" x14ac:dyDescent="0.3">
      <c r="C5" s="344" t="s">
        <v>226</v>
      </c>
      <c r="D5" s="344"/>
      <c r="E5" s="344"/>
      <c r="G5" s="120"/>
      <c r="H5" s="121"/>
    </row>
    <row r="6" spans="3:10" s="119" customFormat="1" ht="13.5" thickBot="1" x14ac:dyDescent="0.35">
      <c r="C6" s="122"/>
      <c r="D6" s="122"/>
      <c r="E6" s="126"/>
      <c r="G6" s="120"/>
      <c r="H6" s="121"/>
    </row>
    <row r="7" spans="3:10" ht="23.25" customHeight="1" x14ac:dyDescent="0.25">
      <c r="C7" s="345" t="s">
        <v>158</v>
      </c>
      <c r="D7" s="347" t="s">
        <v>157</v>
      </c>
      <c r="E7" s="150" t="s">
        <v>227</v>
      </c>
    </row>
    <row r="8" spans="3:10" ht="66" customHeight="1" thickBot="1" x14ac:dyDescent="0.3">
      <c r="C8" s="346"/>
      <c r="D8" s="348"/>
      <c r="E8" s="279" t="s">
        <v>231</v>
      </c>
    </row>
    <row r="9" spans="3:10" ht="24" customHeight="1" x14ac:dyDescent="0.25">
      <c r="C9" s="194">
        <v>1</v>
      </c>
      <c r="D9" s="198" t="s">
        <v>273</v>
      </c>
      <c r="E9" s="216">
        <v>884045000</v>
      </c>
      <c r="F9" s="235"/>
      <c r="G9" s="130"/>
      <c r="H9" s="131"/>
      <c r="I9" s="118"/>
      <c r="J9" s="118"/>
    </row>
    <row r="10" spans="3:10" ht="18" customHeight="1" x14ac:dyDescent="0.25">
      <c r="C10" s="213" t="s">
        <v>278</v>
      </c>
      <c r="D10" s="255" t="s">
        <v>279</v>
      </c>
      <c r="E10" s="217">
        <v>0</v>
      </c>
      <c r="F10" s="235"/>
    </row>
    <row r="11" spans="3:10" ht="18" customHeight="1" x14ac:dyDescent="0.25">
      <c r="C11" s="213" t="s">
        <v>280</v>
      </c>
      <c r="D11" s="255" t="s">
        <v>281</v>
      </c>
      <c r="E11" s="217">
        <v>884045000</v>
      </c>
      <c r="F11" s="235"/>
    </row>
    <row r="12" spans="3:10" ht="18" customHeight="1" x14ac:dyDescent="0.25">
      <c r="C12" s="213">
        <v>2</v>
      </c>
      <c r="D12" s="203" t="s">
        <v>274</v>
      </c>
      <c r="E12" s="217">
        <v>585218587</v>
      </c>
      <c r="F12" s="235"/>
    </row>
    <row r="13" spans="3:10" ht="18" customHeight="1" x14ac:dyDescent="0.25">
      <c r="C13" s="213">
        <v>3</v>
      </c>
      <c r="D13" s="203" t="s">
        <v>275</v>
      </c>
      <c r="E13" s="217">
        <v>5349514814</v>
      </c>
      <c r="F13" s="235"/>
    </row>
    <row r="14" spans="3:10" ht="18" customHeight="1" x14ac:dyDescent="0.25">
      <c r="C14" s="213">
        <v>4</v>
      </c>
      <c r="D14" s="203" t="s">
        <v>276</v>
      </c>
      <c r="E14" s="217">
        <v>1827437000</v>
      </c>
      <c r="F14" s="235"/>
    </row>
    <row r="15" spans="3:10" ht="18" customHeight="1" x14ac:dyDescent="0.25">
      <c r="C15" s="213">
        <v>5</v>
      </c>
      <c r="D15" s="203" t="s">
        <v>271</v>
      </c>
      <c r="E15" s="217">
        <v>655700110</v>
      </c>
      <c r="F15" s="235"/>
    </row>
    <row r="16" spans="3:10" ht="18" customHeight="1" x14ac:dyDescent="0.25">
      <c r="C16" s="213">
        <v>6</v>
      </c>
      <c r="D16" s="203" t="s">
        <v>277</v>
      </c>
      <c r="E16" s="217">
        <v>2950984362</v>
      </c>
      <c r="F16" s="235"/>
    </row>
  </sheetData>
  <sheetProtection selectLockedCells="1" selectUnlockedCells="1"/>
  <mergeCells count="6">
    <mergeCell ref="C2:E2"/>
    <mergeCell ref="C3:E3"/>
    <mergeCell ref="C4:E4"/>
    <mergeCell ref="C5:E5"/>
    <mergeCell ref="C7:C8"/>
    <mergeCell ref="D7:D8"/>
  </mergeCells>
  <conditionalFormatting sqref="D6:E6">
    <cfRule type="cellIs" dxfId="34" priority="351" stopIfTrue="1" operator="equal">
      <formula>"NO ADMISIBLE"</formula>
    </cfRule>
  </conditionalFormatting>
  <conditionalFormatting sqref="E9:E10">
    <cfRule type="expression" dxfId="33" priority="352" stopIfTrue="1">
      <formula>IF(#REF!-INT(#REF!)&gt;0,TRUE,FALSE)</formula>
    </cfRule>
  </conditionalFormatting>
  <conditionalFormatting sqref="E12:E14">
    <cfRule type="expression" dxfId="32" priority="9" stopIfTrue="1">
      <formula>IF(#REF!-INT(#REF!)&gt;0,TRUE,FALSE)</formula>
    </cfRule>
  </conditionalFormatting>
  <conditionalFormatting sqref="E15">
    <cfRule type="expression" dxfId="31" priority="7" stopIfTrue="1">
      <formula>IF(#REF!-INT(#REF!)&gt;0,TRUE,FALSE)</formula>
    </cfRule>
  </conditionalFormatting>
  <conditionalFormatting sqref="E16">
    <cfRule type="expression" dxfId="30" priority="5" stopIfTrue="1">
      <formula>IF(#REF!-INT(#REF!)&gt;0,TRUE,FALSE)</formula>
    </cfRule>
  </conditionalFormatting>
  <conditionalFormatting sqref="D9:D12">
    <cfRule type="cellIs" dxfId="29" priority="3" stopIfTrue="1" operator="equal">
      <formula>"NO ADMISIBLE"</formula>
    </cfRule>
  </conditionalFormatting>
  <conditionalFormatting sqref="D13:D16">
    <cfRule type="cellIs" dxfId="28" priority="2" stopIfTrue="1" operator="equal">
      <formula>"NO ADMISIBLE"</formula>
    </cfRule>
  </conditionalFormatting>
  <conditionalFormatting sqref="E11">
    <cfRule type="expression" dxfId="27" priority="1" stopIfTrue="1">
      <formula>IF(#REF!-INT(#REF!)&gt;0,TRUE,FALSE)</formula>
    </cfRule>
  </conditionalFormatting>
  <dataValidations disablePrompts="1" count="1">
    <dataValidation type="list" allowBlank="1" showInputMessage="1" showErrorMessage="1" sqref="D6 D9:D16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4817" r:id="rId4" name="Button 1">
              <controlPr defaultSize="0" print="0" autoFill="0" autoPict="0" macro="[0]!MacroCapOrganizacion">
                <anchor moveWithCells="1" sizeWithCells="1">
                  <from>
                    <xdr:col>0</xdr:col>
                    <xdr:colOff>222250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7"/>
  <dimension ref="C2:X15"/>
  <sheetViews>
    <sheetView tabSelected="1" topLeftCell="A4" zoomScale="80" zoomScaleNormal="80" workbookViewId="0">
      <selection activeCell="D7" sqref="D7:D9"/>
    </sheetView>
  </sheetViews>
  <sheetFormatPr baseColWidth="10" defaultColWidth="11.453125" defaultRowHeight="12.5" x14ac:dyDescent="0.25"/>
  <cols>
    <col min="1" max="2" width="2" style="117" customWidth="1"/>
    <col min="3" max="3" width="3.81640625" style="117" customWidth="1"/>
    <col min="4" max="4" width="29.453125" style="117" customWidth="1"/>
    <col min="5" max="5" width="11.54296875" style="117" customWidth="1"/>
    <col min="6" max="6" width="3.81640625" style="117" customWidth="1"/>
    <col min="7" max="7" width="17" style="117" customWidth="1"/>
    <col min="8" max="8" width="15.54296875" style="117" customWidth="1"/>
    <col min="9" max="9" width="3.7265625" style="117" customWidth="1"/>
    <col min="10" max="10" width="29" style="117" customWidth="1"/>
    <col min="11" max="11" width="17.81640625" style="107" bestFit="1" customWidth="1"/>
    <col min="12" max="12" width="14.54296875" style="107" customWidth="1"/>
    <col min="13" max="13" width="8.81640625" style="107" hidden="1" customWidth="1"/>
    <col min="14" max="14" width="14.54296875" style="107" hidden="1" customWidth="1"/>
    <col min="15" max="15" width="13.1796875" style="107" customWidth="1"/>
    <col min="16" max="16" width="13.81640625" style="107" bestFit="1" customWidth="1"/>
    <col min="17" max="17" width="20.7265625" style="107" customWidth="1"/>
    <col min="18" max="18" width="26.453125" style="107" customWidth="1"/>
    <col min="19" max="19" width="29.453125" style="117" customWidth="1"/>
    <col min="20" max="20" width="11.453125" style="117"/>
    <col min="21" max="21" width="13.81640625" style="128" customWidth="1"/>
    <col min="22" max="22" width="9.7265625" style="129" customWidth="1"/>
    <col min="23" max="23" width="12.54296875" style="117" customWidth="1"/>
    <col min="24" max="24" width="12.7265625" style="117" customWidth="1"/>
    <col min="25" max="16384" width="11.453125" style="117"/>
  </cols>
  <sheetData>
    <row r="2" spans="3:24" s="119" customFormat="1" ht="20.25" customHeight="1" x14ac:dyDescent="0.3">
      <c r="C2" s="342" t="s">
        <v>198</v>
      </c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2"/>
      <c r="O2" s="342"/>
      <c r="P2" s="342"/>
      <c r="Q2" s="342"/>
      <c r="R2" s="342"/>
      <c r="S2" s="342"/>
      <c r="U2" s="120"/>
      <c r="V2" s="121"/>
    </row>
    <row r="3" spans="3:24" s="119" customFormat="1" ht="18" customHeight="1" x14ac:dyDescent="0.3">
      <c r="C3" s="343" t="s">
        <v>212</v>
      </c>
      <c r="D3" s="343"/>
      <c r="E3" s="343"/>
      <c r="F3" s="343"/>
      <c r="G3" s="343"/>
      <c r="H3" s="343"/>
      <c r="I3" s="343"/>
      <c r="J3" s="343"/>
      <c r="K3" s="343"/>
      <c r="L3" s="343"/>
      <c r="M3" s="343"/>
      <c r="N3" s="343"/>
      <c r="O3" s="343"/>
      <c r="P3" s="343"/>
      <c r="Q3" s="343"/>
      <c r="R3" s="343"/>
      <c r="S3" s="343"/>
      <c r="U3" s="120"/>
      <c r="V3" s="121"/>
    </row>
    <row r="4" spans="3:24" s="119" customFormat="1" ht="27" customHeight="1" x14ac:dyDescent="0.3">
      <c r="C4" s="344" t="s">
        <v>283</v>
      </c>
      <c r="D4" s="344"/>
      <c r="E4" s="344"/>
      <c r="F4" s="344"/>
      <c r="G4" s="344"/>
      <c r="H4" s="344"/>
      <c r="I4" s="344"/>
      <c r="J4" s="344"/>
      <c r="K4" s="344"/>
      <c r="L4" s="344"/>
      <c r="M4" s="344"/>
      <c r="N4" s="344"/>
      <c r="O4" s="344"/>
      <c r="P4" s="344"/>
      <c r="Q4" s="344"/>
      <c r="R4" s="344"/>
      <c r="S4" s="344"/>
      <c r="U4" s="120"/>
      <c r="V4" s="121"/>
    </row>
    <row r="5" spans="3:24" s="119" customFormat="1" ht="13.5" customHeight="1" x14ac:dyDescent="0.3">
      <c r="C5" s="344" t="s">
        <v>199</v>
      </c>
      <c r="D5" s="344"/>
      <c r="E5" s="344"/>
      <c r="F5" s="344"/>
      <c r="G5" s="344"/>
      <c r="H5" s="344"/>
      <c r="I5" s="344"/>
      <c r="J5" s="344"/>
      <c r="K5" s="344"/>
      <c r="L5" s="344"/>
      <c r="M5" s="344"/>
      <c r="N5" s="344"/>
      <c r="O5" s="344"/>
      <c r="P5" s="344"/>
      <c r="Q5" s="344"/>
      <c r="R5" s="344"/>
      <c r="S5" s="344"/>
      <c r="U5" s="120"/>
      <c r="V5" s="121"/>
    </row>
    <row r="6" spans="3:24" s="119" customFormat="1" ht="13.5" thickBot="1" x14ac:dyDescent="0.35">
      <c r="C6" s="122"/>
      <c r="D6" s="122"/>
      <c r="E6" s="123"/>
      <c r="F6" s="123"/>
      <c r="G6" s="124"/>
      <c r="H6" s="124"/>
      <c r="I6" s="124"/>
      <c r="J6" s="125"/>
      <c r="L6" s="126"/>
      <c r="M6" s="126"/>
      <c r="N6" s="126"/>
      <c r="O6" s="126"/>
      <c r="P6" s="126"/>
      <c r="Q6" s="126"/>
      <c r="R6" s="126"/>
      <c r="S6" s="127"/>
      <c r="U6" s="120"/>
      <c r="V6" s="121"/>
    </row>
    <row r="7" spans="3:24" ht="54" customHeight="1" x14ac:dyDescent="0.25">
      <c r="C7" s="355" t="s">
        <v>158</v>
      </c>
      <c r="D7" s="357" t="s">
        <v>157</v>
      </c>
      <c r="E7" s="80" t="s">
        <v>203</v>
      </c>
      <c r="F7" s="361" t="s">
        <v>163</v>
      </c>
      <c r="G7" s="80" t="s">
        <v>189</v>
      </c>
      <c r="H7" s="80" t="s">
        <v>190</v>
      </c>
      <c r="I7" s="363" t="s">
        <v>1</v>
      </c>
      <c r="J7" s="99" t="s">
        <v>191</v>
      </c>
      <c r="K7" s="80" t="s">
        <v>192</v>
      </c>
      <c r="L7" s="80" t="s">
        <v>193</v>
      </c>
      <c r="M7" s="325" t="s">
        <v>169</v>
      </c>
      <c r="N7" s="333" t="s">
        <v>170</v>
      </c>
      <c r="O7" s="80" t="s">
        <v>208</v>
      </c>
      <c r="P7" s="81" t="s">
        <v>194</v>
      </c>
      <c r="Q7" s="100" t="s">
        <v>229</v>
      </c>
      <c r="R7" s="101" t="s">
        <v>195</v>
      </c>
      <c r="S7" s="153" t="s">
        <v>230</v>
      </c>
    </row>
    <row r="8" spans="3:24" x14ac:dyDescent="0.25">
      <c r="C8" s="356"/>
      <c r="D8" s="358"/>
      <c r="E8" s="359" t="s">
        <v>2</v>
      </c>
      <c r="F8" s="362"/>
      <c r="G8" s="359" t="s">
        <v>3</v>
      </c>
      <c r="H8" s="359" t="s">
        <v>3</v>
      </c>
      <c r="I8" s="364"/>
      <c r="J8" s="367" t="s">
        <v>197</v>
      </c>
      <c r="K8" s="369" t="s">
        <v>228</v>
      </c>
      <c r="L8" s="369" t="s">
        <v>205</v>
      </c>
      <c r="M8" s="326"/>
      <c r="N8" s="307"/>
      <c r="O8" s="369" t="s">
        <v>205</v>
      </c>
      <c r="P8" s="369" t="s">
        <v>205</v>
      </c>
      <c r="Q8" s="369" t="s">
        <v>228</v>
      </c>
      <c r="R8" s="367" t="s">
        <v>196</v>
      </c>
      <c r="S8" s="365" t="s">
        <v>177</v>
      </c>
    </row>
    <row r="9" spans="3:24" ht="51" customHeight="1" thickBot="1" x14ac:dyDescent="0.3">
      <c r="C9" s="356"/>
      <c r="D9" s="358"/>
      <c r="E9" s="360"/>
      <c r="F9" s="362"/>
      <c r="G9" s="360"/>
      <c r="H9" s="360"/>
      <c r="I9" s="364"/>
      <c r="J9" s="368"/>
      <c r="K9" s="370"/>
      <c r="L9" s="370"/>
      <c r="M9" s="326"/>
      <c r="N9" s="307"/>
      <c r="O9" s="370"/>
      <c r="P9" s="370"/>
      <c r="Q9" s="370"/>
      <c r="R9" s="368"/>
      <c r="S9" s="366"/>
    </row>
    <row r="10" spans="3:24" ht="30.75" customHeight="1" thickBot="1" x14ac:dyDescent="0.3">
      <c r="C10" s="194">
        <v>1</v>
      </c>
      <c r="D10" s="198" t="s">
        <v>273</v>
      </c>
      <c r="E10" s="195">
        <v>1</v>
      </c>
      <c r="F10" s="196">
        <v>1</v>
      </c>
      <c r="G10" s="197">
        <v>309996612</v>
      </c>
      <c r="H10" s="197">
        <v>0</v>
      </c>
      <c r="I10" s="196">
        <v>7</v>
      </c>
      <c r="J10" s="198">
        <v>309996612</v>
      </c>
      <c r="K10" s="238">
        <v>884045000</v>
      </c>
      <c r="L10" s="205">
        <v>120</v>
      </c>
      <c r="M10" s="205">
        <v>0</v>
      </c>
      <c r="N10" s="205" t="s">
        <v>245</v>
      </c>
      <c r="O10" s="205">
        <v>20</v>
      </c>
      <c r="P10" s="205">
        <v>40</v>
      </c>
      <c r="Q10" s="199">
        <v>0</v>
      </c>
      <c r="R10" s="238">
        <v>1591281000</v>
      </c>
      <c r="S10" s="261" t="s">
        <v>270</v>
      </c>
      <c r="T10" s="173"/>
      <c r="U10" s="130"/>
      <c r="V10" s="131"/>
      <c r="W10" s="118"/>
      <c r="X10" s="118"/>
    </row>
    <row r="11" spans="3:24" ht="31.5" customHeight="1" thickBot="1" x14ac:dyDescent="0.3">
      <c r="C11" s="83">
        <v>2</v>
      </c>
      <c r="D11" s="203" t="s">
        <v>274</v>
      </c>
      <c r="E11" s="200">
        <v>1</v>
      </c>
      <c r="F11" s="201">
        <v>1</v>
      </c>
      <c r="G11" s="202">
        <v>309996612</v>
      </c>
      <c r="H11" s="202">
        <v>0</v>
      </c>
      <c r="I11" s="196">
        <v>7</v>
      </c>
      <c r="J11" s="203">
        <v>309996612</v>
      </c>
      <c r="K11" s="206">
        <v>585218587</v>
      </c>
      <c r="L11" s="205">
        <v>120</v>
      </c>
      <c r="M11" s="205">
        <v>0</v>
      </c>
      <c r="N11" s="205" t="s">
        <v>245</v>
      </c>
      <c r="O11" s="205">
        <v>20</v>
      </c>
      <c r="P11" s="205">
        <v>40</v>
      </c>
      <c r="Q11" s="204">
        <v>34953996.659999996</v>
      </c>
      <c r="R11" s="206">
        <v>1018439459.9400001</v>
      </c>
      <c r="S11" s="207" t="s">
        <v>270</v>
      </c>
      <c r="T11" s="173"/>
    </row>
    <row r="12" spans="3:24" ht="21.75" customHeight="1" thickBot="1" x14ac:dyDescent="0.3">
      <c r="C12" s="83">
        <v>3</v>
      </c>
      <c r="D12" s="203" t="s">
        <v>275</v>
      </c>
      <c r="E12" s="200">
        <v>1</v>
      </c>
      <c r="F12" s="201">
        <v>1</v>
      </c>
      <c r="G12" s="202">
        <v>309996612</v>
      </c>
      <c r="H12" s="202">
        <v>0</v>
      </c>
      <c r="I12" s="196">
        <v>7</v>
      </c>
      <c r="J12" s="203">
        <v>309996612</v>
      </c>
      <c r="K12" s="206">
        <v>5349514814</v>
      </c>
      <c r="L12" s="205">
        <v>120</v>
      </c>
      <c r="M12" s="205">
        <v>0</v>
      </c>
      <c r="N12" s="205" t="s">
        <v>245</v>
      </c>
      <c r="O12" s="205">
        <v>20</v>
      </c>
      <c r="P12" s="205">
        <v>40</v>
      </c>
      <c r="Q12" s="204">
        <v>0</v>
      </c>
      <c r="R12" s="206">
        <v>9629126665.2000008</v>
      </c>
      <c r="S12" s="207" t="s">
        <v>270</v>
      </c>
      <c r="T12" s="173"/>
    </row>
    <row r="13" spans="3:24" ht="21.75" customHeight="1" thickBot="1" x14ac:dyDescent="0.3">
      <c r="C13" s="83">
        <v>4</v>
      </c>
      <c r="D13" s="203" t="s">
        <v>276</v>
      </c>
      <c r="E13" s="200">
        <v>1</v>
      </c>
      <c r="F13" s="201">
        <v>1</v>
      </c>
      <c r="G13" s="202">
        <v>309996612</v>
      </c>
      <c r="H13" s="202">
        <v>0</v>
      </c>
      <c r="I13" s="196">
        <v>7</v>
      </c>
      <c r="J13" s="203">
        <v>309996612</v>
      </c>
      <c r="K13" s="206">
        <v>1827437000</v>
      </c>
      <c r="L13" s="205">
        <v>120</v>
      </c>
      <c r="M13" s="205">
        <v>0</v>
      </c>
      <c r="N13" s="205" t="s">
        <v>245</v>
      </c>
      <c r="O13" s="205">
        <v>20</v>
      </c>
      <c r="P13" s="205">
        <v>40</v>
      </c>
      <c r="Q13" s="204">
        <v>0</v>
      </c>
      <c r="R13" s="206">
        <v>3289386600</v>
      </c>
      <c r="S13" s="207" t="s">
        <v>270</v>
      </c>
      <c r="T13" s="173"/>
    </row>
    <row r="14" spans="3:24" ht="21.75" customHeight="1" thickBot="1" x14ac:dyDescent="0.3">
      <c r="C14" s="83">
        <v>5</v>
      </c>
      <c r="D14" s="203" t="s">
        <v>271</v>
      </c>
      <c r="E14" s="200">
        <v>1</v>
      </c>
      <c r="F14" s="201">
        <v>1</v>
      </c>
      <c r="G14" s="202">
        <v>309996612</v>
      </c>
      <c r="H14" s="202">
        <v>0</v>
      </c>
      <c r="I14" s="196">
        <v>7</v>
      </c>
      <c r="J14" s="203">
        <v>309996612</v>
      </c>
      <c r="K14" s="206">
        <v>655700110</v>
      </c>
      <c r="L14" s="205">
        <v>120</v>
      </c>
      <c r="M14" s="205">
        <v>0</v>
      </c>
      <c r="N14" s="205" t="s">
        <v>245</v>
      </c>
      <c r="O14" s="205">
        <v>20</v>
      </c>
      <c r="P14" s="205">
        <v>40</v>
      </c>
      <c r="Q14" s="204">
        <v>45576544.689999998</v>
      </c>
      <c r="R14" s="206">
        <v>1134683653.3099999</v>
      </c>
      <c r="S14" s="207" t="s">
        <v>270</v>
      </c>
      <c r="T14" s="173"/>
    </row>
    <row r="15" spans="3:24" ht="21.75" customHeight="1" thickBot="1" x14ac:dyDescent="0.3">
      <c r="C15" s="262">
        <v>6</v>
      </c>
      <c r="D15" s="263" t="s">
        <v>277</v>
      </c>
      <c r="E15" s="264">
        <v>1</v>
      </c>
      <c r="F15" s="265">
        <v>1</v>
      </c>
      <c r="G15" s="266">
        <v>309996612</v>
      </c>
      <c r="H15" s="266">
        <v>0</v>
      </c>
      <c r="I15" s="196">
        <v>7</v>
      </c>
      <c r="J15" s="263">
        <v>309996612</v>
      </c>
      <c r="K15" s="267">
        <v>2950984362</v>
      </c>
      <c r="L15" s="270">
        <v>120</v>
      </c>
      <c r="M15" s="270">
        <v>0</v>
      </c>
      <c r="N15" s="270" t="s">
        <v>245</v>
      </c>
      <c r="O15" s="270">
        <v>20</v>
      </c>
      <c r="P15" s="270">
        <v>40</v>
      </c>
      <c r="Q15" s="268">
        <v>0</v>
      </c>
      <c r="R15" s="267">
        <v>5311771851.6000004</v>
      </c>
      <c r="S15" s="269" t="s">
        <v>270</v>
      </c>
      <c r="T15" s="173"/>
    </row>
  </sheetData>
  <sheetProtection selectLockedCells="1" selectUnlockedCells="1"/>
  <customSheetViews>
    <customSheetView guid="{7043DB3C-32B3-43B5-9ACE-4B1C78863594}">
      <selection activeCell="D26" sqref="D26"/>
      <pageMargins left="0.75" right="0.75" top="1" bottom="1" header="0" footer="0"/>
      <headerFooter alignWithMargins="0"/>
    </customSheetView>
  </customSheetViews>
  <mergeCells count="21">
    <mergeCell ref="C2:S2"/>
    <mergeCell ref="C3:S3"/>
    <mergeCell ref="C4:S4"/>
    <mergeCell ref="C5:S5"/>
    <mergeCell ref="S8:S9"/>
    <mergeCell ref="G8:G9"/>
    <mergeCell ref="M7:M9"/>
    <mergeCell ref="N7:N9"/>
    <mergeCell ref="J8:J9"/>
    <mergeCell ref="K8:K9"/>
    <mergeCell ref="H8:H9"/>
    <mergeCell ref="R8:R9"/>
    <mergeCell ref="L8:L9"/>
    <mergeCell ref="P8:P9"/>
    <mergeCell ref="Q8:Q9"/>
    <mergeCell ref="O8:O9"/>
    <mergeCell ref="C7:C9"/>
    <mergeCell ref="D7:D9"/>
    <mergeCell ref="E8:E9"/>
    <mergeCell ref="F7:F9"/>
    <mergeCell ref="I7:I9"/>
  </mergeCells>
  <phoneticPr fontId="24" type="noConversion"/>
  <conditionalFormatting sqref="S6 E6:J6">
    <cfRule type="expression" dxfId="26" priority="3825" stopIfTrue="1">
      <formula>IF($B6-INT($B6)&gt;0,TRUE,FALSE)</formula>
    </cfRule>
  </conditionalFormatting>
  <conditionalFormatting sqref="D6 L6:R6">
    <cfRule type="cellIs" dxfId="25" priority="3826" stopIfTrue="1" operator="equal">
      <formula>"NO ADMISIBLE"</formula>
    </cfRule>
  </conditionalFormatting>
  <conditionalFormatting sqref="S10:S11">
    <cfRule type="cellIs" dxfId="24" priority="3821" stopIfTrue="1" operator="equal">
      <formula>"NO ADMISIBLE"</formula>
    </cfRule>
    <cfRule type="cellIs" dxfId="23" priority="3822" stopIfTrue="1" operator="equal">
      <formula>"ADMISIBLE"</formula>
    </cfRule>
  </conditionalFormatting>
  <conditionalFormatting sqref="S10:S11">
    <cfRule type="cellIs" dxfId="22" priority="3820" stopIfTrue="1" operator="equal">
      <formula>"PENDIENTE"</formula>
    </cfRule>
  </conditionalFormatting>
  <conditionalFormatting sqref="P10:P11 K11:N11 E11 R11 L12:L15">
    <cfRule type="expression" dxfId="21" priority="3815" stopIfTrue="1">
      <formula>IF($B1-INT($B1)&gt;0,TRUE,FALSE)</formula>
    </cfRule>
  </conditionalFormatting>
  <conditionalFormatting sqref="E10:J10 F11 J11">
    <cfRule type="expression" dxfId="20" priority="3830" stopIfTrue="1">
      <formula>IF(#REF!-INT(#REF!)&gt;0,TRUE,FALSE)</formula>
    </cfRule>
  </conditionalFormatting>
  <conditionalFormatting sqref="G11">
    <cfRule type="expression" dxfId="19" priority="1323" stopIfTrue="1">
      <formula>IF(#REF!-INT(#REF!)&gt;0,TRUE,FALSE)</formula>
    </cfRule>
  </conditionalFormatting>
  <conditionalFormatting sqref="H11">
    <cfRule type="expression" dxfId="18" priority="1322" stopIfTrue="1">
      <formula>IF(#REF!-INT(#REF!)&gt;0,TRUE,FALSE)</formula>
    </cfRule>
  </conditionalFormatting>
  <conditionalFormatting sqref="L10:O10 R10 O11:O15">
    <cfRule type="expression" dxfId="17" priority="27" stopIfTrue="1">
      <formula>IF($B1-INT($B1)&gt;0,TRUE,FALSE)</formula>
    </cfRule>
  </conditionalFormatting>
  <conditionalFormatting sqref="K10">
    <cfRule type="expression" dxfId="16" priority="26" stopIfTrue="1">
      <formula>IF($B1-INT($B1)&gt;0,TRUE,FALSE)</formula>
    </cfRule>
  </conditionalFormatting>
  <conditionalFormatting sqref="L10">
    <cfRule type="expression" dxfId="15" priority="23" stopIfTrue="1">
      <formula>IF($B1-INT($B1)&gt;0,TRUE,FALSE)</formula>
    </cfRule>
  </conditionalFormatting>
  <conditionalFormatting sqref="L10">
    <cfRule type="expression" dxfId="14" priority="22" stopIfTrue="1">
      <formula>IF($B1-INT($B1)&gt;0,TRUE,FALSE)</formula>
    </cfRule>
  </conditionalFormatting>
  <conditionalFormatting sqref="R11">
    <cfRule type="expression" dxfId="13" priority="20" stopIfTrue="1">
      <formula>IF($B1-INT($B1)&gt;0,TRUE,FALSE)</formula>
    </cfRule>
  </conditionalFormatting>
  <conditionalFormatting sqref="Q10:Q11 R10">
    <cfRule type="expression" dxfId="12" priority="7973" stopIfTrue="1">
      <formula>IF($B1048564-INT($B1048564)&gt;0,TRUE,FALSE)</formula>
    </cfRule>
  </conditionalFormatting>
  <conditionalFormatting sqref="S12:S15">
    <cfRule type="cellIs" dxfId="11" priority="15" stopIfTrue="1" operator="equal">
      <formula>"NO ADMISIBLE"</formula>
    </cfRule>
    <cfRule type="cellIs" dxfId="10" priority="16" stopIfTrue="1" operator="equal">
      <formula>"ADMISIBLE"</formula>
    </cfRule>
  </conditionalFormatting>
  <conditionalFormatting sqref="S12:S15">
    <cfRule type="cellIs" dxfId="9" priority="14" stopIfTrue="1" operator="equal">
      <formula>"PENDIENTE"</formula>
    </cfRule>
  </conditionalFormatting>
  <conditionalFormatting sqref="K12:K15 E12:E15 R12:R15 M12:N15 P12:P15">
    <cfRule type="expression" dxfId="8" priority="13" stopIfTrue="1">
      <formula>IF($B3-INT($B3)&gt;0,TRUE,FALSE)</formula>
    </cfRule>
  </conditionalFormatting>
  <conditionalFormatting sqref="F12:F15 J12:J15">
    <cfRule type="expression" dxfId="7" priority="18" stopIfTrue="1">
      <formula>IF(#REF!-INT(#REF!)&gt;0,TRUE,FALSE)</formula>
    </cfRule>
  </conditionalFormatting>
  <conditionalFormatting sqref="G12:G15">
    <cfRule type="expression" dxfId="6" priority="12" stopIfTrue="1">
      <formula>IF(#REF!-INT(#REF!)&gt;0,TRUE,FALSE)</formula>
    </cfRule>
  </conditionalFormatting>
  <conditionalFormatting sqref="H12:H15">
    <cfRule type="expression" dxfId="5" priority="11" stopIfTrue="1">
      <formula>IF(#REF!-INT(#REF!)&gt;0,TRUE,FALSE)</formula>
    </cfRule>
  </conditionalFormatting>
  <conditionalFormatting sqref="R12:R15">
    <cfRule type="expression" dxfId="4" priority="9" stopIfTrue="1">
      <formula>IF($B2-INT($B2)&gt;0,TRUE,FALSE)</formula>
    </cfRule>
  </conditionalFormatting>
  <conditionalFormatting sqref="Q12:Q15">
    <cfRule type="expression" dxfId="3" priority="19" stopIfTrue="1">
      <formula>IF($B1048566-INT($B1048566)&gt;0,TRUE,FALSE)</formula>
    </cfRule>
  </conditionalFormatting>
  <conditionalFormatting sqref="D10">
    <cfRule type="cellIs" dxfId="2" priority="6" stopIfTrue="1" operator="equal">
      <formula>"NO ADMISIBLE"</formula>
    </cfRule>
  </conditionalFormatting>
  <conditionalFormatting sqref="D11:D15">
    <cfRule type="cellIs" dxfId="1" priority="2" stopIfTrue="1" operator="equal">
      <formula>"NO ADMISIBLE"</formula>
    </cfRule>
  </conditionalFormatting>
  <conditionalFormatting sqref="I11:I15">
    <cfRule type="expression" dxfId="0" priority="1" stopIfTrue="1">
      <formula>IF(#REF!-INT(#REF!)&gt;0,TRUE,FALSE)</formula>
    </cfRule>
  </conditionalFormatting>
  <dataValidations count="1">
    <dataValidation type="list" allowBlank="1" showInputMessage="1" showErrorMessage="1" sqref="D6 D10:D15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202" r:id="rId4" name="Button 10">
              <controlPr defaultSize="0" print="0" autoFill="0" autoPict="0" macro="[0]!copy">
                <anchor moveWithCells="1" sizeWithCells="1">
                  <from>
                    <xdr:col>0</xdr:col>
                    <xdr:colOff>222250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B103"/>
  <sheetViews>
    <sheetView zoomScale="75" workbookViewId="0">
      <selection activeCell="A19" sqref="A19"/>
    </sheetView>
  </sheetViews>
  <sheetFormatPr baseColWidth="10" defaultRowHeight="12.5" outlineLevelRow="2" x14ac:dyDescent="0.25"/>
  <cols>
    <col min="1" max="1" width="19" customWidth="1"/>
    <col min="2" max="2" width="21.81640625" customWidth="1"/>
  </cols>
  <sheetData>
    <row r="1" spans="1:2" s="12" customFormat="1" ht="15.5" x14ac:dyDescent="0.35">
      <c r="A1" s="12" t="s">
        <v>7</v>
      </c>
    </row>
    <row r="3" spans="1:2" ht="42" x14ac:dyDescent="0.25">
      <c r="A3" s="13" t="s">
        <v>8</v>
      </c>
      <c r="B3" s="14" t="s">
        <v>9</v>
      </c>
    </row>
    <row r="4" spans="1:2" s="16" customFormat="1" outlineLevel="2" x14ac:dyDescent="0.25">
      <c r="A4" s="15"/>
    </row>
    <row r="5" spans="1:2" s="19" customFormat="1" ht="13" outlineLevel="1" x14ac:dyDescent="0.25">
      <c r="A5" s="17" t="s">
        <v>114</v>
      </c>
      <c r="B5" s="18">
        <v>16097532669.306931</v>
      </c>
    </row>
    <row r="6" spans="1:2" s="19" customFormat="1" ht="13" outlineLevel="1" x14ac:dyDescent="0.25">
      <c r="A6" s="17" t="s">
        <v>115</v>
      </c>
      <c r="B6" s="18">
        <v>18724260670</v>
      </c>
    </row>
    <row r="7" spans="1:2" s="19" customFormat="1" ht="13" outlineLevel="1" x14ac:dyDescent="0.25">
      <c r="A7" s="17" t="s">
        <v>116</v>
      </c>
      <c r="B7" s="18">
        <v>15886461489</v>
      </c>
    </row>
    <row r="8" spans="1:2" s="19" customFormat="1" ht="13" outlineLevel="1" x14ac:dyDescent="0.25">
      <c r="A8" s="17" t="s">
        <v>117</v>
      </c>
      <c r="B8" s="18">
        <v>18533406621</v>
      </c>
    </row>
    <row r="9" spans="1:2" s="19" customFormat="1" ht="13" outlineLevel="1" x14ac:dyDescent="0.25">
      <c r="A9" s="17" t="s">
        <v>118</v>
      </c>
      <c r="B9" s="18">
        <v>14971945628</v>
      </c>
    </row>
    <row r="10" spans="1:2" s="19" customFormat="1" ht="13" outlineLevel="1" x14ac:dyDescent="0.25">
      <c r="A10" s="17" t="s">
        <v>119</v>
      </c>
      <c r="B10" s="18">
        <v>16484340849</v>
      </c>
    </row>
    <row r="11" spans="1:2" s="19" customFormat="1" ht="13" outlineLevel="1" x14ac:dyDescent="0.25">
      <c r="A11" s="17" t="s">
        <v>120</v>
      </c>
      <c r="B11" s="18">
        <v>16686919713.999998</v>
      </c>
    </row>
    <row r="12" spans="1:2" s="19" customFormat="1" ht="13" outlineLevel="1" x14ac:dyDescent="0.25">
      <c r="A12" s="17" t="s">
        <v>121</v>
      </c>
      <c r="B12" s="18">
        <v>11566305868</v>
      </c>
    </row>
    <row r="13" spans="1:2" s="19" customFormat="1" ht="13" outlineLevel="1" x14ac:dyDescent="0.25">
      <c r="A13" s="17" t="s">
        <v>122</v>
      </c>
      <c r="B13" s="18">
        <v>6300474910</v>
      </c>
    </row>
    <row r="14" spans="1:2" s="19" customFormat="1" ht="13" outlineLevel="1" x14ac:dyDescent="0.25">
      <c r="A14" s="17" t="s">
        <v>10</v>
      </c>
      <c r="B14" s="18">
        <v>1428162158.4158416</v>
      </c>
    </row>
    <row r="15" spans="1:2" s="19" customFormat="1" ht="13" outlineLevel="1" x14ac:dyDescent="0.25">
      <c r="A15" s="17" t="s">
        <v>11</v>
      </c>
      <c r="B15" s="18">
        <v>1292851961.3861387</v>
      </c>
    </row>
    <row r="16" spans="1:2" s="19" customFormat="1" ht="13" outlineLevel="1" x14ac:dyDescent="0.25">
      <c r="A16" s="17" t="s">
        <v>12</v>
      </c>
      <c r="B16" s="36">
        <v>14200237260</v>
      </c>
    </row>
    <row r="17" spans="1:2" s="19" customFormat="1" ht="13" outlineLevel="1" x14ac:dyDescent="0.25">
      <c r="A17" s="17" t="s">
        <v>13</v>
      </c>
      <c r="B17" s="18">
        <v>14388115033</v>
      </c>
    </row>
    <row r="18" spans="1:2" s="19" customFormat="1" ht="13" outlineLevel="1" x14ac:dyDescent="0.25">
      <c r="A18" s="17" t="s">
        <v>14</v>
      </c>
      <c r="B18" s="18">
        <v>7076050599</v>
      </c>
    </row>
    <row r="19" spans="1:2" s="19" customFormat="1" ht="13" outlineLevel="1" x14ac:dyDescent="0.25">
      <c r="A19" s="17" t="s">
        <v>15</v>
      </c>
      <c r="B19" s="18">
        <v>20893814942</v>
      </c>
    </row>
    <row r="20" spans="1:2" s="19" customFormat="1" ht="13" outlineLevel="1" x14ac:dyDescent="0.25">
      <c r="A20" s="17" t="s">
        <v>16</v>
      </c>
      <c r="B20" s="36">
        <v>8810989120</v>
      </c>
    </row>
    <row r="21" spans="1:2" s="19" customFormat="1" ht="13" outlineLevel="1" x14ac:dyDescent="0.25">
      <c r="A21" s="17" t="s">
        <v>17</v>
      </c>
      <c r="B21" s="18">
        <v>5818381842</v>
      </c>
    </row>
    <row r="22" spans="1:2" s="19" customFormat="1" ht="13" outlineLevel="1" x14ac:dyDescent="0.25">
      <c r="A22" s="17" t="s">
        <v>18</v>
      </c>
      <c r="B22" s="18">
        <v>9650261634</v>
      </c>
    </row>
    <row r="23" spans="1:2" s="19" customFormat="1" ht="13" outlineLevel="1" x14ac:dyDescent="0.25">
      <c r="A23" s="17" t="s">
        <v>19</v>
      </c>
      <c r="B23" s="18">
        <v>5385776414</v>
      </c>
    </row>
    <row r="24" spans="1:2" s="19" customFormat="1" ht="13" outlineLevel="1" x14ac:dyDescent="0.25">
      <c r="A24" s="17" t="s">
        <v>20</v>
      </c>
      <c r="B24" s="18">
        <v>5759505844</v>
      </c>
    </row>
    <row r="25" spans="1:2" s="19" customFormat="1" ht="13" outlineLevel="1" x14ac:dyDescent="0.25">
      <c r="A25" s="17" t="s">
        <v>21</v>
      </c>
      <c r="B25" s="18">
        <v>11365045650</v>
      </c>
    </row>
    <row r="26" spans="1:2" s="19" customFormat="1" ht="13" outlineLevel="1" x14ac:dyDescent="0.25">
      <c r="A26" s="17" t="s">
        <v>22</v>
      </c>
      <c r="B26" s="18">
        <v>15652530637</v>
      </c>
    </row>
    <row r="27" spans="1:2" s="19" customFormat="1" ht="13" outlineLevel="1" x14ac:dyDescent="0.25">
      <c r="A27" s="17" t="s">
        <v>23</v>
      </c>
      <c r="B27" s="18">
        <v>5772808797</v>
      </c>
    </row>
    <row r="28" spans="1:2" s="19" customFormat="1" ht="13" outlineLevel="1" x14ac:dyDescent="0.25">
      <c r="A28" s="17" t="s">
        <v>24</v>
      </c>
      <c r="B28" s="18">
        <v>7512106130</v>
      </c>
    </row>
    <row r="29" spans="1:2" s="19" customFormat="1" ht="13" outlineLevel="1" x14ac:dyDescent="0.25">
      <c r="A29" s="17" t="s">
        <v>25</v>
      </c>
      <c r="B29" s="18">
        <v>9347559589</v>
      </c>
    </row>
    <row r="30" spans="1:2" s="19" customFormat="1" ht="13" outlineLevel="1" x14ac:dyDescent="0.25">
      <c r="A30" s="17" t="s">
        <v>26</v>
      </c>
      <c r="B30" s="18">
        <v>19825977010</v>
      </c>
    </row>
    <row r="31" spans="1:2" s="19" customFormat="1" ht="13" outlineLevel="1" x14ac:dyDescent="0.25">
      <c r="A31" s="17" t="s">
        <v>27</v>
      </c>
      <c r="B31" s="18">
        <v>9200191515</v>
      </c>
    </row>
    <row r="32" spans="1:2" s="19" customFormat="1" ht="13" outlineLevel="1" x14ac:dyDescent="0.25">
      <c r="A32" s="17" t="s">
        <v>28</v>
      </c>
      <c r="B32" s="18">
        <v>18743806542</v>
      </c>
    </row>
    <row r="33" spans="1:2" s="19" customFormat="1" ht="13" outlineLevel="1" x14ac:dyDescent="0.25">
      <c r="A33" s="17" t="s">
        <v>29</v>
      </c>
      <c r="B33" s="18">
        <v>12488203547</v>
      </c>
    </row>
    <row r="34" spans="1:2" s="19" customFormat="1" ht="13" outlineLevel="1" x14ac:dyDescent="0.25">
      <c r="A34" s="17" t="s">
        <v>30</v>
      </c>
      <c r="B34" s="18">
        <v>12337277639</v>
      </c>
    </row>
    <row r="35" spans="1:2" s="19" customFormat="1" ht="13" outlineLevel="1" x14ac:dyDescent="0.25">
      <c r="A35" s="17" t="s">
        <v>31</v>
      </c>
      <c r="B35" s="18">
        <v>16198497482.999998</v>
      </c>
    </row>
    <row r="36" spans="1:2" s="19" customFormat="1" ht="13" outlineLevel="1" x14ac:dyDescent="0.25">
      <c r="A36" s="17" t="s">
        <v>32</v>
      </c>
      <c r="B36" s="18">
        <v>17764576319</v>
      </c>
    </row>
    <row r="37" spans="1:2" s="19" customFormat="1" ht="13" outlineLevel="1" x14ac:dyDescent="0.25">
      <c r="A37" s="17" t="s">
        <v>33</v>
      </c>
      <c r="B37" s="18">
        <v>22882731815</v>
      </c>
    </row>
    <row r="38" spans="1:2" s="19" customFormat="1" ht="13" outlineLevel="1" x14ac:dyDescent="0.25">
      <c r="A38" s="17" t="s">
        <v>34</v>
      </c>
      <c r="B38" s="18">
        <v>7383905477</v>
      </c>
    </row>
    <row r="39" spans="1:2" s="19" customFormat="1" ht="13" outlineLevel="1" x14ac:dyDescent="0.25">
      <c r="A39" s="17" t="s">
        <v>35</v>
      </c>
      <c r="B39" s="18">
        <v>12423743774</v>
      </c>
    </row>
    <row r="40" spans="1:2" s="19" customFormat="1" ht="13" outlineLevel="1" x14ac:dyDescent="0.25">
      <c r="A40" s="17" t="s">
        <v>36</v>
      </c>
      <c r="B40" s="18">
        <v>14187262851</v>
      </c>
    </row>
    <row r="41" spans="1:2" s="19" customFormat="1" ht="13" outlineLevel="1" x14ac:dyDescent="0.25">
      <c r="A41" s="17" t="s">
        <v>37</v>
      </c>
      <c r="B41" s="18">
        <v>9099377756</v>
      </c>
    </row>
    <row r="42" spans="1:2" s="19" customFormat="1" ht="13" outlineLevel="1" x14ac:dyDescent="0.25">
      <c r="A42" s="17" t="s">
        <v>38</v>
      </c>
      <c r="B42" s="18">
        <v>7416098511</v>
      </c>
    </row>
    <row r="43" spans="1:2" s="19" customFormat="1" ht="13" outlineLevel="1" x14ac:dyDescent="0.25">
      <c r="A43" s="17" t="s">
        <v>39</v>
      </c>
      <c r="B43" s="18">
        <v>16654736652</v>
      </c>
    </row>
    <row r="44" spans="1:2" s="19" customFormat="1" ht="13" outlineLevel="1" x14ac:dyDescent="0.25">
      <c r="A44" s="17" t="s">
        <v>40</v>
      </c>
      <c r="B44" s="18">
        <v>12006016561</v>
      </c>
    </row>
    <row r="45" spans="1:2" s="19" customFormat="1" ht="13" outlineLevel="1" x14ac:dyDescent="0.25">
      <c r="A45" s="17" t="s">
        <v>41</v>
      </c>
      <c r="B45" s="18">
        <v>14602426835</v>
      </c>
    </row>
    <row r="46" spans="1:2" s="19" customFormat="1" ht="13" outlineLevel="1" x14ac:dyDescent="0.25">
      <c r="A46" s="17" t="s">
        <v>42</v>
      </c>
      <c r="B46" s="18">
        <v>16600395825</v>
      </c>
    </row>
    <row r="47" spans="1:2" s="19" customFormat="1" ht="13" outlineLevel="1" x14ac:dyDescent="0.25">
      <c r="A47" s="17" t="s">
        <v>43</v>
      </c>
      <c r="B47" s="18">
        <v>9490692823</v>
      </c>
    </row>
    <row r="48" spans="1:2" s="19" customFormat="1" ht="13" outlineLevel="1" x14ac:dyDescent="0.25">
      <c r="A48" s="17" t="s">
        <v>44</v>
      </c>
      <c r="B48" s="18">
        <v>14966356774</v>
      </c>
    </row>
    <row r="49" spans="1:2" s="19" customFormat="1" ht="13" outlineLevel="1" x14ac:dyDescent="0.25">
      <c r="A49" s="17" t="s">
        <v>45</v>
      </c>
      <c r="B49" s="18">
        <v>16628059484</v>
      </c>
    </row>
    <row r="50" spans="1:2" s="19" customFormat="1" ht="13" outlineLevel="1" x14ac:dyDescent="0.25">
      <c r="A50" s="17" t="s">
        <v>46</v>
      </c>
      <c r="B50" s="18">
        <v>11545020876</v>
      </c>
    </row>
    <row r="51" spans="1:2" s="19" customFormat="1" ht="13" outlineLevel="1" x14ac:dyDescent="0.25">
      <c r="A51" s="17" t="s">
        <v>47</v>
      </c>
      <c r="B51" s="18">
        <v>11069859631</v>
      </c>
    </row>
    <row r="52" spans="1:2" s="19" customFormat="1" ht="13" outlineLevel="1" x14ac:dyDescent="0.25">
      <c r="A52" s="17" t="s">
        <v>48</v>
      </c>
      <c r="B52" s="18">
        <v>16462254401</v>
      </c>
    </row>
    <row r="53" spans="1:2" s="19" customFormat="1" ht="13" outlineLevel="1" x14ac:dyDescent="0.25">
      <c r="A53" s="17" t="s">
        <v>49</v>
      </c>
      <c r="B53" s="18">
        <v>29122451003</v>
      </c>
    </row>
    <row r="54" spans="1:2" s="19" customFormat="1" ht="13" outlineLevel="1" x14ac:dyDescent="0.25">
      <c r="A54" s="17" t="s">
        <v>50</v>
      </c>
      <c r="B54" s="18">
        <v>19110837484</v>
      </c>
    </row>
    <row r="55" spans="1:2" s="19" customFormat="1" ht="13" outlineLevel="1" x14ac:dyDescent="0.25">
      <c r="A55" s="17" t="s">
        <v>51</v>
      </c>
      <c r="B55" s="18">
        <v>14355039068</v>
      </c>
    </row>
    <row r="56" spans="1:2" s="19" customFormat="1" ht="13" outlineLevel="1" x14ac:dyDescent="0.25">
      <c r="A56" s="17" t="s">
        <v>52</v>
      </c>
      <c r="B56" s="18">
        <v>10742553232</v>
      </c>
    </row>
    <row r="57" spans="1:2" s="19" customFormat="1" ht="13" outlineLevel="1" x14ac:dyDescent="0.25">
      <c r="A57" s="17" t="s">
        <v>53</v>
      </c>
      <c r="B57" s="18">
        <v>12944688820</v>
      </c>
    </row>
    <row r="58" spans="1:2" s="19" customFormat="1" ht="13" outlineLevel="1" x14ac:dyDescent="0.25">
      <c r="A58" s="17" t="s">
        <v>54</v>
      </c>
      <c r="B58" s="18">
        <v>11689433662</v>
      </c>
    </row>
    <row r="59" spans="1:2" s="19" customFormat="1" ht="13" outlineLevel="1" x14ac:dyDescent="0.25">
      <c r="A59" s="17" t="s">
        <v>55</v>
      </c>
      <c r="B59" s="18">
        <v>11397659254</v>
      </c>
    </row>
    <row r="60" spans="1:2" s="19" customFormat="1" ht="13" outlineLevel="1" x14ac:dyDescent="0.25">
      <c r="A60" s="17" t="s">
        <v>56</v>
      </c>
      <c r="B60" s="18">
        <v>16236395384</v>
      </c>
    </row>
    <row r="61" spans="1:2" s="19" customFormat="1" ht="13" outlineLevel="1" x14ac:dyDescent="0.25">
      <c r="A61" s="17" t="s">
        <v>57</v>
      </c>
      <c r="B61" s="18">
        <v>6151462908.9075203</v>
      </c>
    </row>
    <row r="62" spans="1:2" s="19" customFormat="1" ht="13" outlineLevel="1" x14ac:dyDescent="0.25">
      <c r="A62" s="17" t="s">
        <v>58</v>
      </c>
      <c r="B62" s="18">
        <v>24188206629</v>
      </c>
    </row>
    <row r="63" spans="1:2" s="19" customFormat="1" ht="13" outlineLevel="1" x14ac:dyDescent="0.25">
      <c r="A63" s="17" t="s">
        <v>59</v>
      </c>
      <c r="B63" s="18">
        <v>22229863427</v>
      </c>
    </row>
    <row r="64" spans="1:2" s="19" customFormat="1" ht="13" outlineLevel="1" x14ac:dyDescent="0.25">
      <c r="A64" s="17" t="s">
        <v>60</v>
      </c>
      <c r="B64" s="18">
        <v>23200278421</v>
      </c>
    </row>
    <row r="65" spans="1:2" s="19" customFormat="1" ht="13" outlineLevel="1" x14ac:dyDescent="0.25">
      <c r="A65" s="17" t="s">
        <v>61</v>
      </c>
      <c r="B65" s="18">
        <v>33729146012</v>
      </c>
    </row>
    <row r="66" spans="1:2" s="19" customFormat="1" ht="13" outlineLevel="1" x14ac:dyDescent="0.25">
      <c r="A66" s="17" t="s">
        <v>62</v>
      </c>
      <c r="B66" s="18">
        <v>25741331764</v>
      </c>
    </row>
    <row r="67" spans="1:2" s="19" customFormat="1" ht="13" outlineLevel="1" x14ac:dyDescent="0.25">
      <c r="A67" s="17" t="s">
        <v>63</v>
      </c>
      <c r="B67" s="18">
        <v>10895316694.06304</v>
      </c>
    </row>
    <row r="68" spans="1:2" s="19" customFormat="1" ht="13" outlineLevel="1" x14ac:dyDescent="0.25">
      <c r="A68" s="17" t="s">
        <v>64</v>
      </c>
      <c r="B68" s="18">
        <v>15574902572</v>
      </c>
    </row>
    <row r="69" spans="1:2" s="16" customFormat="1" ht="13" outlineLevel="1" x14ac:dyDescent="0.25">
      <c r="A69" s="17" t="s">
        <v>65</v>
      </c>
      <c r="B69" s="18">
        <v>11085498362</v>
      </c>
    </row>
    <row r="70" spans="1:2" s="19" customFormat="1" ht="13" outlineLevel="1" x14ac:dyDescent="0.25">
      <c r="A70" s="17" t="s">
        <v>66</v>
      </c>
      <c r="B70" s="18">
        <v>15569378930</v>
      </c>
    </row>
    <row r="71" spans="1:2" s="19" customFormat="1" ht="13" outlineLevel="1" x14ac:dyDescent="0.25">
      <c r="A71" s="17" t="s">
        <v>67</v>
      </c>
      <c r="B71" s="18">
        <v>19872456988.21376</v>
      </c>
    </row>
    <row r="72" spans="1:2" s="19" customFormat="1" ht="13" outlineLevel="1" x14ac:dyDescent="0.25">
      <c r="A72" s="17" t="s">
        <v>68</v>
      </c>
      <c r="B72" s="18">
        <v>9279916346</v>
      </c>
    </row>
    <row r="73" spans="1:2" s="19" customFormat="1" ht="13" outlineLevel="1" x14ac:dyDescent="0.25">
      <c r="A73" s="17" t="s">
        <v>69</v>
      </c>
      <c r="B73" s="18">
        <v>11879598172</v>
      </c>
    </row>
    <row r="74" spans="1:2" s="19" customFormat="1" ht="13" outlineLevel="1" x14ac:dyDescent="0.25">
      <c r="A74" s="17" t="s">
        <v>70</v>
      </c>
      <c r="B74" s="18">
        <v>14944234555</v>
      </c>
    </row>
    <row r="75" spans="1:2" s="19" customFormat="1" ht="13" outlineLevel="1" x14ac:dyDescent="0.25">
      <c r="A75" s="17" t="s">
        <v>71</v>
      </c>
      <c r="B75" s="18">
        <v>8486287813</v>
      </c>
    </row>
    <row r="76" spans="1:2" s="19" customFormat="1" ht="13" outlineLevel="1" x14ac:dyDescent="0.25">
      <c r="A76" s="17" t="s">
        <v>72</v>
      </c>
      <c r="B76" s="18">
        <v>7048832262</v>
      </c>
    </row>
    <row r="77" spans="1:2" s="19" customFormat="1" ht="13" outlineLevel="1" x14ac:dyDescent="0.25">
      <c r="A77" s="17" t="s">
        <v>73</v>
      </c>
      <c r="B77" s="18">
        <v>5348779190</v>
      </c>
    </row>
    <row r="78" spans="1:2" s="19" customFormat="1" ht="13" outlineLevel="1" x14ac:dyDescent="0.25">
      <c r="A78" s="17" t="s">
        <v>74</v>
      </c>
      <c r="B78" s="18">
        <v>5466387046</v>
      </c>
    </row>
    <row r="79" spans="1:2" s="19" customFormat="1" ht="13" outlineLevel="1" x14ac:dyDescent="0.25">
      <c r="A79" s="17" t="s">
        <v>75</v>
      </c>
      <c r="B79" s="18">
        <v>16518448889</v>
      </c>
    </row>
    <row r="80" spans="1:2" s="19" customFormat="1" ht="13" outlineLevel="1" x14ac:dyDescent="0.25">
      <c r="A80" s="17" t="s">
        <v>76</v>
      </c>
      <c r="B80" s="18">
        <v>8675202615</v>
      </c>
    </row>
    <row r="81" spans="1:2" s="19" customFormat="1" ht="13" outlineLevel="1" x14ac:dyDescent="0.25">
      <c r="A81" s="17" t="s">
        <v>77</v>
      </c>
      <c r="B81" s="18">
        <v>16760013498</v>
      </c>
    </row>
    <row r="82" spans="1:2" s="19" customFormat="1" ht="13" outlineLevel="1" x14ac:dyDescent="0.25">
      <c r="A82" s="17" t="s">
        <v>78</v>
      </c>
      <c r="B82" s="18">
        <v>12438755743</v>
      </c>
    </row>
    <row r="83" spans="1:2" s="19" customFormat="1" ht="13" outlineLevel="1" x14ac:dyDescent="0.25">
      <c r="A83" s="17" t="s">
        <v>79</v>
      </c>
      <c r="B83" s="18">
        <v>14593425402</v>
      </c>
    </row>
    <row r="84" spans="1:2" s="19" customFormat="1" ht="13" outlineLevel="1" x14ac:dyDescent="0.25">
      <c r="A84" s="17" t="s">
        <v>80</v>
      </c>
      <c r="B84" s="18">
        <v>6689468251</v>
      </c>
    </row>
    <row r="85" spans="1:2" s="19" customFormat="1" ht="13" outlineLevel="1" x14ac:dyDescent="0.25">
      <c r="A85" s="17" t="s">
        <v>81</v>
      </c>
      <c r="B85" s="18">
        <v>8186369892</v>
      </c>
    </row>
    <row r="86" spans="1:2" s="19" customFormat="1" ht="13" outlineLevel="1" x14ac:dyDescent="0.25">
      <c r="A86" s="17" t="s">
        <v>82</v>
      </c>
      <c r="B86" s="18">
        <v>28561249598</v>
      </c>
    </row>
    <row r="87" spans="1:2" s="19" customFormat="1" ht="13" outlineLevel="1" x14ac:dyDescent="0.25">
      <c r="A87" s="17" t="s">
        <v>83</v>
      </c>
      <c r="B87" s="18">
        <v>34980509996</v>
      </c>
    </row>
    <row r="88" spans="1:2" s="19" customFormat="1" ht="13" outlineLevel="1" x14ac:dyDescent="0.25">
      <c r="A88" s="17" t="s">
        <v>84</v>
      </c>
      <c r="B88" s="18">
        <v>6950846586</v>
      </c>
    </row>
    <row r="89" spans="1:2" s="19" customFormat="1" ht="13" outlineLevel="1" x14ac:dyDescent="0.25">
      <c r="A89" s="17" t="s">
        <v>85</v>
      </c>
      <c r="B89" s="18">
        <v>11116163961</v>
      </c>
    </row>
    <row r="90" spans="1:2" s="19" customFormat="1" ht="13" outlineLevel="1" x14ac:dyDescent="0.25">
      <c r="A90" s="17" t="s">
        <v>86</v>
      </c>
      <c r="B90" s="18">
        <v>21274070645</v>
      </c>
    </row>
    <row r="91" spans="1:2" s="19" customFormat="1" ht="13" outlineLevel="1" x14ac:dyDescent="0.25">
      <c r="A91" s="17" t="s">
        <v>87</v>
      </c>
      <c r="B91" s="18">
        <v>2826770201</v>
      </c>
    </row>
    <row r="92" spans="1:2" s="19" customFormat="1" ht="13" outlineLevel="1" x14ac:dyDescent="0.25">
      <c r="A92" s="17" t="s">
        <v>88</v>
      </c>
      <c r="B92" s="18">
        <v>4775546619</v>
      </c>
    </row>
    <row r="93" spans="1:2" s="19" customFormat="1" ht="13" outlineLevel="1" x14ac:dyDescent="0.25">
      <c r="A93" s="17" t="s">
        <v>89</v>
      </c>
      <c r="B93" s="18">
        <v>23755514236</v>
      </c>
    </row>
    <row r="94" spans="1:2" s="19" customFormat="1" ht="13" outlineLevel="1" x14ac:dyDescent="0.25">
      <c r="A94" s="17" t="s">
        <v>90</v>
      </c>
      <c r="B94" s="18">
        <v>22463613073</v>
      </c>
    </row>
    <row r="95" spans="1:2" s="19" customFormat="1" ht="13" outlineLevel="1" x14ac:dyDescent="0.25">
      <c r="A95" s="17" t="s">
        <v>91</v>
      </c>
      <c r="B95" s="18">
        <v>20949816946</v>
      </c>
    </row>
    <row r="96" spans="1:2" s="19" customFormat="1" ht="13" outlineLevel="1" x14ac:dyDescent="0.25">
      <c r="A96" s="17" t="s">
        <v>92</v>
      </c>
      <c r="B96" s="18">
        <v>14104036918</v>
      </c>
    </row>
    <row r="97" spans="1:2" s="19" customFormat="1" ht="13" outlineLevel="1" x14ac:dyDescent="0.25">
      <c r="A97" s="17" t="s">
        <v>93</v>
      </c>
      <c r="B97" s="18">
        <v>1396272140.5940592</v>
      </c>
    </row>
    <row r="98" spans="1:2" s="19" customFormat="1" ht="13" outlineLevel="1" x14ac:dyDescent="0.25">
      <c r="A98" s="17" t="s">
        <v>94</v>
      </c>
      <c r="B98" s="18">
        <v>1211346171.2871287</v>
      </c>
    </row>
    <row r="99" spans="1:2" s="19" customFormat="1" ht="13" outlineLevel="1" x14ac:dyDescent="0.25">
      <c r="A99" s="17" t="s">
        <v>95</v>
      </c>
      <c r="B99" s="18">
        <v>1239693623.7623763</v>
      </c>
    </row>
    <row r="100" spans="1:2" s="19" customFormat="1" ht="13" outlineLevel="1" x14ac:dyDescent="0.25">
      <c r="A100" s="17" t="s">
        <v>96</v>
      </c>
      <c r="B100" s="18">
        <v>1625508018.1759996</v>
      </c>
    </row>
    <row r="101" spans="1:2" s="16" customFormat="1" ht="13" outlineLevel="1" x14ac:dyDescent="0.25">
      <c r="A101" s="17"/>
      <c r="B101" s="20">
        <f>SUM(B4:B100)</f>
        <v>1276966895152.1125</v>
      </c>
    </row>
    <row r="103" spans="1:2" x14ac:dyDescent="0.25">
      <c r="B103" s="24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19</vt:i4>
      </vt:variant>
    </vt:vector>
  </HeadingPairs>
  <TitlesOfParts>
    <vt:vector size="30" baseType="lpstr">
      <vt:lpstr>Verificaciones</vt:lpstr>
      <vt:lpstr>POA</vt:lpstr>
      <vt:lpstr>Puntajes</vt:lpstr>
      <vt:lpstr>Capacidad Financiera</vt:lpstr>
      <vt:lpstr>Puntaje Exp</vt:lpstr>
      <vt:lpstr>Puntaje CT</vt:lpstr>
      <vt:lpstr>Puntaje CF</vt:lpstr>
      <vt:lpstr>Saldo CtosEjecución</vt:lpstr>
      <vt:lpstr>Cap Organización</vt:lpstr>
      <vt:lpstr>Capacidad Residual</vt:lpstr>
      <vt:lpstr>PO</vt:lpstr>
      <vt:lpstr>AnticipoM1</vt:lpstr>
      <vt:lpstr>AnticipoM2</vt:lpstr>
      <vt:lpstr>AnticipoM3</vt:lpstr>
      <vt:lpstr>AnticipoM4</vt:lpstr>
      <vt:lpstr>'Capacidad Financiera'!Área_de_impresión</vt:lpstr>
      <vt:lpstr>CapFinanciera1</vt:lpstr>
      <vt:lpstr>CapFinanciera2</vt:lpstr>
      <vt:lpstr>CapFinanciera3</vt:lpstr>
      <vt:lpstr>CapFinanciera4</vt:lpstr>
      <vt:lpstr>CapTecnica1</vt:lpstr>
      <vt:lpstr>CapTecnica2</vt:lpstr>
      <vt:lpstr>Experiencia1</vt:lpstr>
      <vt:lpstr>Experiencia2</vt:lpstr>
      <vt:lpstr>Experiencia3</vt:lpstr>
      <vt:lpstr>PlazoM1</vt:lpstr>
      <vt:lpstr>PlazoM2</vt:lpstr>
      <vt:lpstr>PlazoM3</vt:lpstr>
      <vt:lpstr>PlazoM4</vt:lpstr>
      <vt:lpstr>SALACTUAL</vt:lpstr>
    </vt:vector>
  </TitlesOfParts>
  <Company>Universidad del Rosario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 2014</dc:creator>
  <cp:lastModifiedBy>ASUS</cp:lastModifiedBy>
  <cp:lastPrinted>2014-04-30T17:21:41Z</cp:lastPrinted>
  <dcterms:created xsi:type="dcterms:W3CDTF">2005-03-19T14:11:58Z</dcterms:created>
  <dcterms:modified xsi:type="dcterms:W3CDTF">2021-05-04T17:28:28Z</dcterms:modified>
</cp:coreProperties>
</file>